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UCD Smurfit\Research Project\"/>
    </mc:Choice>
  </mc:AlternateContent>
  <xr:revisionPtr revIDLastSave="0" documentId="13_ncr:1_{2459D57E-BB77-4049-8CFB-C73367CBDFB5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Assumption" sheetId="1" r:id="rId1"/>
    <sheet name="Debt Schedule" sheetId="2" r:id="rId2"/>
    <sheet name="Levelised Cost" sheetId="3" r:id="rId3"/>
    <sheet name="Income Statement" sheetId="4" r:id="rId4"/>
    <sheet name="Sensitivity Analysis" sheetId="8" r:id="rId5"/>
    <sheet name="Valuation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E22" i="8"/>
  <c r="E23" i="8"/>
  <c r="E24" i="8"/>
  <c r="E21" i="8"/>
  <c r="E17" i="8"/>
  <c r="E18" i="8"/>
  <c r="E19" i="8"/>
  <c r="E16" i="8"/>
  <c r="C13" i="4"/>
  <c r="E5" i="8"/>
  <c r="E6" i="8"/>
  <c r="E7" i="8"/>
  <c r="E8" i="8"/>
  <c r="E10" i="8"/>
  <c r="E11" i="8"/>
  <c r="E12" i="8"/>
  <c r="E13" i="8"/>
  <c r="E9" i="8"/>
  <c r="E27" i="8"/>
  <c r="E28" i="8"/>
  <c r="E29" i="8"/>
  <c r="E30" i="8"/>
  <c r="E32" i="8"/>
  <c r="E33" i="8"/>
  <c r="E34" i="8"/>
  <c r="E35" i="8"/>
  <c r="E31" i="8"/>
  <c r="E20" i="8"/>
  <c r="C28" i="8" l="1"/>
  <c r="C29" i="8"/>
  <c r="C30" i="8"/>
  <c r="C27" i="8"/>
  <c r="C33" i="8"/>
  <c r="C34" i="8"/>
  <c r="C35" i="8"/>
  <c r="C23" i="8"/>
  <c r="C32" i="8"/>
  <c r="C6" i="8"/>
  <c r="C7" i="8"/>
  <c r="C8" i="8"/>
  <c r="C16" i="8"/>
  <c r="C39" i="4"/>
  <c r="I38" i="1"/>
  <c r="I9" i="1"/>
  <c r="W24" i="3"/>
  <c r="W12" i="4" s="1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Y24" i="3"/>
  <c r="Y12" i="4" s="1"/>
  <c r="U24" i="3"/>
  <c r="U12" i="4" s="1"/>
  <c r="F24" i="3"/>
  <c r="F12" i="4" s="1"/>
  <c r="K17" i="3"/>
  <c r="S17" i="3" s="1"/>
  <c r="AA17" i="3" s="1"/>
  <c r="I29" i="1"/>
  <c r="C18" i="8" l="1"/>
  <c r="C17" i="8"/>
  <c r="C19" i="8"/>
  <c r="C21" i="8"/>
  <c r="C22" i="8"/>
  <c r="C24" i="8"/>
  <c r="AA24" i="3"/>
  <c r="AA12" i="4" s="1"/>
  <c r="AA14" i="4" s="1"/>
  <c r="AB24" i="3"/>
  <c r="AB12" i="4" s="1"/>
  <c r="AB14" i="4" s="1"/>
  <c r="K24" i="3"/>
  <c r="K12" i="4" s="1"/>
  <c r="K14" i="4" s="1"/>
  <c r="V24" i="3"/>
  <c r="V12" i="4" s="1"/>
  <c r="V14" i="4" s="1"/>
  <c r="AG24" i="3"/>
  <c r="AG12" i="4" s="1"/>
  <c r="AG14" i="4" s="1"/>
  <c r="R24" i="3"/>
  <c r="R12" i="4" s="1"/>
  <c r="R14" i="4" s="1"/>
  <c r="J24" i="3"/>
  <c r="J12" i="4" s="1"/>
  <c r="J14" i="4" s="1"/>
  <c r="E24" i="3"/>
  <c r="E12" i="4" s="1"/>
  <c r="E14" i="4" s="1"/>
  <c r="I10" i="1"/>
  <c r="I12" i="1" s="1"/>
  <c r="I18" i="1" s="1"/>
  <c r="I19" i="1" s="1"/>
  <c r="G24" i="3"/>
  <c r="G12" i="4" s="1"/>
  <c r="G14" i="4" s="1"/>
  <c r="H24" i="3"/>
  <c r="H12" i="4" s="1"/>
  <c r="H14" i="4" s="1"/>
  <c r="X24" i="3"/>
  <c r="X12" i="4" s="1"/>
  <c r="X14" i="4" s="1"/>
  <c r="I24" i="3"/>
  <c r="I12" i="4" s="1"/>
  <c r="I14" i="4" s="1"/>
  <c r="Z24" i="3"/>
  <c r="Z12" i="4" s="1"/>
  <c r="Z14" i="4" s="1"/>
  <c r="L24" i="3"/>
  <c r="L12" i="4" s="1"/>
  <c r="L14" i="4" s="1"/>
  <c r="M24" i="3"/>
  <c r="M12" i="4" s="1"/>
  <c r="M14" i="4" s="1"/>
  <c r="AC24" i="3"/>
  <c r="AC12" i="4" s="1"/>
  <c r="AC14" i="4" s="1"/>
  <c r="N24" i="3"/>
  <c r="N12" i="4" s="1"/>
  <c r="N14" i="4" s="1"/>
  <c r="AD24" i="3"/>
  <c r="AD12" i="4" s="1"/>
  <c r="AD14" i="4" s="1"/>
  <c r="O24" i="3"/>
  <c r="O12" i="4" s="1"/>
  <c r="O14" i="4" s="1"/>
  <c r="AE24" i="3"/>
  <c r="AE12" i="4" s="1"/>
  <c r="AE14" i="4" s="1"/>
  <c r="P24" i="3"/>
  <c r="P12" i="4" s="1"/>
  <c r="P14" i="4" s="1"/>
  <c r="AF24" i="3"/>
  <c r="AF12" i="4" s="1"/>
  <c r="AF14" i="4" s="1"/>
  <c r="Q24" i="3"/>
  <c r="Q12" i="4" s="1"/>
  <c r="Q14" i="4" s="1"/>
  <c r="S24" i="3"/>
  <c r="S12" i="4" s="1"/>
  <c r="S14" i="4" s="1"/>
  <c r="D24" i="3"/>
  <c r="D12" i="4" s="1"/>
  <c r="D14" i="4" s="1"/>
  <c r="T24" i="3"/>
  <c r="T12" i="4" s="1"/>
  <c r="T14" i="4" s="1"/>
  <c r="F14" i="4"/>
  <c r="W14" i="4"/>
  <c r="Y14" i="4"/>
  <c r="U14" i="4"/>
  <c r="T24" i="4" l="1"/>
  <c r="D16" i="3"/>
  <c r="L16" i="3"/>
  <c r="L24" i="4"/>
  <c r="AG16" i="3"/>
  <c r="K16" i="3"/>
  <c r="AE24" i="4"/>
  <c r="I24" i="4"/>
  <c r="I24" i="1"/>
  <c r="D12" i="5" s="1"/>
  <c r="AC16" i="3"/>
  <c r="T16" i="3"/>
  <c r="F16" i="3"/>
  <c r="AD16" i="3"/>
  <c r="P24" i="4"/>
  <c r="S16" i="3"/>
  <c r="AF24" i="4"/>
  <c r="I35" i="1"/>
  <c r="H16" i="3"/>
  <c r="U24" i="4"/>
  <c r="M24" i="4"/>
  <c r="N16" i="3"/>
  <c r="I25" i="1"/>
  <c r="C5" i="2" s="1"/>
  <c r="AD24" i="4"/>
  <c r="M16" i="3"/>
  <c r="G24" i="4"/>
  <c r="F24" i="4"/>
  <c r="U16" i="3"/>
  <c r="O16" i="3"/>
  <c r="Y24" i="4"/>
  <c r="W24" i="4"/>
  <c r="AA16" i="3"/>
  <c r="H24" i="4"/>
  <c r="E16" i="3"/>
  <c r="Q24" i="4"/>
  <c r="X24" i="4"/>
  <c r="J16" i="3"/>
  <c r="Z16" i="3"/>
  <c r="AG24" i="4"/>
  <c r="R16" i="3"/>
  <c r="J24" i="4"/>
  <c r="I16" i="3"/>
  <c r="S24" i="4"/>
  <c r="AE16" i="3"/>
  <c r="AC24" i="4"/>
  <c r="V24" i="4"/>
  <c r="K24" i="4"/>
  <c r="X16" i="3"/>
  <c r="AF16" i="3"/>
  <c r="Y16" i="3"/>
  <c r="Q16" i="3"/>
  <c r="W16" i="3"/>
  <c r="D24" i="4"/>
  <c r="R24" i="4"/>
  <c r="P16" i="3"/>
  <c r="AA24" i="4"/>
  <c r="AB16" i="3"/>
  <c r="O24" i="4"/>
  <c r="G16" i="3"/>
  <c r="AB24" i="4"/>
  <c r="E24" i="4"/>
  <c r="N24" i="4"/>
  <c r="Z24" i="4"/>
  <c r="V16" i="3"/>
  <c r="K5" i="2" l="1"/>
  <c r="L5" i="2"/>
  <c r="M5" i="2"/>
  <c r="N5" i="2"/>
  <c r="J5" i="2"/>
  <c r="O5" i="2"/>
  <c r="F5" i="2"/>
  <c r="P5" i="2"/>
  <c r="Q5" i="2"/>
  <c r="R5" i="2"/>
  <c r="S5" i="2"/>
  <c r="T5" i="2"/>
  <c r="E5" i="2"/>
  <c r="U5" i="2"/>
  <c r="V5" i="2"/>
  <c r="G5" i="2"/>
  <c r="W5" i="2"/>
  <c r="H5" i="2"/>
  <c r="H36" i="4" s="1"/>
  <c r="D5" i="2"/>
  <c r="I5" i="2"/>
  <c r="D20" i="3"/>
  <c r="E20" i="3" s="1"/>
  <c r="F20" i="3" s="1"/>
  <c r="G20" i="3" s="1"/>
  <c r="H20" i="3" s="1"/>
  <c r="C13" i="3"/>
  <c r="D13" i="3" s="1"/>
  <c r="E13" i="3" s="1"/>
  <c r="C12" i="3"/>
  <c r="D4" i="2"/>
  <c r="D7" i="2" s="1"/>
  <c r="C14" i="3"/>
  <c r="C16" i="3"/>
  <c r="E21" i="3" l="1"/>
  <c r="E26" i="3" s="1"/>
  <c r="I20" i="3"/>
  <c r="J20" i="3" s="1"/>
  <c r="K20" i="3" s="1"/>
  <c r="L20" i="3" s="1"/>
  <c r="H21" i="3"/>
  <c r="H26" i="3" s="1"/>
  <c r="F21" i="3"/>
  <c r="F26" i="3" s="1"/>
  <c r="D14" i="3"/>
  <c r="D36" i="4"/>
  <c r="E14" i="3"/>
  <c r="E36" i="4"/>
  <c r="D6" i="2"/>
  <c r="D21" i="3"/>
  <c r="D26" i="3" s="1"/>
  <c r="G21" i="3"/>
  <c r="G26" i="3" s="1"/>
  <c r="H14" i="3"/>
  <c r="F13" i="3"/>
  <c r="D28" i="4"/>
  <c r="D15" i="3"/>
  <c r="I21" i="3" l="1"/>
  <c r="I26" i="3" s="1"/>
  <c r="J21" i="3"/>
  <c r="J26" i="3" s="1"/>
  <c r="K21" i="3"/>
  <c r="K26" i="3" s="1"/>
  <c r="D25" i="3"/>
  <c r="D20" i="4" s="1"/>
  <c r="M20" i="3"/>
  <c r="L21" i="3"/>
  <c r="L26" i="3" s="1"/>
  <c r="E4" i="2"/>
  <c r="G13" i="3"/>
  <c r="E6" i="2" l="1"/>
  <c r="F4" i="2" s="1"/>
  <c r="F7" i="2" s="1"/>
  <c r="E7" i="2"/>
  <c r="E28" i="4" s="1"/>
  <c r="D27" i="3"/>
  <c r="D16" i="4" s="1"/>
  <c r="D18" i="4" s="1"/>
  <c r="D22" i="4" s="1"/>
  <c r="D26" i="4" s="1"/>
  <c r="D30" i="4" s="1"/>
  <c r="D32" i="4" s="1"/>
  <c r="D34" i="4" s="1"/>
  <c r="D38" i="4" s="1"/>
  <c r="N20" i="3"/>
  <c r="M21" i="3"/>
  <c r="M26" i="3" s="1"/>
  <c r="F14" i="3"/>
  <c r="F36" i="4"/>
  <c r="H13" i="3"/>
  <c r="E15" i="3" l="1"/>
  <c r="E25" i="3" s="1"/>
  <c r="E27" i="3" s="1"/>
  <c r="E28" i="3" s="1"/>
  <c r="F6" i="2"/>
  <c r="G4" i="2" s="1"/>
  <c r="G7" i="2" s="1"/>
  <c r="D41" i="4"/>
  <c r="D39" i="4"/>
  <c r="D28" i="3"/>
  <c r="O20" i="3"/>
  <c r="N21" i="3"/>
  <c r="N26" i="3" s="1"/>
  <c r="F28" i="4"/>
  <c r="F15" i="3"/>
  <c r="F25" i="3" s="1"/>
  <c r="G36" i="4"/>
  <c r="G14" i="3"/>
  <c r="I13" i="3"/>
  <c r="E20" i="4" l="1"/>
  <c r="E16" i="4"/>
  <c r="E18" i="4" s="1"/>
  <c r="D14" i="5"/>
  <c r="D13" i="5"/>
  <c r="D15" i="5" s="1"/>
  <c r="F27" i="3"/>
  <c r="F16" i="4" s="1"/>
  <c r="F18" i="4" s="1"/>
  <c r="F20" i="4"/>
  <c r="G6" i="2"/>
  <c r="H4" i="2" s="1"/>
  <c r="H7" i="2" s="1"/>
  <c r="P20" i="3"/>
  <c r="O21" i="3"/>
  <c r="O26" i="3" s="1"/>
  <c r="G15" i="3"/>
  <c r="G25" i="3" s="1"/>
  <c r="G28" i="4"/>
  <c r="J13" i="3"/>
  <c r="E22" i="4" l="1"/>
  <c r="E26" i="4" s="1"/>
  <c r="E30" i="4" s="1"/>
  <c r="E32" i="4" s="1"/>
  <c r="E34" i="4" s="1"/>
  <c r="E38" i="4" s="1"/>
  <c r="E39" i="4" s="1"/>
  <c r="F28" i="3"/>
  <c r="F22" i="4"/>
  <c r="F26" i="4" s="1"/>
  <c r="F30" i="4" s="1"/>
  <c r="F32" i="4" s="1"/>
  <c r="F34" i="4" s="1"/>
  <c r="F38" i="4" s="1"/>
  <c r="G27" i="3"/>
  <c r="G16" i="4" s="1"/>
  <c r="G18" i="4" s="1"/>
  <c r="G20" i="4"/>
  <c r="Q20" i="3"/>
  <c r="P21" i="3"/>
  <c r="P26" i="3" s="1"/>
  <c r="H6" i="2"/>
  <c r="I4" i="2" s="1"/>
  <c r="H28" i="4"/>
  <c r="H15" i="3"/>
  <c r="H25" i="3" s="1"/>
  <c r="I14" i="3"/>
  <c r="I36" i="4"/>
  <c r="K13" i="3"/>
  <c r="E41" i="4" l="1"/>
  <c r="E13" i="5" s="1"/>
  <c r="E15" i="5" s="1"/>
  <c r="I7" i="2"/>
  <c r="I15" i="3" s="1"/>
  <c r="I25" i="3" s="1"/>
  <c r="F41" i="4"/>
  <c r="F39" i="4"/>
  <c r="H27" i="3"/>
  <c r="H28" i="3" s="1"/>
  <c r="H20" i="4"/>
  <c r="G22" i="4"/>
  <c r="G26" i="4" s="1"/>
  <c r="G30" i="4" s="1"/>
  <c r="G32" i="4" s="1"/>
  <c r="G34" i="4" s="1"/>
  <c r="G38" i="4" s="1"/>
  <c r="G28" i="3"/>
  <c r="R20" i="3"/>
  <c r="Q21" i="3"/>
  <c r="Q26" i="3" s="1"/>
  <c r="I6" i="2"/>
  <c r="J4" i="2" s="1"/>
  <c r="J14" i="3"/>
  <c r="J36" i="4"/>
  <c r="L13" i="3"/>
  <c r="E14" i="5" l="1"/>
  <c r="J6" i="2"/>
  <c r="K4" i="2" s="1"/>
  <c r="K7" i="2" s="1"/>
  <c r="K15" i="3" s="1"/>
  <c r="J7" i="2"/>
  <c r="J28" i="4" s="1"/>
  <c r="I28" i="4"/>
  <c r="F14" i="5"/>
  <c r="F13" i="5"/>
  <c r="F15" i="5" s="1"/>
  <c r="G39" i="4"/>
  <c r="I27" i="3"/>
  <c r="I28" i="3" s="1"/>
  <c r="I20" i="4"/>
  <c r="H16" i="4"/>
  <c r="H18" i="4" s="1"/>
  <c r="H22" i="4" s="1"/>
  <c r="H26" i="4" s="1"/>
  <c r="H30" i="4" s="1"/>
  <c r="H32" i="4" s="1"/>
  <c r="H34" i="4" s="1"/>
  <c r="H38" i="4" s="1"/>
  <c r="G41" i="4"/>
  <c r="G13" i="5" s="1"/>
  <c r="G15" i="5" s="1"/>
  <c r="S20" i="3"/>
  <c r="R21" i="3"/>
  <c r="R26" i="3" s="1"/>
  <c r="K36" i="4"/>
  <c r="K14" i="3"/>
  <c r="M13" i="3"/>
  <c r="K6" i="2" l="1"/>
  <c r="L4" i="2" s="1"/>
  <c r="L7" i="2" s="1"/>
  <c r="H41" i="4"/>
  <c r="H13" i="5" s="1"/>
  <c r="H15" i="5" s="1"/>
  <c r="H39" i="4"/>
  <c r="I16" i="4"/>
  <c r="I18" i="4" s="1"/>
  <c r="I22" i="4" s="1"/>
  <c r="I26" i="4" s="1"/>
  <c r="I30" i="4" s="1"/>
  <c r="I32" i="4" s="1"/>
  <c r="I34" i="4" s="1"/>
  <c r="I38" i="4" s="1"/>
  <c r="G14" i="5"/>
  <c r="T20" i="3"/>
  <c r="S21" i="3"/>
  <c r="S26" i="3" s="1"/>
  <c r="J15" i="3"/>
  <c r="J25" i="3" s="1"/>
  <c r="K28" i="4"/>
  <c r="L14" i="3"/>
  <c r="L36" i="4"/>
  <c r="K25" i="3"/>
  <c r="N13" i="3"/>
  <c r="H14" i="5" l="1"/>
  <c r="I41" i="4"/>
  <c r="I13" i="5" s="1"/>
  <c r="I15" i="5" s="1"/>
  <c r="I39" i="4"/>
  <c r="K27" i="3"/>
  <c r="K16" i="4" s="1"/>
  <c r="K18" i="4" s="1"/>
  <c r="K20" i="4"/>
  <c r="J27" i="3"/>
  <c r="J28" i="3" s="1"/>
  <c r="J20" i="4"/>
  <c r="U20" i="3"/>
  <c r="T21" i="3"/>
  <c r="T26" i="3" s="1"/>
  <c r="L28" i="4"/>
  <c r="L15" i="3"/>
  <c r="L25" i="3" s="1"/>
  <c r="L6" i="2"/>
  <c r="M4" i="2" s="1"/>
  <c r="M7" i="2" s="1"/>
  <c r="M36" i="4"/>
  <c r="M14" i="3"/>
  <c r="O13" i="3"/>
  <c r="I14" i="5" l="1"/>
  <c r="J16" i="4"/>
  <c r="J18" i="4" s="1"/>
  <c r="J22" i="4" s="1"/>
  <c r="J26" i="4" s="1"/>
  <c r="J30" i="4" s="1"/>
  <c r="J32" i="4" s="1"/>
  <c r="J34" i="4" s="1"/>
  <c r="J38" i="4" s="1"/>
  <c r="J39" i="4" s="1"/>
  <c r="K28" i="3"/>
  <c r="L27" i="3"/>
  <c r="L28" i="3" s="1"/>
  <c r="L20" i="4"/>
  <c r="K22" i="4"/>
  <c r="K26" i="4" s="1"/>
  <c r="K30" i="4" s="1"/>
  <c r="K32" i="4" s="1"/>
  <c r="K34" i="4" s="1"/>
  <c r="K38" i="4" s="1"/>
  <c r="V20" i="3"/>
  <c r="U21" i="3"/>
  <c r="U26" i="3" s="1"/>
  <c r="N14" i="3"/>
  <c r="N36" i="4"/>
  <c r="P13" i="3"/>
  <c r="L16" i="4" l="1"/>
  <c r="L18" i="4" s="1"/>
  <c r="L22" i="4" s="1"/>
  <c r="L26" i="4" s="1"/>
  <c r="L30" i="4" s="1"/>
  <c r="L32" i="4" s="1"/>
  <c r="L34" i="4" s="1"/>
  <c r="L38" i="4" s="1"/>
  <c r="L41" i="4" s="1"/>
  <c r="L13" i="5" s="1"/>
  <c r="L15" i="5" s="1"/>
  <c r="J41" i="4"/>
  <c r="J13" i="5" s="1"/>
  <c r="J15" i="5" s="1"/>
  <c r="K41" i="4"/>
  <c r="K13" i="5" s="1"/>
  <c r="K15" i="5" s="1"/>
  <c r="K39" i="4"/>
  <c r="W20" i="3"/>
  <c r="V21" i="3"/>
  <c r="V26" i="3" s="1"/>
  <c r="M6" i="2"/>
  <c r="N4" i="2" s="1"/>
  <c r="N7" i="2" s="1"/>
  <c r="M15" i="3"/>
  <c r="M25" i="3" s="1"/>
  <c r="M28" i="4"/>
  <c r="O14" i="3"/>
  <c r="O36" i="4"/>
  <c r="Q13" i="3"/>
  <c r="L39" i="4" l="1"/>
  <c r="J14" i="5"/>
  <c r="K14" i="5"/>
  <c r="M27" i="3"/>
  <c r="M28" i="3" s="1"/>
  <c r="M20" i="4"/>
  <c r="L14" i="5"/>
  <c r="X20" i="3"/>
  <c r="W21" i="3"/>
  <c r="W26" i="3" s="1"/>
  <c r="N6" i="2"/>
  <c r="O4" i="2" s="1"/>
  <c r="O7" i="2" s="1"/>
  <c r="P36" i="4"/>
  <c r="P14" i="3"/>
  <c r="R13" i="3"/>
  <c r="M16" i="4" l="1"/>
  <c r="M18" i="4" s="1"/>
  <c r="M22" i="4" s="1"/>
  <c r="M26" i="4" s="1"/>
  <c r="M30" i="4" s="1"/>
  <c r="M32" i="4" s="1"/>
  <c r="M34" i="4" s="1"/>
  <c r="M38" i="4" s="1"/>
  <c r="Y20" i="3"/>
  <c r="X21" i="3"/>
  <c r="X26" i="3" s="1"/>
  <c r="N15" i="3"/>
  <c r="N25" i="3" s="1"/>
  <c r="N28" i="4"/>
  <c r="Q36" i="4"/>
  <c r="Q14" i="3"/>
  <c r="S13" i="3"/>
  <c r="M41" i="4" l="1"/>
  <c r="M13" i="5" s="1"/>
  <c r="M15" i="5" s="1"/>
  <c r="M39" i="4"/>
  <c r="N27" i="3"/>
  <c r="N28" i="3" s="1"/>
  <c r="N20" i="4"/>
  <c r="Z20" i="3"/>
  <c r="Y21" i="3"/>
  <c r="Y26" i="3" s="1"/>
  <c r="O15" i="3"/>
  <c r="O25" i="3" s="1"/>
  <c r="O28" i="4"/>
  <c r="O6" i="2"/>
  <c r="P4" i="2" s="1"/>
  <c r="P7" i="2" s="1"/>
  <c r="R14" i="3"/>
  <c r="R36" i="4"/>
  <c r="T13" i="3"/>
  <c r="M14" i="5" l="1"/>
  <c r="N16" i="4"/>
  <c r="N18" i="4" s="1"/>
  <c r="N22" i="4" s="1"/>
  <c r="N26" i="4" s="1"/>
  <c r="N30" i="4" s="1"/>
  <c r="N32" i="4" s="1"/>
  <c r="N34" i="4" s="1"/>
  <c r="N38" i="4" s="1"/>
  <c r="N41" i="4" s="1"/>
  <c r="N13" i="5" s="1"/>
  <c r="N15" i="5" s="1"/>
  <c r="O27" i="3"/>
  <c r="O16" i="4" s="1"/>
  <c r="O18" i="4" s="1"/>
  <c r="O20" i="4"/>
  <c r="AA20" i="3"/>
  <c r="Z21" i="3"/>
  <c r="Z26" i="3" s="1"/>
  <c r="P6" i="2"/>
  <c r="Q4" i="2" s="1"/>
  <c r="Q7" i="2" s="1"/>
  <c r="P15" i="3"/>
  <c r="P25" i="3" s="1"/>
  <c r="P28" i="4"/>
  <c r="S36" i="4"/>
  <c r="S14" i="3"/>
  <c r="U13" i="3"/>
  <c r="O28" i="3" l="1"/>
  <c r="N39" i="4"/>
  <c r="O22" i="4"/>
  <c r="O26" i="4" s="1"/>
  <c r="O30" i="4" s="1"/>
  <c r="O32" i="4" s="1"/>
  <c r="O34" i="4" s="1"/>
  <c r="O38" i="4" s="1"/>
  <c r="O41" i="4" s="1"/>
  <c r="O13" i="5" s="1"/>
  <c r="O15" i="5" s="1"/>
  <c r="P27" i="3"/>
  <c r="P20" i="4"/>
  <c r="N14" i="5"/>
  <c r="AB20" i="3"/>
  <c r="AA21" i="3"/>
  <c r="AA26" i="3" s="1"/>
  <c r="P28" i="3"/>
  <c r="P16" i="4"/>
  <c r="P18" i="4" s="1"/>
  <c r="Q6" i="2"/>
  <c r="R4" i="2" s="1"/>
  <c r="R7" i="2" s="1"/>
  <c r="Q28" i="4"/>
  <c r="Q15" i="3"/>
  <c r="Q25" i="3" s="1"/>
  <c r="T36" i="4"/>
  <c r="T14" i="3"/>
  <c r="V13" i="3"/>
  <c r="P22" i="4" l="1"/>
  <c r="P26" i="4" s="1"/>
  <c r="P30" i="4" s="1"/>
  <c r="P32" i="4" s="1"/>
  <c r="P34" i="4" s="1"/>
  <c r="P38" i="4" s="1"/>
  <c r="P41" i="4" s="1"/>
  <c r="P13" i="5" s="1"/>
  <c r="P15" i="5" s="1"/>
  <c r="O39" i="4"/>
  <c r="O14" i="5"/>
  <c r="Q27" i="3"/>
  <c r="Q28" i="3" s="1"/>
  <c r="Q20" i="4"/>
  <c r="AC20" i="3"/>
  <c r="AB21" i="3"/>
  <c r="AB26" i="3" s="1"/>
  <c r="R6" i="2"/>
  <c r="S4" i="2" s="1"/>
  <c r="S7" i="2" s="1"/>
  <c r="U36" i="4"/>
  <c r="U14" i="3"/>
  <c r="W13" i="3"/>
  <c r="P39" i="4" l="1"/>
  <c r="P14" i="5"/>
  <c r="Q16" i="4"/>
  <c r="Q18" i="4" s="1"/>
  <c r="Q22" i="4" s="1"/>
  <c r="Q26" i="4" s="1"/>
  <c r="Q30" i="4" s="1"/>
  <c r="Q32" i="4" s="1"/>
  <c r="Q34" i="4" s="1"/>
  <c r="Q38" i="4" s="1"/>
  <c r="Q41" i="4" s="1"/>
  <c r="Q13" i="5" s="1"/>
  <c r="Q15" i="5" s="1"/>
  <c r="AD20" i="3"/>
  <c r="AC21" i="3"/>
  <c r="AC26" i="3" s="1"/>
  <c r="R28" i="4"/>
  <c r="R15" i="3"/>
  <c r="R25" i="3" s="1"/>
  <c r="V36" i="4"/>
  <c r="V14" i="3"/>
  <c r="X13" i="3"/>
  <c r="Q39" i="4" l="1"/>
  <c r="Q14" i="5"/>
  <c r="R27" i="3"/>
  <c r="R28" i="3" s="1"/>
  <c r="R20" i="4"/>
  <c r="AE20" i="3"/>
  <c r="AD21" i="3"/>
  <c r="AD26" i="3" s="1"/>
  <c r="S6" i="2"/>
  <c r="R16" i="4"/>
  <c r="R18" i="4" s="1"/>
  <c r="S15" i="3"/>
  <c r="S25" i="3" s="1"/>
  <c r="S28" i="4"/>
  <c r="W14" i="3"/>
  <c r="W36" i="4"/>
  <c r="Y13" i="3"/>
  <c r="R22" i="4" l="1"/>
  <c r="R26" i="4" s="1"/>
  <c r="R30" i="4" s="1"/>
  <c r="R32" i="4" s="1"/>
  <c r="R34" i="4" s="1"/>
  <c r="R38" i="4" s="1"/>
  <c r="R39" i="4" s="1"/>
  <c r="S27" i="3"/>
  <c r="S16" i="4" s="1"/>
  <c r="S18" i="4" s="1"/>
  <c r="S20" i="4"/>
  <c r="AF20" i="3"/>
  <c r="AE21" i="3"/>
  <c r="AE26" i="3" s="1"/>
  <c r="T4" i="2"/>
  <c r="T7" i="2" s="1"/>
  <c r="X14" i="3"/>
  <c r="X36" i="4"/>
  <c r="Z13" i="3"/>
  <c r="R41" i="4" l="1"/>
  <c r="R13" i="5" s="1"/>
  <c r="R15" i="5" s="1"/>
  <c r="S22" i="4"/>
  <c r="S26" i="4" s="1"/>
  <c r="S30" i="4" s="1"/>
  <c r="S32" i="4" s="1"/>
  <c r="S34" i="4" s="1"/>
  <c r="S38" i="4" s="1"/>
  <c r="S39" i="4" s="1"/>
  <c r="S28" i="3"/>
  <c r="AG20" i="3"/>
  <c r="AF21" i="3"/>
  <c r="AF26" i="3" s="1"/>
  <c r="T6" i="2"/>
  <c r="U4" i="2" s="1"/>
  <c r="U7" i="2" s="1"/>
  <c r="U15" i="3" s="1"/>
  <c r="U25" i="3" s="1"/>
  <c r="T28" i="4"/>
  <c r="T15" i="3"/>
  <c r="T25" i="3" s="1"/>
  <c r="Y36" i="4"/>
  <c r="Y14" i="3"/>
  <c r="AA13" i="3"/>
  <c r="U28" i="4" l="1"/>
  <c r="U6" i="2"/>
  <c r="V4" i="2" s="1"/>
  <c r="V7" i="2" s="1"/>
  <c r="S41" i="4"/>
  <c r="S13" i="5" s="1"/>
  <c r="S15" i="5" s="1"/>
  <c r="R14" i="5"/>
  <c r="U27" i="3"/>
  <c r="U28" i="3" s="1"/>
  <c r="U20" i="4"/>
  <c r="T27" i="3"/>
  <c r="T16" i="4" s="1"/>
  <c r="T18" i="4" s="1"/>
  <c r="T20" i="4"/>
  <c r="AG21" i="3"/>
  <c r="AG26" i="3" s="1"/>
  <c r="C20" i="3"/>
  <c r="Z14" i="3"/>
  <c r="Z36" i="4"/>
  <c r="AB13" i="3"/>
  <c r="V28" i="4" l="1"/>
  <c r="V15" i="3"/>
  <c r="V25" i="3" s="1"/>
  <c r="V6" i="2"/>
  <c r="W4" i="2" s="1"/>
  <c r="W7" i="2" s="1"/>
  <c r="S14" i="5"/>
  <c r="U16" i="4"/>
  <c r="U18" i="4" s="1"/>
  <c r="U22" i="4" s="1"/>
  <c r="U26" i="4" s="1"/>
  <c r="U30" i="4" s="1"/>
  <c r="U32" i="4" s="1"/>
  <c r="U34" i="4" s="1"/>
  <c r="U38" i="4" s="1"/>
  <c r="U41" i="4" s="1"/>
  <c r="U13" i="5" s="1"/>
  <c r="U15" i="5" s="1"/>
  <c r="T28" i="3"/>
  <c r="T22" i="4"/>
  <c r="T26" i="4" s="1"/>
  <c r="T30" i="4" s="1"/>
  <c r="T32" i="4" s="1"/>
  <c r="T34" i="4" s="1"/>
  <c r="T38" i="4" s="1"/>
  <c r="T39" i="4" s="1"/>
  <c r="V27" i="3"/>
  <c r="V16" i="4" s="1"/>
  <c r="V18" i="4" s="1"/>
  <c r="V20" i="4"/>
  <c r="W6" i="2"/>
  <c r="X4" i="2" s="1"/>
  <c r="X7" i="2" s="1"/>
  <c r="AA14" i="3"/>
  <c r="AA36" i="4"/>
  <c r="AC13" i="3"/>
  <c r="U39" i="4" l="1"/>
  <c r="V22" i="4"/>
  <c r="V26" i="4" s="1"/>
  <c r="V30" i="4" s="1"/>
  <c r="V32" i="4" s="1"/>
  <c r="V34" i="4" s="1"/>
  <c r="V38" i="4" s="1"/>
  <c r="V28" i="3"/>
  <c r="T41" i="4"/>
  <c r="T13" i="5" s="1"/>
  <c r="T15" i="5" s="1"/>
  <c r="U14" i="5"/>
  <c r="X6" i="2"/>
  <c r="Y4" i="2" s="1"/>
  <c r="Y7" i="2" s="1"/>
  <c r="W28" i="4"/>
  <c r="W15" i="3"/>
  <c r="W25" i="3" s="1"/>
  <c r="AB36" i="4"/>
  <c r="AB14" i="3"/>
  <c r="AD13" i="3"/>
  <c r="V39" i="4" l="1"/>
  <c r="V41" i="4"/>
  <c r="V13" i="5" s="1"/>
  <c r="V15" i="5" s="1"/>
  <c r="W27" i="3"/>
  <c r="W28" i="3" s="1"/>
  <c r="W20" i="4"/>
  <c r="T14" i="5"/>
  <c r="AC36" i="4"/>
  <c r="AC14" i="3"/>
  <c r="AE13" i="3"/>
  <c r="V14" i="5" l="1"/>
  <c r="W16" i="4"/>
  <c r="W18" i="4" s="1"/>
  <c r="W22" i="4" s="1"/>
  <c r="W26" i="4" s="1"/>
  <c r="W30" i="4" s="1"/>
  <c r="W32" i="4" s="1"/>
  <c r="W34" i="4" s="1"/>
  <c r="W38" i="4" s="1"/>
  <c r="X15" i="3"/>
  <c r="X25" i="3" s="1"/>
  <c r="X28" i="4"/>
  <c r="AD14" i="3"/>
  <c r="AD36" i="4"/>
  <c r="AF13" i="3"/>
  <c r="W41" i="4" l="1"/>
  <c r="W13" i="5" s="1"/>
  <c r="W15" i="5" s="1"/>
  <c r="W39" i="4"/>
  <c r="X27" i="3"/>
  <c r="X16" i="4" s="1"/>
  <c r="X18" i="4" s="1"/>
  <c r="X20" i="4"/>
  <c r="Y6" i="2"/>
  <c r="Z4" i="2" s="1"/>
  <c r="Z7" i="2" s="1"/>
  <c r="Y28" i="4"/>
  <c r="Y15" i="3"/>
  <c r="Y25" i="3" s="1"/>
  <c r="AE14" i="3"/>
  <c r="AE36" i="4"/>
  <c r="AG13" i="3"/>
  <c r="X28" i="3" l="1"/>
  <c r="W14" i="5"/>
  <c r="X22" i="4"/>
  <c r="X26" i="4" s="1"/>
  <c r="X30" i="4" s="1"/>
  <c r="X32" i="4" s="1"/>
  <c r="X34" i="4" s="1"/>
  <c r="X38" i="4" s="1"/>
  <c r="X41" i="4" s="1"/>
  <c r="X13" i="5" s="1"/>
  <c r="X15" i="5" s="1"/>
  <c r="Y27" i="3"/>
  <c r="Y16" i="4" s="1"/>
  <c r="Y18" i="4" s="1"/>
  <c r="Y20" i="4"/>
  <c r="Z6" i="2"/>
  <c r="AA4" i="2" s="1"/>
  <c r="AA7" i="2" s="1"/>
  <c r="AF14" i="3"/>
  <c r="AF36" i="4"/>
  <c r="Y22" i="4" l="1"/>
  <c r="Y26" i="4" s="1"/>
  <c r="Y30" i="4" s="1"/>
  <c r="Y32" i="4" s="1"/>
  <c r="Y34" i="4" s="1"/>
  <c r="Y38" i="4" s="1"/>
  <c r="Y41" i="4" s="1"/>
  <c r="Y13" i="5" s="1"/>
  <c r="Y15" i="5" s="1"/>
  <c r="Y28" i="3"/>
  <c r="X39" i="4"/>
  <c r="X14" i="5"/>
  <c r="AA6" i="2"/>
  <c r="AB4" i="2" s="1"/>
  <c r="AB7" i="2" s="1"/>
  <c r="Z15" i="3"/>
  <c r="Z25" i="3" s="1"/>
  <c r="Z28" i="4"/>
  <c r="AG36" i="4"/>
  <c r="AG14" i="3"/>
  <c r="Y39" i="4" l="1"/>
  <c r="Z27" i="3"/>
  <c r="Z28" i="3" s="1"/>
  <c r="Z20" i="4"/>
  <c r="Y14" i="5"/>
  <c r="AB6" i="2"/>
  <c r="AC4" i="2" s="1"/>
  <c r="AC7" i="2" s="1"/>
  <c r="AA28" i="4"/>
  <c r="AA15" i="3"/>
  <c r="AA25" i="3" s="1"/>
  <c r="Z16" i="4" l="1"/>
  <c r="Z18" i="4" s="1"/>
  <c r="Z22" i="4" s="1"/>
  <c r="Z26" i="4" s="1"/>
  <c r="Z30" i="4" s="1"/>
  <c r="Z32" i="4" s="1"/>
  <c r="Z34" i="4" s="1"/>
  <c r="Z38" i="4" s="1"/>
  <c r="AA27" i="3"/>
  <c r="AA20" i="4"/>
  <c r="AA28" i="3"/>
  <c r="AA16" i="4"/>
  <c r="AA18" i="4" s="1"/>
  <c r="AA22" i="4" s="1"/>
  <c r="AA26" i="4" s="1"/>
  <c r="AA30" i="4" s="1"/>
  <c r="AA32" i="4" s="1"/>
  <c r="AA34" i="4" s="1"/>
  <c r="AA38" i="4" s="1"/>
  <c r="AC6" i="2"/>
  <c r="AD4" i="2" s="1"/>
  <c r="AD7" i="2" s="1"/>
  <c r="AC15" i="3"/>
  <c r="AC25" i="3" s="1"/>
  <c r="AC28" i="4"/>
  <c r="AB28" i="4"/>
  <c r="AB15" i="3"/>
  <c r="AB25" i="3" s="1"/>
  <c r="Z41" i="4" l="1"/>
  <c r="Z13" i="5" s="1"/>
  <c r="Z15" i="5" s="1"/>
  <c r="Z39" i="4"/>
  <c r="AA39" i="4" s="1"/>
  <c r="AB27" i="3"/>
  <c r="AB28" i="3" s="1"/>
  <c r="AB20" i="4"/>
  <c r="AC27" i="3"/>
  <c r="AC16" i="4" s="1"/>
  <c r="AC18" i="4" s="1"/>
  <c r="AC20" i="4"/>
  <c r="AA41" i="4"/>
  <c r="AA13" i="5" s="1"/>
  <c r="AA15" i="5" s="1"/>
  <c r="AD6" i="2"/>
  <c r="AE4" i="2" s="1"/>
  <c r="AE7" i="2" s="1"/>
  <c r="AB16" i="4" l="1"/>
  <c r="AB18" i="4" s="1"/>
  <c r="AB22" i="4" s="1"/>
  <c r="AB26" i="4" s="1"/>
  <c r="AB30" i="4" s="1"/>
  <c r="AB32" i="4" s="1"/>
  <c r="AB34" i="4" s="1"/>
  <c r="AB38" i="4" s="1"/>
  <c r="Z14" i="5"/>
  <c r="AC22" i="4"/>
  <c r="AC26" i="4" s="1"/>
  <c r="AC30" i="4" s="1"/>
  <c r="AC32" i="4" s="1"/>
  <c r="AC34" i="4" s="1"/>
  <c r="AC38" i="4" s="1"/>
  <c r="AC41" i="4" s="1"/>
  <c r="AC13" i="5" s="1"/>
  <c r="AC15" i="5" s="1"/>
  <c r="AC28" i="3"/>
  <c r="AB39" i="4"/>
  <c r="AB41" i="4"/>
  <c r="AB13" i="5" s="1"/>
  <c r="AB15" i="5" s="1"/>
  <c r="AA14" i="5"/>
  <c r="AE6" i="2"/>
  <c r="AF4" i="2" s="1"/>
  <c r="AF7" i="2" s="1"/>
  <c r="AD28" i="4"/>
  <c r="AD15" i="3"/>
  <c r="AD25" i="3" s="1"/>
  <c r="AC39" i="4" l="1"/>
  <c r="AB14" i="5"/>
  <c r="AD27" i="3"/>
  <c r="AD20" i="4"/>
  <c r="AC14" i="5"/>
  <c r="AF15" i="3"/>
  <c r="AF25" i="3" s="1"/>
  <c r="AF6" i="2"/>
  <c r="AG4" i="2" s="1"/>
  <c r="AG7" i="2" s="1"/>
  <c r="AD16" i="4"/>
  <c r="AD18" i="4" s="1"/>
  <c r="AD22" i="4" s="1"/>
  <c r="AD26" i="4" s="1"/>
  <c r="AD30" i="4" s="1"/>
  <c r="AD32" i="4" s="1"/>
  <c r="AD34" i="4" s="1"/>
  <c r="AD38" i="4" s="1"/>
  <c r="AD28" i="3"/>
  <c r="AE15" i="3"/>
  <c r="AE25" i="3" s="1"/>
  <c r="AE28" i="4"/>
  <c r="AD39" i="4" l="1"/>
  <c r="AF27" i="3"/>
  <c r="AF20" i="4"/>
  <c r="AE27" i="3"/>
  <c r="AE16" i="4" s="1"/>
  <c r="AE18" i="4" s="1"/>
  <c r="AE20" i="4"/>
  <c r="AD41" i="4"/>
  <c r="AD13" i="5" s="1"/>
  <c r="AD15" i="5" s="1"/>
  <c r="AF28" i="4"/>
  <c r="AF16" i="4"/>
  <c r="AF18" i="4" s="1"/>
  <c r="AF22" i="4" s="1"/>
  <c r="AF26" i="4" s="1"/>
  <c r="AF28" i="3"/>
  <c r="AG6" i="2"/>
  <c r="AE28" i="3" l="1"/>
  <c r="AF30" i="4"/>
  <c r="AF32" i="4" s="1"/>
  <c r="AF34" i="4" s="1"/>
  <c r="AF38" i="4" s="1"/>
  <c r="AF41" i="4" s="1"/>
  <c r="AF13" i="5" s="1"/>
  <c r="AF15" i="5" s="1"/>
  <c r="AD14" i="5"/>
  <c r="AE22" i="4"/>
  <c r="AE26" i="4" s="1"/>
  <c r="AE30" i="4" s="1"/>
  <c r="AE32" i="4" s="1"/>
  <c r="AE34" i="4" s="1"/>
  <c r="AE38" i="4" s="1"/>
  <c r="AG28" i="4"/>
  <c r="AG15" i="3"/>
  <c r="AG25" i="3" s="1"/>
  <c r="C7" i="2"/>
  <c r="C15" i="3" s="1"/>
  <c r="AE41" i="4" l="1"/>
  <c r="AE13" i="5" s="1"/>
  <c r="AE15" i="5" s="1"/>
  <c r="AE39" i="4"/>
  <c r="AF39" i="4" s="1"/>
  <c r="AG27" i="3"/>
  <c r="AG20" i="4"/>
  <c r="AF14" i="5"/>
  <c r="AE14" i="5" l="1"/>
  <c r="AG28" i="3"/>
  <c r="AG16" i="4"/>
  <c r="AG18" i="4" s="1"/>
  <c r="AG22" i="4" s="1"/>
  <c r="AG26" i="4" s="1"/>
  <c r="AG30" i="4" s="1"/>
  <c r="AG32" i="4" s="1"/>
  <c r="AG34" i="4" s="1"/>
  <c r="AG38" i="4" s="1"/>
  <c r="AG39" i="4" l="1"/>
  <c r="AG41" i="4"/>
  <c r="AG13" i="5" s="1"/>
  <c r="AG15" i="5" s="1"/>
  <c r="AG14" i="5"/>
  <c r="D16" i="5" l="1"/>
  <c r="D17" i="5"/>
  <c r="C13" i="8"/>
  <c r="C5" i="8"/>
  <c r="C10" i="8"/>
  <c r="C12" i="8"/>
  <c r="C11" i="8"/>
</calcChain>
</file>

<file path=xl/sharedStrings.xml><?xml version="1.0" encoding="utf-8"?>
<sst xmlns="http://schemas.openxmlformats.org/spreadsheetml/2006/main" count="135" uniqueCount="110">
  <si>
    <t xml:space="preserve">Green H2 Financial Model </t>
  </si>
  <si>
    <t>Assumptions</t>
  </si>
  <si>
    <t>Sizing</t>
  </si>
  <si>
    <t>Hydrogen Production Capacity Planned</t>
  </si>
  <si>
    <t>Ton/Day</t>
  </si>
  <si>
    <t>Efficiency of Elecrtolyser</t>
  </si>
  <si>
    <t>kWh/Kg</t>
  </si>
  <si>
    <t>Units of electricity required by electrolyser</t>
  </si>
  <si>
    <t>MWh</t>
  </si>
  <si>
    <t xml:space="preserve">MW </t>
  </si>
  <si>
    <t>Input Power Availability - Renewable Wind</t>
  </si>
  <si>
    <t>%</t>
  </si>
  <si>
    <t>Electrolyser Capacity Required</t>
  </si>
  <si>
    <t>MW</t>
  </si>
  <si>
    <t>Addition H2 Storage Capacity Required</t>
  </si>
  <si>
    <t xml:space="preserve">Ton </t>
  </si>
  <si>
    <t>Project Assumptions</t>
  </si>
  <si>
    <t>Electrolyser Cost per Mw (inc Taxes)</t>
  </si>
  <si>
    <t>Euro/MW</t>
  </si>
  <si>
    <t>H2 Storage Capital Expenditure per ton</t>
  </si>
  <si>
    <t>Euro/Ton</t>
  </si>
  <si>
    <t>Total CapEx</t>
  </si>
  <si>
    <t>Euro</t>
  </si>
  <si>
    <t>Total Capex incl IDC</t>
  </si>
  <si>
    <t>Financing Assumption</t>
  </si>
  <si>
    <t>Equity Contribution</t>
  </si>
  <si>
    <t>Debt Contribution</t>
  </si>
  <si>
    <t>Equity Invested</t>
  </si>
  <si>
    <t>Debt Availed</t>
  </si>
  <si>
    <t>Corporate Tax Rate</t>
  </si>
  <si>
    <t>Return on Equity</t>
  </si>
  <si>
    <t>Cost of Debt</t>
  </si>
  <si>
    <t>Weighted Average Cost of Capital</t>
  </si>
  <si>
    <t>Operational Assumptions</t>
  </si>
  <si>
    <t>Operating Life</t>
  </si>
  <si>
    <t>Years</t>
  </si>
  <si>
    <t>No. of Operational Days in a year</t>
  </si>
  <si>
    <t>Days</t>
  </si>
  <si>
    <t>Aux Consumption</t>
  </si>
  <si>
    <t>Units of Electricity required by System/Day</t>
  </si>
  <si>
    <t>OpEx (% of CapEx)</t>
  </si>
  <si>
    <t>Escalation in OpEx</t>
  </si>
  <si>
    <t>Unit Cost of Electricity</t>
  </si>
  <si>
    <t>Euro/MWh</t>
  </si>
  <si>
    <t>Other Variable Costs</t>
  </si>
  <si>
    <t>Escalation in Power Cost</t>
  </si>
  <si>
    <t>Maintenance Cap Ex Electrolyser Stack</t>
  </si>
  <si>
    <t>Maintenance Cap Ex Frequency</t>
  </si>
  <si>
    <t>Debt Schedule</t>
  </si>
  <si>
    <t>Opening Balance</t>
  </si>
  <si>
    <t>Repayment</t>
  </si>
  <si>
    <t>Closing Balance</t>
  </si>
  <si>
    <t>Interest Paid</t>
  </si>
  <si>
    <t>Fixed Cost</t>
  </si>
  <si>
    <t>Return of capital</t>
  </si>
  <si>
    <t>Return of Debt</t>
  </si>
  <si>
    <t>Interest on loan</t>
  </si>
  <si>
    <t>O&amp;M Expense</t>
  </si>
  <si>
    <t>Maintance</t>
  </si>
  <si>
    <t>Variable Cost</t>
  </si>
  <si>
    <t>Cost of power consumed</t>
  </si>
  <si>
    <t>Other Variable Cost</t>
  </si>
  <si>
    <t>Levelised Cost</t>
  </si>
  <si>
    <t>Production per year</t>
  </si>
  <si>
    <t>Total Fixed Charges</t>
  </si>
  <si>
    <t>Total Variable Charges</t>
  </si>
  <si>
    <t>Total Cost of Production</t>
  </si>
  <si>
    <t>Unit Cost of Production for Green H2</t>
  </si>
  <si>
    <t>Discount Factor</t>
  </si>
  <si>
    <t>Kg</t>
  </si>
  <si>
    <t>Production</t>
  </si>
  <si>
    <t>Cost per ton</t>
  </si>
  <si>
    <t>Total Revenue</t>
  </si>
  <si>
    <t>Total Variable Cost</t>
  </si>
  <si>
    <t>Gross Profit</t>
  </si>
  <si>
    <t>Operating Cost</t>
  </si>
  <si>
    <t>EBITDA</t>
  </si>
  <si>
    <t>Depreciation</t>
  </si>
  <si>
    <t>EBIT</t>
  </si>
  <si>
    <t>Interest Payment</t>
  </si>
  <si>
    <t>EBT</t>
  </si>
  <si>
    <t>Tax</t>
  </si>
  <si>
    <t>EAT</t>
  </si>
  <si>
    <t>Pricipal Payment on Debt</t>
  </si>
  <si>
    <t>Divident Paid</t>
  </si>
  <si>
    <t>Equity Injected</t>
  </si>
  <si>
    <t>Divident Paidout</t>
  </si>
  <si>
    <t>Total</t>
  </si>
  <si>
    <t>IRR</t>
  </si>
  <si>
    <t>NAV</t>
  </si>
  <si>
    <t>25% Assumption Over CapEx</t>
  </si>
  <si>
    <t>Low Case</t>
  </si>
  <si>
    <t>High Case</t>
  </si>
  <si>
    <t>Years &gt;&gt;&gt;</t>
  </si>
  <si>
    <t>in Tonnes</t>
  </si>
  <si>
    <t>tonnes</t>
  </si>
  <si>
    <t>Cost of water</t>
  </si>
  <si>
    <t xml:space="preserve">Dividend Payout Ratio </t>
  </si>
  <si>
    <t>Years&gt;&gt;&gt;&gt;&gt;</t>
  </si>
  <si>
    <t>Years&gt;</t>
  </si>
  <si>
    <t>Net Cash</t>
  </si>
  <si>
    <t>Years&gt;&gt;&gt;</t>
  </si>
  <si>
    <t xml:space="preserve">Net income </t>
  </si>
  <si>
    <t>Net Income for Investors</t>
  </si>
  <si>
    <t>Factor</t>
  </si>
  <si>
    <t>Cost of H2/Kg</t>
  </si>
  <si>
    <t>Electrolyser efficiency</t>
  </si>
  <si>
    <t>Cost of electricity</t>
  </si>
  <si>
    <t>NAV (% Change)</t>
  </si>
  <si>
    <t>Electrolyser Capacity (80% input power availability)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</si>
</sst>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%"/>
    <numFmt numFmtId="166" formatCode="_ [$€-2]\ * #,##0.00_ ;_ [$€-2]\ * \-#,##0.00_ ;_ [$€-2]\ * &quot;-&quot;??_ ;_ @_ "/>
    <numFmt numFmtId="175" formatCode="[$€-1809]#,##0.00;\-[$€-1809]#,##0.00"/>
    <numFmt numFmtId="177" formatCode="dd/mm/yyyy;@"/>
    <numFmt numFmtId="179" formatCode="0.0000"/>
  </numFmts>
  <fonts count="13" x14ac:knownFonts="1">
    <font>
      <sz val="12"/>
      <color theme="1"/>
      <name val="Quattrocento Sans"/>
      <scheme val="minor"/>
    </font>
    <font>
      <sz val="12"/>
      <color theme="1"/>
      <name val="Quattrocento Sans"/>
      <scheme val="minor"/>
    </font>
    <font>
      <b/>
      <sz val="12"/>
      <color theme="1"/>
      <name val="Quattrocento Sans"/>
    </font>
    <font>
      <sz val="12"/>
      <color theme="1"/>
      <name val="Quattrocento Sans"/>
    </font>
    <font>
      <b/>
      <sz val="12"/>
      <color theme="1"/>
      <name val="Quattrocento Sans"/>
      <scheme val="minor"/>
    </font>
    <font>
      <b/>
      <sz val="12"/>
      <color theme="1"/>
      <name val="Quattrocento Sans"/>
      <family val="2"/>
      <scheme val="minor"/>
    </font>
    <font>
      <i/>
      <sz val="9"/>
      <color theme="1"/>
      <name val="Quattrocento Sans"/>
      <family val="2"/>
      <scheme val="minor"/>
    </font>
    <font>
      <sz val="12"/>
      <color theme="1"/>
      <name val="Quattrocento Sans"/>
      <family val="2"/>
      <scheme val="minor"/>
    </font>
    <font>
      <b/>
      <sz val="12"/>
      <color theme="0"/>
      <name val="Quattrocento Sans"/>
      <family val="2"/>
      <scheme val="minor"/>
    </font>
    <font>
      <sz val="12"/>
      <color theme="0"/>
      <name val="Quattrocento Sans"/>
      <family val="2"/>
      <scheme val="minor"/>
    </font>
    <font>
      <sz val="12"/>
      <color rgb="FFFF0000"/>
      <name val="Quattrocento Sans"/>
      <family val="2"/>
      <scheme val="minor"/>
    </font>
    <font>
      <sz val="12"/>
      <color rgb="FFC00000"/>
      <name val="Quattrocento Sans"/>
      <family val="2"/>
      <scheme val="minor"/>
    </font>
    <font>
      <sz val="12"/>
      <color rgb="FF0066FF"/>
      <name val="Quattrocento San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4" fillId="0" borderId="4" xfId="0" applyFont="1" applyBorder="1"/>
    <xf numFmtId="0" fontId="0" fillId="0" borderId="5" xfId="0" applyBorder="1"/>
    <xf numFmtId="0" fontId="1" fillId="0" borderId="4" xfId="0" applyFont="1" applyBorder="1"/>
    <xf numFmtId="43" fontId="1" fillId="0" borderId="5" xfId="1" applyFont="1" applyBorder="1"/>
    <xf numFmtId="43" fontId="0" fillId="0" borderId="0" xfId="1" applyFont="1" applyBorder="1"/>
    <xf numFmtId="43" fontId="0" fillId="0" borderId="5" xfId="1" applyFont="1" applyBorder="1"/>
    <xf numFmtId="166" fontId="1" fillId="0" borderId="0" xfId="1" applyNumberFormat="1" applyFont="1" applyBorder="1"/>
    <xf numFmtId="166" fontId="1" fillId="0" borderId="5" xfId="1" applyNumberFormat="1" applyFont="1" applyBorder="1"/>
    <xf numFmtId="0" fontId="0" fillId="0" borderId="4" xfId="0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0" fontId="1" fillId="0" borderId="6" xfId="0" applyFont="1" applyBorder="1"/>
    <xf numFmtId="0" fontId="0" fillId="0" borderId="7" xfId="0" applyBorder="1"/>
    <xf numFmtId="0" fontId="1" fillId="0" borderId="14" xfId="0" applyFont="1" applyBorder="1"/>
    <xf numFmtId="166" fontId="1" fillId="0" borderId="15" xfId="1" applyNumberFormat="1" applyFont="1" applyBorder="1"/>
    <xf numFmtId="166" fontId="1" fillId="0" borderId="16" xfId="1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166" fontId="0" fillId="0" borderId="23" xfId="1" applyNumberFormat="1" applyFont="1" applyBorder="1"/>
    <xf numFmtId="166" fontId="0" fillId="0" borderId="24" xfId="1" applyNumberFormat="1" applyFont="1" applyBorder="1"/>
    <xf numFmtId="0" fontId="1" fillId="0" borderId="26" xfId="0" applyFont="1" applyBorder="1"/>
    <xf numFmtId="0" fontId="0" fillId="0" borderId="27" xfId="0" applyBorder="1"/>
    <xf numFmtId="166" fontId="1" fillId="0" borderId="28" xfId="1" applyNumberFormat="1" applyFont="1" applyBorder="1"/>
    <xf numFmtId="166" fontId="1" fillId="0" borderId="29" xfId="1" applyNumberFormat="1" applyFont="1" applyBorder="1"/>
    <xf numFmtId="0" fontId="1" fillId="0" borderId="21" xfId="0" applyFont="1" applyBorder="1"/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5" fillId="0" borderId="0" xfId="0" applyFont="1"/>
    <xf numFmtId="0" fontId="3" fillId="0" borderId="4" xfId="0" applyFont="1" applyBorder="1"/>
    <xf numFmtId="0" fontId="3" fillId="0" borderId="21" xfId="0" applyFont="1" applyBorder="1"/>
    <xf numFmtId="0" fontId="6" fillId="0" borderId="24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9" fontId="3" fillId="0" borderId="34" xfId="0" applyNumberFormat="1" applyFont="1" applyBorder="1"/>
    <xf numFmtId="43" fontId="1" fillId="0" borderId="34" xfId="1" applyFont="1" applyBorder="1"/>
    <xf numFmtId="43" fontId="3" fillId="0" borderId="34" xfId="0" applyNumberFormat="1" applyFont="1" applyBorder="1"/>
    <xf numFmtId="43" fontId="3" fillId="0" borderId="35" xfId="0" applyNumberFormat="1" applyFont="1" applyBorder="1"/>
    <xf numFmtId="10" fontId="3" fillId="0" borderId="34" xfId="0" applyNumberFormat="1" applyFont="1" applyBorder="1"/>
    <xf numFmtId="164" fontId="3" fillId="0" borderId="35" xfId="0" applyNumberFormat="1" applyFont="1" applyBorder="1"/>
    <xf numFmtId="0" fontId="3" fillId="0" borderId="34" xfId="0" applyFont="1" applyBorder="1"/>
    <xf numFmtId="2" fontId="3" fillId="0" borderId="34" xfId="0" applyNumberFormat="1" applyFont="1" applyBorder="1"/>
    <xf numFmtId="2" fontId="3" fillId="0" borderId="36" xfId="0" applyNumberFormat="1" applyFont="1" applyBorder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9" fontId="7" fillId="0" borderId="0" xfId="0" applyNumberFormat="1" applyFont="1" applyAlignment="1">
      <alignment vertical="center" wrapText="1"/>
    </xf>
    <xf numFmtId="0" fontId="7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43" fontId="1" fillId="0" borderId="28" xfId="1" applyFont="1" applyBorder="1"/>
    <xf numFmtId="0" fontId="7" fillId="0" borderId="4" xfId="0" applyFont="1" applyBorder="1"/>
    <xf numFmtId="166" fontId="3" fillId="0" borderId="34" xfId="2" applyNumberFormat="1" applyFont="1" applyBorder="1"/>
    <xf numFmtId="43" fontId="1" fillId="0" borderId="0" xfId="1" applyFont="1"/>
    <xf numFmtId="175" fontId="1" fillId="0" borderId="15" xfId="1" applyNumberFormat="1" applyFont="1" applyBorder="1"/>
    <xf numFmtId="0" fontId="7" fillId="0" borderId="34" xfId="0" applyFont="1" applyBorder="1"/>
    <xf numFmtId="43" fontId="1" fillId="0" borderId="23" xfId="1" applyFont="1" applyBorder="1"/>
    <xf numFmtId="43" fontId="0" fillId="0" borderId="0" xfId="1" applyFont="1"/>
    <xf numFmtId="43" fontId="1" fillId="0" borderId="4" xfId="1" applyFont="1" applyBorder="1"/>
    <xf numFmtId="43" fontId="1" fillId="0" borderId="21" xfId="1" applyFont="1" applyBorder="1"/>
    <xf numFmtId="43" fontId="0" fillId="0" borderId="35" xfId="1" applyFont="1" applyBorder="1"/>
    <xf numFmtId="43" fontId="0" fillId="0" borderId="23" xfId="1" applyFont="1" applyBorder="1"/>
    <xf numFmtId="43" fontId="0" fillId="0" borderId="24" xfId="1" applyFont="1" applyBorder="1"/>
    <xf numFmtId="43" fontId="0" fillId="0" borderId="4" xfId="1" applyFont="1" applyBorder="1"/>
    <xf numFmtId="43" fontId="0" fillId="0" borderId="34" xfId="1" applyFont="1" applyBorder="1"/>
    <xf numFmtId="43" fontId="1" fillId="0" borderId="35" xfId="1" applyFont="1" applyBorder="1"/>
    <xf numFmtId="43" fontId="4" fillId="0" borderId="4" xfId="1" applyFont="1" applyBorder="1"/>
    <xf numFmtId="43" fontId="0" fillId="0" borderId="37" xfId="1" applyFont="1" applyBorder="1"/>
    <xf numFmtId="43" fontId="1" fillId="0" borderId="26" xfId="1" applyFont="1" applyBorder="1"/>
    <xf numFmtId="43" fontId="0" fillId="0" borderId="25" xfId="1" applyFont="1" applyBorder="1"/>
    <xf numFmtId="43" fontId="4" fillId="0" borderId="0" xfId="1" applyFont="1"/>
    <xf numFmtId="43" fontId="7" fillId="0" borderId="4" xfId="1" applyFont="1" applyBorder="1"/>
    <xf numFmtId="0" fontId="2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26" xfId="0" applyFont="1" applyFill="1" applyBorder="1"/>
    <xf numFmtId="0" fontId="0" fillId="2" borderId="28" xfId="0" applyFill="1" applyBorder="1"/>
    <xf numFmtId="0" fontId="0" fillId="2" borderId="29" xfId="0" applyFill="1" applyBorder="1"/>
    <xf numFmtId="0" fontId="8" fillId="3" borderId="0" xfId="0" applyFont="1" applyFill="1"/>
    <xf numFmtId="0" fontId="9" fillId="3" borderId="0" xfId="0" applyFont="1" applyFill="1"/>
    <xf numFmtId="0" fontId="8" fillId="3" borderId="10" xfId="0" applyFont="1" applyFill="1" applyBorder="1"/>
    <xf numFmtId="0" fontId="9" fillId="3" borderId="9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  <xf numFmtId="0" fontId="1" fillId="2" borderId="26" xfId="0" applyFont="1" applyFill="1" applyBorder="1"/>
    <xf numFmtId="0" fontId="0" fillId="2" borderId="25" xfId="0" applyFill="1" applyBorder="1"/>
    <xf numFmtId="43" fontId="1" fillId="2" borderId="28" xfId="0" applyNumberFormat="1" applyFont="1" applyFill="1" applyBorder="1"/>
    <xf numFmtId="43" fontId="1" fillId="2" borderId="29" xfId="0" applyNumberFormat="1" applyFont="1" applyFill="1" applyBorder="1"/>
    <xf numFmtId="0" fontId="1" fillId="2" borderId="21" xfId="0" applyFont="1" applyFill="1" applyBorder="1"/>
    <xf numFmtId="0" fontId="0" fillId="2" borderId="20" xfId="0" applyFill="1" applyBorder="1"/>
    <xf numFmtId="43" fontId="1" fillId="2" borderId="23" xfId="0" applyNumberFormat="1" applyFont="1" applyFill="1" applyBorder="1"/>
    <xf numFmtId="43" fontId="1" fillId="2" borderId="24" xfId="0" applyNumberFormat="1" applyFont="1" applyFill="1" applyBorder="1"/>
    <xf numFmtId="0" fontId="1" fillId="2" borderId="6" xfId="0" applyFont="1" applyFill="1" applyBorder="1"/>
    <xf numFmtId="43" fontId="10" fillId="2" borderId="25" xfId="0" applyNumberFormat="1" applyFont="1" applyFill="1" applyBorder="1"/>
    <xf numFmtId="4" fontId="10" fillId="2" borderId="38" xfId="0" applyNumberFormat="1" applyFont="1" applyFill="1" applyBorder="1"/>
    <xf numFmtId="43" fontId="10" fillId="2" borderId="28" xfId="0" applyNumberFormat="1" applyFont="1" applyFill="1" applyBorder="1"/>
    <xf numFmtId="4" fontId="10" fillId="2" borderId="7" xfId="0" applyNumberFormat="1" applyFont="1" applyFill="1" applyBorder="1"/>
    <xf numFmtId="43" fontId="9" fillId="3" borderId="10" xfId="1" applyFont="1" applyFill="1" applyBorder="1"/>
    <xf numFmtId="43" fontId="9" fillId="3" borderId="11" xfId="1" applyFont="1" applyFill="1" applyBorder="1"/>
    <xf numFmtId="1" fontId="9" fillId="3" borderId="11" xfId="1" applyNumberFormat="1" applyFont="1" applyFill="1" applyBorder="1"/>
    <xf numFmtId="1" fontId="9" fillId="3" borderId="12" xfId="1" applyNumberFormat="1" applyFont="1" applyFill="1" applyBorder="1"/>
    <xf numFmtId="43" fontId="4" fillId="2" borderId="26" xfId="1" applyFont="1" applyFill="1" applyBorder="1"/>
    <xf numFmtId="43" fontId="0" fillId="2" borderId="33" xfId="1" applyFont="1" applyFill="1" applyBorder="1"/>
    <xf numFmtId="43" fontId="0" fillId="2" borderId="28" xfId="1" applyFont="1" applyFill="1" applyBorder="1"/>
    <xf numFmtId="43" fontId="0" fillId="2" borderId="29" xfId="1" applyFont="1" applyFill="1" applyBorder="1"/>
    <xf numFmtId="43" fontId="5" fillId="4" borderId="30" xfId="1" applyFont="1" applyFill="1" applyBorder="1"/>
    <xf numFmtId="43" fontId="1" fillId="2" borderId="39" xfId="1" applyFont="1" applyFill="1" applyBorder="1"/>
    <xf numFmtId="43" fontId="5" fillId="2" borderId="31" xfId="1" applyFont="1" applyFill="1" applyBorder="1"/>
    <xf numFmtId="43" fontId="0" fillId="2" borderId="31" xfId="1" applyFont="1" applyFill="1" applyBorder="1"/>
    <xf numFmtId="43" fontId="0" fillId="2" borderId="32" xfId="1" applyFont="1" applyFill="1" applyBorder="1"/>
    <xf numFmtId="43" fontId="5" fillId="2" borderId="26" xfId="1" applyFont="1" applyFill="1" applyBorder="1"/>
    <xf numFmtId="43" fontId="1" fillId="0" borderId="4" xfId="1" applyFont="1" applyFill="1" applyBorder="1"/>
    <xf numFmtId="43" fontId="11" fillId="0" borderId="0" xfId="1" applyFont="1"/>
    <xf numFmtId="43" fontId="11" fillId="0" borderId="5" xfId="1" applyFont="1" applyBorder="1"/>
    <xf numFmtId="0" fontId="9" fillId="3" borderId="10" xfId="0" applyFont="1" applyFill="1" applyBorder="1"/>
    <xf numFmtId="0" fontId="9" fillId="3" borderId="11" xfId="0" applyFont="1" applyFill="1" applyBorder="1"/>
    <xf numFmtId="0" fontId="9" fillId="3" borderId="12" xfId="0" applyFont="1" applyFill="1" applyBorder="1"/>
    <xf numFmtId="166" fontId="11" fillId="0" borderId="0" xfId="1" applyNumberFormat="1" applyFont="1" applyBorder="1"/>
    <xf numFmtId="166" fontId="11" fillId="0" borderId="5" xfId="1" applyNumberFormat="1" applyFont="1" applyBorder="1"/>
    <xf numFmtId="9" fontId="11" fillId="0" borderId="18" xfId="0" applyNumberFormat="1" applyFont="1" applyBorder="1"/>
    <xf numFmtId="43" fontId="12" fillId="0" borderId="18" xfId="1" applyFont="1" applyBorder="1"/>
    <xf numFmtId="43" fontId="12" fillId="0" borderId="0" xfId="1" applyFont="1" applyBorder="1"/>
    <xf numFmtId="43" fontId="12" fillId="0" borderId="5" xfId="1" applyFont="1" applyBorder="1"/>
    <xf numFmtId="166" fontId="12" fillId="0" borderId="7" xfId="1" applyNumberFormat="1" applyFont="1" applyBorder="1"/>
    <xf numFmtId="9" fontId="12" fillId="0" borderId="18" xfId="0" applyNumberFormat="1" applyFont="1" applyBorder="1"/>
    <xf numFmtId="0" fontId="0" fillId="2" borderId="27" xfId="0" applyFill="1" applyBorder="1"/>
    <xf numFmtId="166" fontId="1" fillId="2" borderId="28" xfId="1" applyNumberFormat="1" applyFont="1" applyFill="1" applyBorder="1"/>
    <xf numFmtId="166" fontId="1" fillId="2" borderId="29" xfId="1" applyNumberFormat="1" applyFont="1" applyFill="1" applyBorder="1"/>
    <xf numFmtId="0" fontId="0" fillId="2" borderId="22" xfId="0" applyFill="1" applyBorder="1"/>
    <xf numFmtId="166" fontId="1" fillId="2" borderId="23" xfId="1" applyNumberFormat="1" applyFont="1" applyFill="1" applyBorder="1"/>
    <xf numFmtId="166" fontId="1" fillId="2" borderId="24" xfId="1" applyNumberFormat="1" applyFont="1" applyFill="1" applyBorder="1"/>
    <xf numFmtId="0" fontId="7" fillId="0" borderId="0" xfId="0" applyFont="1"/>
    <xf numFmtId="9" fontId="9" fillId="0" borderId="28" xfId="0" applyNumberFormat="1" applyFont="1" applyBorder="1"/>
    <xf numFmtId="166" fontId="9" fillId="0" borderId="28" xfId="0" applyNumberFormat="1" applyFont="1" applyBorder="1"/>
    <xf numFmtId="0" fontId="9" fillId="0" borderId="41" xfId="0" applyFont="1" applyFill="1" applyBorder="1"/>
    <xf numFmtId="43" fontId="9" fillId="3" borderId="1" xfId="1" applyFont="1" applyFill="1" applyBorder="1"/>
    <xf numFmtId="43" fontId="9" fillId="3" borderId="40" xfId="1" applyFont="1" applyFill="1" applyBorder="1"/>
    <xf numFmtId="177" fontId="9" fillId="3" borderId="2" xfId="1" applyNumberFormat="1" applyFont="1" applyFill="1" applyBorder="1"/>
    <xf numFmtId="177" fontId="9" fillId="3" borderId="3" xfId="1" applyNumberFormat="1" applyFont="1" applyFill="1" applyBorder="1"/>
    <xf numFmtId="43" fontId="9" fillId="3" borderId="21" xfId="1" applyFont="1" applyFill="1" applyBorder="1"/>
    <xf numFmtId="43" fontId="9" fillId="3" borderId="20" xfId="1" applyFont="1" applyFill="1" applyBorder="1"/>
    <xf numFmtId="0" fontId="9" fillId="3" borderId="23" xfId="1" applyNumberFormat="1" applyFont="1" applyFill="1" applyBorder="1"/>
    <xf numFmtId="0" fontId="9" fillId="3" borderId="24" xfId="1" applyNumberFormat="1" applyFont="1" applyFill="1" applyBorder="1"/>
    <xf numFmtId="43" fontId="4" fillId="2" borderId="4" xfId="1" applyFont="1" applyFill="1" applyBorder="1"/>
    <xf numFmtId="43" fontId="4" fillId="2" borderId="37" xfId="1" applyFont="1" applyFill="1" applyBorder="1"/>
    <xf numFmtId="43" fontId="0" fillId="2" borderId="0" xfId="1" applyFont="1" applyFill="1"/>
    <xf numFmtId="43" fontId="0" fillId="2" borderId="5" xfId="1" applyFont="1" applyFill="1" applyBorder="1"/>
    <xf numFmtId="43" fontId="4" fillId="2" borderId="6" xfId="1" applyFont="1" applyFill="1" applyBorder="1"/>
    <xf numFmtId="43" fontId="4" fillId="2" borderId="38" xfId="1" applyFont="1" applyFill="1" applyBorder="1"/>
    <xf numFmtId="43" fontId="0" fillId="2" borderId="7" xfId="1" applyFont="1" applyFill="1" applyBorder="1"/>
    <xf numFmtId="43" fontId="0" fillId="2" borderId="8" xfId="1" applyFont="1" applyFill="1" applyBorder="1"/>
    <xf numFmtId="9" fontId="4" fillId="2" borderId="38" xfId="2" applyFont="1" applyFill="1" applyBorder="1"/>
    <xf numFmtId="10" fontId="4" fillId="2" borderId="13" xfId="2" applyNumberFormat="1" applyFont="1" applyFill="1" applyBorder="1"/>
    <xf numFmtId="43" fontId="0" fillId="0" borderId="0" xfId="0" applyNumberFormat="1"/>
    <xf numFmtId="0" fontId="0" fillId="0" borderId="2" xfId="0" applyBorder="1"/>
    <xf numFmtId="0" fontId="7" fillId="0" borderId="2" xfId="0" applyFont="1" applyBorder="1"/>
    <xf numFmtId="0" fontId="0" fillId="0" borderId="3" xfId="0" applyBorder="1"/>
    <xf numFmtId="0" fontId="0" fillId="0" borderId="0" xfId="0" applyFill="1"/>
    <xf numFmtId="0" fontId="0" fillId="0" borderId="4" xfId="0" applyFont="1" applyBorder="1"/>
    <xf numFmtId="0" fontId="0" fillId="2" borderId="26" xfId="0" applyFont="1" applyFill="1" applyBorder="1"/>
    <xf numFmtId="0" fontId="7" fillId="5" borderId="4" xfId="0" applyFont="1" applyFill="1" applyBorder="1" applyAlignment="1">
      <alignment horizontal="center"/>
    </xf>
    <xf numFmtId="9" fontId="0" fillId="5" borderId="34" xfId="2" applyFont="1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43" fontId="0" fillId="5" borderId="0" xfId="1" applyFont="1" applyFill="1" applyBorder="1" applyAlignment="1">
      <alignment horizontal="center"/>
    </xf>
    <xf numFmtId="179" fontId="0" fillId="5" borderId="4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43" fontId="9" fillId="3" borderId="0" xfId="1" applyFont="1" applyFill="1" applyBorder="1" applyAlignment="1">
      <alignment horizontal="center"/>
    </xf>
    <xf numFmtId="179" fontId="9" fillId="3" borderId="43" xfId="0" applyNumberFormat="1" applyFont="1" applyFill="1" applyBorder="1" applyAlignment="1">
      <alignment horizontal="center"/>
    </xf>
    <xf numFmtId="43" fontId="7" fillId="5" borderId="0" xfId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43" fontId="0" fillId="5" borderId="7" xfId="1" applyFont="1" applyFill="1" applyBorder="1" applyAlignment="1">
      <alignment horizontal="center"/>
    </xf>
    <xf numFmtId="179" fontId="0" fillId="5" borderId="42" xfId="0" applyNumberFormat="1" applyFill="1" applyBorder="1" applyAlignment="1">
      <alignment horizontal="center"/>
    </xf>
    <xf numFmtId="0" fontId="9" fillId="3" borderId="1" xfId="0" applyFont="1" applyFill="1" applyBorder="1"/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theme="5"/>
      </font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Opening</a:t>
            </a:r>
            <a:r>
              <a:rPr lang="en-IN" baseline="0"/>
              <a:t> Balance vs Debt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Debt Paid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'Debt Schedule'!$D$5:$AG$5</c:f>
              <c:numCache>
                <c:formatCode>_(* #,##0.00_);_(* \(#,##0.00\);_(* "-"??_);_(@_)</c:formatCode>
                <c:ptCount val="30"/>
                <c:pt idx="0">
                  <c:v>6358333.3333333312</c:v>
                </c:pt>
                <c:pt idx="1">
                  <c:v>6358333.3333333312</c:v>
                </c:pt>
                <c:pt idx="2">
                  <c:v>6358333.3333333312</c:v>
                </c:pt>
                <c:pt idx="3">
                  <c:v>6358333.3333333312</c:v>
                </c:pt>
                <c:pt idx="4">
                  <c:v>6358333.3333333312</c:v>
                </c:pt>
                <c:pt idx="5">
                  <c:v>6358333.3333333312</c:v>
                </c:pt>
                <c:pt idx="6">
                  <c:v>6358333.3333333312</c:v>
                </c:pt>
                <c:pt idx="7">
                  <c:v>6358333.3333333312</c:v>
                </c:pt>
                <c:pt idx="8">
                  <c:v>6358333.3333333312</c:v>
                </c:pt>
                <c:pt idx="9">
                  <c:v>6358333.3333333312</c:v>
                </c:pt>
                <c:pt idx="10">
                  <c:v>6358333.3333333312</c:v>
                </c:pt>
                <c:pt idx="11">
                  <c:v>6358333.3333333312</c:v>
                </c:pt>
                <c:pt idx="12">
                  <c:v>6358333.3333333312</c:v>
                </c:pt>
                <c:pt idx="13">
                  <c:v>6358333.3333333312</c:v>
                </c:pt>
                <c:pt idx="14">
                  <c:v>6358333.3333333312</c:v>
                </c:pt>
                <c:pt idx="15">
                  <c:v>6358333.3333333312</c:v>
                </c:pt>
                <c:pt idx="16">
                  <c:v>6358333.3333333312</c:v>
                </c:pt>
                <c:pt idx="17">
                  <c:v>6358333.3333333312</c:v>
                </c:pt>
                <c:pt idx="18">
                  <c:v>6358333.3333333312</c:v>
                </c:pt>
                <c:pt idx="19">
                  <c:v>6358333.3333333312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6-429E-AD3D-92F8C624EF4B}"/>
            </c:ext>
          </c:extLst>
        </c:ser>
        <c:ser>
          <c:idx val="2"/>
          <c:order val="1"/>
          <c:tx>
            <c:v>Opening Balance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'Debt Schedule'!$D$4:$AG$4</c:f>
              <c:numCache>
                <c:formatCode>_(* #,##0.00_);_(* \(#,##0.00\);_(* "-"??_);_(@_)</c:formatCode>
                <c:ptCount val="30"/>
                <c:pt idx="0">
                  <c:v>127166666.66666663</c:v>
                </c:pt>
                <c:pt idx="1">
                  <c:v>120808333.3333333</c:v>
                </c:pt>
                <c:pt idx="2">
                  <c:v>114449999.99999997</c:v>
                </c:pt>
                <c:pt idx="3">
                  <c:v>108091666.66666664</c:v>
                </c:pt>
                <c:pt idx="4">
                  <c:v>101733333.33333331</c:v>
                </c:pt>
                <c:pt idx="5">
                  <c:v>95374999.999999985</c:v>
                </c:pt>
                <c:pt idx="6">
                  <c:v>89016666.666666657</c:v>
                </c:pt>
                <c:pt idx="7">
                  <c:v>82658333.333333328</c:v>
                </c:pt>
                <c:pt idx="8">
                  <c:v>76300000</c:v>
                </c:pt>
                <c:pt idx="9">
                  <c:v>69941666.666666672</c:v>
                </c:pt>
                <c:pt idx="10">
                  <c:v>63583333.333333343</c:v>
                </c:pt>
                <c:pt idx="11">
                  <c:v>57225000.000000015</c:v>
                </c:pt>
                <c:pt idx="12">
                  <c:v>50866666.666666687</c:v>
                </c:pt>
                <c:pt idx="13">
                  <c:v>44508333.333333358</c:v>
                </c:pt>
                <c:pt idx="14">
                  <c:v>38150000.00000003</c:v>
                </c:pt>
                <c:pt idx="15">
                  <c:v>31791666.666666698</c:v>
                </c:pt>
                <c:pt idx="16">
                  <c:v>25433333.333333366</c:v>
                </c:pt>
                <c:pt idx="17">
                  <c:v>19075000.000000034</c:v>
                </c:pt>
                <c:pt idx="18">
                  <c:v>12716666.666666701</c:v>
                </c:pt>
                <c:pt idx="19">
                  <c:v>6358333.3333333703</c:v>
                </c:pt>
                <c:pt idx="20">
                  <c:v>3.9115548133850098E-8</c:v>
                </c:pt>
                <c:pt idx="21">
                  <c:v>3.9115548133850098E-8</c:v>
                </c:pt>
                <c:pt idx="22">
                  <c:v>3.9115548133850098E-8</c:v>
                </c:pt>
                <c:pt idx="23">
                  <c:v>3.9115548133850098E-8</c:v>
                </c:pt>
                <c:pt idx="24">
                  <c:v>3.9115548133850098E-8</c:v>
                </c:pt>
                <c:pt idx="25">
                  <c:v>3.9115548133850098E-8</c:v>
                </c:pt>
                <c:pt idx="26">
                  <c:v>3.9115548133850098E-8</c:v>
                </c:pt>
                <c:pt idx="27">
                  <c:v>3.9115548133850098E-8</c:v>
                </c:pt>
                <c:pt idx="28">
                  <c:v>3.9115548133850098E-8</c:v>
                </c:pt>
                <c:pt idx="29">
                  <c:v>3.9115548133850098E-8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6-429E-AD3D-92F8C624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949600"/>
        <c:axId val="107495632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8C-7306-429E-AD3D-92F8C624EF4B}"/>
                  </c:ext>
                </c:extLst>
              </c15:ser>
            </c15:filteredBarSeries>
          </c:ext>
        </c:extLst>
      </c:barChart>
      <c:catAx>
        <c:axId val="1074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56320"/>
        <c:crosses val="autoZero"/>
        <c:auto val="1"/>
        <c:lblAlgn val="ctr"/>
        <c:lblOffset val="100"/>
        <c:noMultiLvlLbl val="0"/>
      </c:catAx>
      <c:valAx>
        <c:axId val="10749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Cash vs</a:t>
            </a:r>
            <a:r>
              <a:rPr lang="en-IN" baseline="0"/>
              <a:t> Int. paid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v>interest paid</c:v>
          </c:tx>
          <c:spPr>
            <a:solidFill>
              <a:schemeClr val="accent4">
                <a:tint val="86000"/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tint val="86000"/>
                  <a:lumMod val="75000"/>
                </a:schemeClr>
              </a:innerShdw>
            </a:effectLst>
          </c:spPr>
          <c:dLbls>
            <c:delete val="1"/>
          </c:dLbls>
          <c:val>
            <c:numRef>
              <c:f>'Debt Schedule'!$D$7:$AG$7</c:f>
              <c:numCache>
                <c:formatCode>#,##0.00</c:formatCode>
                <c:ptCount val="30"/>
                <c:pt idx="0">
                  <c:v>14306249.999999994</c:v>
                </c:pt>
                <c:pt idx="1">
                  <c:v>13590937.499999994</c:v>
                </c:pt>
                <c:pt idx="2">
                  <c:v>12875624.999999996</c:v>
                </c:pt>
                <c:pt idx="3">
                  <c:v>12160312.499999996</c:v>
                </c:pt>
                <c:pt idx="4">
                  <c:v>11444999.999999996</c:v>
                </c:pt>
                <c:pt idx="5">
                  <c:v>10729687.499999998</c:v>
                </c:pt>
                <c:pt idx="6">
                  <c:v>10014374.999999998</c:v>
                </c:pt>
                <c:pt idx="7">
                  <c:v>9299062.4999999981</c:v>
                </c:pt>
                <c:pt idx="8">
                  <c:v>8583750</c:v>
                </c:pt>
                <c:pt idx="9">
                  <c:v>7868437.5</c:v>
                </c:pt>
                <c:pt idx="10">
                  <c:v>7153125</c:v>
                </c:pt>
                <c:pt idx="11">
                  <c:v>6437812.5000000009</c:v>
                </c:pt>
                <c:pt idx="12">
                  <c:v>5722500.0000000019</c:v>
                </c:pt>
                <c:pt idx="13">
                  <c:v>5007187.5000000019</c:v>
                </c:pt>
                <c:pt idx="14">
                  <c:v>4291875.0000000028</c:v>
                </c:pt>
                <c:pt idx="15">
                  <c:v>3576562.5000000033</c:v>
                </c:pt>
                <c:pt idx="16">
                  <c:v>2861250.0000000033</c:v>
                </c:pt>
                <c:pt idx="17">
                  <c:v>2145937.5000000037</c:v>
                </c:pt>
                <c:pt idx="18">
                  <c:v>1430625.0000000037</c:v>
                </c:pt>
                <c:pt idx="19">
                  <c:v>715312.50000000407</c:v>
                </c:pt>
                <c:pt idx="20">
                  <c:v>4.4004991650581357E-9</c:v>
                </c:pt>
                <c:pt idx="21">
                  <c:v>4.4004991650581357E-9</c:v>
                </c:pt>
                <c:pt idx="22">
                  <c:v>4.4004991650581357E-9</c:v>
                </c:pt>
                <c:pt idx="23">
                  <c:v>4.4004991650581357E-9</c:v>
                </c:pt>
                <c:pt idx="24">
                  <c:v>4.4004991650581357E-9</c:v>
                </c:pt>
                <c:pt idx="25">
                  <c:v>4.4004991650581357E-9</c:v>
                </c:pt>
                <c:pt idx="26">
                  <c:v>4.4004991650581357E-9</c:v>
                </c:pt>
                <c:pt idx="27">
                  <c:v>4.4004991650581357E-9</c:v>
                </c:pt>
                <c:pt idx="28">
                  <c:v>4.4004991650581357E-9</c:v>
                </c:pt>
                <c:pt idx="29">
                  <c:v>4.4004991650581357E-9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8-431A-8BD8-601965CCB5DB}"/>
            </c:ext>
          </c:extLst>
        </c:ser>
        <c:ser>
          <c:idx val="3"/>
          <c:order val="3"/>
          <c:tx>
            <c:v>net cash</c:v>
          </c:tx>
          <c:spPr>
            <a:solidFill>
              <a:schemeClr val="accent4">
                <a:tint val="58000"/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tint val="58000"/>
                  <a:lumMod val="75000"/>
                </a:schemeClr>
              </a:innerShdw>
            </a:effectLst>
          </c:spPr>
          <c:dLbls>
            <c:delete val="1"/>
          </c:dLbls>
          <c:val>
            <c:numRef>
              <c:f>Valuation!$D$14:$AG$14</c:f>
              <c:numCache>
                <c:formatCode>_(* #,##0.00_);_(* \(#,##0.00\);_(* "-"??_);_(@_)</c:formatCode>
                <c:ptCount val="30"/>
                <c:pt idx="0">
                  <c:v>62311768.09366668</c:v>
                </c:pt>
                <c:pt idx="1">
                  <c:v>63194405.68741668</c:v>
                </c:pt>
                <c:pt idx="2">
                  <c:v>64077017.664916672</c:v>
                </c:pt>
                <c:pt idx="3">
                  <c:v>64959603.770004176</c:v>
                </c:pt>
                <c:pt idx="4">
                  <c:v>65842163.743955053</c:v>
                </c:pt>
                <c:pt idx="5">
                  <c:v>66724697.325457938</c:v>
                </c:pt>
                <c:pt idx="6">
                  <c:v>67607204.250588357</c:v>
                </c:pt>
                <c:pt idx="7">
                  <c:v>68419559.252782553</c:v>
                </c:pt>
                <c:pt idx="8">
                  <c:v>69372137.062811211</c:v>
                </c:pt>
                <c:pt idx="9">
                  <c:v>70254562.408752665</c:v>
                </c:pt>
                <c:pt idx="10">
                  <c:v>71136960.015966028</c:v>
                </c:pt>
                <c:pt idx="11">
                  <c:v>72019329.607064009</c:v>
                </c:pt>
                <c:pt idx="12">
                  <c:v>72901670.90188548</c:v>
                </c:pt>
                <c:pt idx="13">
                  <c:v>73783983.617467672</c:v>
                </c:pt>
                <c:pt idx="14">
                  <c:v>74666267.468018174</c:v>
                </c:pt>
                <c:pt idx="15">
                  <c:v>75478397.164886683</c:v>
                </c:pt>
                <c:pt idx="16">
                  <c:v>76430747.416536406</c:v>
                </c:pt>
                <c:pt idx="17">
                  <c:v>77312942.928515077</c:v>
                </c:pt>
                <c:pt idx="18">
                  <c:v>78195108.403426081</c:v>
                </c:pt>
                <c:pt idx="19">
                  <c:v>79077243.540898666</c:v>
                </c:pt>
                <c:pt idx="20">
                  <c:v>88702056.370891809</c:v>
                </c:pt>
                <c:pt idx="21">
                  <c:v>88698930.701580748</c:v>
                </c:pt>
                <c:pt idx="22">
                  <c:v>88695773.775576547</c:v>
                </c:pt>
                <c:pt idx="23">
                  <c:v>88622460.2803123</c:v>
                </c:pt>
                <c:pt idx="24">
                  <c:v>88689364.900095433</c:v>
                </c:pt>
                <c:pt idx="25">
                  <c:v>88686112.316076383</c:v>
                </c:pt>
                <c:pt idx="26">
                  <c:v>88682827.20621714</c:v>
                </c:pt>
                <c:pt idx="27">
                  <c:v>88679509.245259315</c:v>
                </c:pt>
                <c:pt idx="28">
                  <c:v>88676158.104691908</c:v>
                </c:pt>
                <c:pt idx="29">
                  <c:v>88672773.452718839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8-431A-8BD8-601965CCB5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1078968288"/>
        <c:axId val="107897164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spPr>
                  <a:solidFill>
                    <a:schemeClr val="accent4">
                      <a:shade val="58000"/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4">
                        <a:shade val="58000"/>
                        <a:lumMod val="75000"/>
                      </a:schemeClr>
                    </a:innerShdw>
                  </a:effectLst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4">
                              <a:shade val="58000"/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'Income Statement'!$D$34:$AG$34</c15:sqref>
                        </c15:formulaRef>
                      </c:ext>
                    </c:extLst>
                    <c:numCache>
                      <c:formatCode>_ [$€-2]\ * #,##0.00_ ;_ [$€-2]\ * \-#,##0.00_ ;_ [$€-2]\ * "-"??_ ;_ @_ </c:formatCode>
                      <c:ptCount val="30"/>
                      <c:pt idx="0">
                        <c:v>119652457.14000002</c:v>
                      </c:pt>
                      <c:pt idx="1">
                        <c:v>121257252.76500002</c:v>
                      </c:pt>
                      <c:pt idx="2">
                        <c:v>122862001.81500001</c:v>
                      </c:pt>
                      <c:pt idx="3">
                        <c:v>124466703.82425001</c:v>
                      </c:pt>
                      <c:pt idx="4">
                        <c:v>126071358.32234251</c:v>
                      </c:pt>
                      <c:pt idx="5">
                        <c:v>127675964.83416595</c:v>
                      </c:pt>
                      <c:pt idx="6">
                        <c:v>129280522.8798576</c:v>
                      </c:pt>
                      <c:pt idx="7">
                        <c:v>130757531.97475617</c:v>
                      </c:pt>
                      <c:pt idx="8">
                        <c:v>132489491.62935372</c:v>
                      </c:pt>
                      <c:pt idx="9">
                        <c:v>134093901.34924726</c:v>
                      </c:pt>
                      <c:pt idx="10">
                        <c:v>135698260.63508973</c:v>
                      </c:pt>
                      <c:pt idx="11">
                        <c:v>137302568.98254064</c:v>
                      </c:pt>
                      <c:pt idx="12">
                        <c:v>138906825.88221604</c:v>
                      </c:pt>
                      <c:pt idx="13">
                        <c:v>140511030.81963819</c:v>
                      </c:pt>
                      <c:pt idx="14">
                        <c:v>142115183.27518457</c:v>
                      </c:pt>
                      <c:pt idx="15">
                        <c:v>143591782.72403643</c:v>
                      </c:pt>
                      <c:pt idx="16">
                        <c:v>145323328.63612682</c:v>
                      </c:pt>
                      <c:pt idx="17">
                        <c:v>146927320.47608805</c:v>
                      </c:pt>
                      <c:pt idx="18">
                        <c:v>148531257.70319894</c:v>
                      </c:pt>
                      <c:pt idx="19">
                        <c:v>150135139.77133092</c:v>
                      </c:pt>
                      <c:pt idx="20">
                        <c:v>161276466.12889421</c:v>
                      </c:pt>
                      <c:pt idx="21">
                        <c:v>161270783.09378317</c:v>
                      </c:pt>
                      <c:pt idx="22">
                        <c:v>161265043.22832099</c:v>
                      </c:pt>
                      <c:pt idx="23">
                        <c:v>161131745.96420419</c:v>
                      </c:pt>
                      <c:pt idx="24">
                        <c:v>161253390.72744626</c:v>
                      </c:pt>
                      <c:pt idx="25">
                        <c:v>161247476.9383207</c:v>
                      </c:pt>
                      <c:pt idx="26">
                        <c:v>161241504.0113039</c:v>
                      </c:pt>
                      <c:pt idx="27">
                        <c:v>161235471.35501695</c:v>
                      </c:pt>
                      <c:pt idx="28">
                        <c:v>161229378.37216711</c:v>
                      </c:pt>
                      <c:pt idx="29">
                        <c:v>161223224.45948881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18-431A-8BD8-601965CCB5DB}"/>
                  </c:ext>
                </c:extLst>
              </c15:ser>
            </c15:filteredAreaSeries>
            <c15:filteredAreaSeries>
              <c15:ser>
                <c:idx val="1"/>
                <c:order val="1"/>
                <c:spPr>
                  <a:solidFill>
                    <a:schemeClr val="accent4">
                      <a:shade val="86000"/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4">
                        <a:shade val="86000"/>
                        <a:lumMod val="75000"/>
                      </a:schemeClr>
                    </a:innerShdw>
                  </a:effectLst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4">
                              <a:shade val="86000"/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'Income Statement'!$D$36:$AG$36</c15:sqref>
                        </c15:formulaRef>
                      </c:ext>
                    </c:extLst>
                    <c:numCache>
                      <c:formatCode>_ [$€-2]\ * #,##0.00_ ;_ [$€-2]\ * \-#,##0.00_ ;_ [$€-2]\ * "-"??_ ;_ @_ </c:formatCode>
                      <c:ptCount val="30"/>
                      <c:pt idx="0">
                        <c:v>6358333.3333333312</c:v>
                      </c:pt>
                      <c:pt idx="1">
                        <c:v>6358333.3333333312</c:v>
                      </c:pt>
                      <c:pt idx="2">
                        <c:v>6358333.3333333312</c:v>
                      </c:pt>
                      <c:pt idx="3">
                        <c:v>6358333.3333333312</c:v>
                      </c:pt>
                      <c:pt idx="4">
                        <c:v>6358333.3333333312</c:v>
                      </c:pt>
                      <c:pt idx="5">
                        <c:v>6358333.3333333312</c:v>
                      </c:pt>
                      <c:pt idx="6">
                        <c:v>6358333.3333333312</c:v>
                      </c:pt>
                      <c:pt idx="7">
                        <c:v>6358333.3333333312</c:v>
                      </c:pt>
                      <c:pt idx="8">
                        <c:v>6358333.3333333312</c:v>
                      </c:pt>
                      <c:pt idx="9">
                        <c:v>6358333.3333333312</c:v>
                      </c:pt>
                      <c:pt idx="10">
                        <c:v>6358333.3333333312</c:v>
                      </c:pt>
                      <c:pt idx="11">
                        <c:v>6358333.3333333312</c:v>
                      </c:pt>
                      <c:pt idx="12">
                        <c:v>6358333.3333333312</c:v>
                      </c:pt>
                      <c:pt idx="13">
                        <c:v>6358333.3333333312</c:v>
                      </c:pt>
                      <c:pt idx="14">
                        <c:v>6358333.3333333312</c:v>
                      </c:pt>
                      <c:pt idx="15">
                        <c:v>6358333.3333333312</c:v>
                      </c:pt>
                      <c:pt idx="16">
                        <c:v>6358333.3333333312</c:v>
                      </c:pt>
                      <c:pt idx="17">
                        <c:v>6358333.3333333312</c:v>
                      </c:pt>
                      <c:pt idx="18">
                        <c:v>6358333.3333333312</c:v>
                      </c:pt>
                      <c:pt idx="19">
                        <c:v>6358333.3333333312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518-431A-8BD8-601965CCB5DB}"/>
                  </c:ext>
                </c:extLst>
              </c15:ser>
            </c15:filteredAreaSeries>
          </c:ext>
        </c:extLst>
      </c:areaChart>
      <c:catAx>
        <c:axId val="10789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71648"/>
        <c:crosses val="autoZero"/>
        <c:auto val="1"/>
        <c:lblAlgn val="ctr"/>
        <c:lblOffset val="100"/>
        <c:noMultiLvlLbl val="0"/>
      </c:catAx>
      <c:valAx>
        <c:axId val="10789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6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323407020094982E-2"/>
          <c:y val="8.6568051481271724E-2"/>
          <c:w val="0.88908332430941217"/>
          <c:h val="0.8294186934919237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'Sensitivity Analysis'!$C$4</c:f>
              <c:strCache>
                <c:ptCount val="1"/>
                <c:pt idx="0">
                  <c:v>Cost of electricity</c:v>
                </c:pt>
              </c:strCache>
            </c:strRef>
          </c:tx>
          <c:xVal>
            <c:numRef>
              <c:f>'Sensitivity Analysis'!$B$5:$B$13</c:f>
              <c:numCache>
                <c:formatCode>0%</c:formatCode>
                <c:ptCount val="9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xVal>
          <c:yVal>
            <c:numRef>
              <c:f>'Sensitivity Analysis'!$C$5:$C$13</c:f>
              <c:numCache>
                <c:formatCode>General</c:formatCode>
                <c:ptCount val="9"/>
                <c:pt idx="0">
                  <c:v>75</c:v>
                </c:pt>
                <c:pt idx="1">
                  <c:v>87.5</c:v>
                </c:pt>
                <c:pt idx="2">
                  <c:v>100</c:v>
                </c:pt>
                <c:pt idx="3">
                  <c:v>112.5</c:v>
                </c:pt>
                <c:pt idx="4">
                  <c:v>125</c:v>
                </c:pt>
                <c:pt idx="5">
                  <c:v>137.5</c:v>
                </c:pt>
                <c:pt idx="6">
                  <c:v>150</c:v>
                </c:pt>
                <c:pt idx="7">
                  <c:v>162.5</c:v>
                </c:pt>
                <c:pt idx="8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65-4F92-9B81-571E7387CDD0}"/>
            </c:ext>
          </c:extLst>
        </c:ser>
        <c:ser>
          <c:idx val="3"/>
          <c:order val="1"/>
          <c:tx>
            <c:strRef>
              <c:f>'Sensitivity Analysis'!$E$4</c:f>
              <c:strCache>
                <c:ptCount val="1"/>
                <c:pt idx="0">
                  <c:v>NAV (% Change)</c:v>
                </c:pt>
              </c:strCache>
            </c:strRef>
          </c:tx>
          <c:xVal>
            <c:numRef>
              <c:f>'Sensitivity Analysis'!$B$5:$B$13</c:f>
              <c:numCache>
                <c:formatCode>0%</c:formatCode>
                <c:ptCount val="9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xVal>
          <c:yVal>
            <c:numRef>
              <c:f>'Sensitivity Analysis'!$E$5:$E$13</c:f>
              <c:numCache>
                <c:formatCode>0.0000</c:formatCode>
                <c:ptCount val="9"/>
                <c:pt idx="0">
                  <c:v>0.17710022670294395</c:v>
                </c:pt>
                <c:pt idx="1">
                  <c:v>0.1328251700272029</c:v>
                </c:pt>
                <c:pt idx="2">
                  <c:v>8.8550113351461901E-2</c:v>
                </c:pt>
                <c:pt idx="3">
                  <c:v>4.4275056675700725E-2</c:v>
                </c:pt>
                <c:pt idx="4">
                  <c:v>0</c:v>
                </c:pt>
                <c:pt idx="5">
                  <c:v>-4.4275056675741019E-2</c:v>
                </c:pt>
                <c:pt idx="6">
                  <c:v>-8.8550113351461901E-2</c:v>
                </c:pt>
                <c:pt idx="7">
                  <c:v>-0.13282517002726335</c:v>
                </c:pt>
                <c:pt idx="8">
                  <c:v>-0.17710022670296408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65-4F92-9B81-571E7387C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54592"/>
        <c:axId val="914255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'Sensitivity Analysis'!$C$4</c15:sqref>
                        </c15:formulaRef>
                      </c:ext>
                    </c:extLst>
                    <c:strCache>
                      <c:ptCount val="1"/>
                      <c:pt idx="0">
                        <c:v>Cost of electricity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'Sensitivity Analysis'!$B$5:$B$13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-0.4</c:v>
                      </c:pt>
                      <c:pt idx="1">
                        <c:v>-0.3</c:v>
                      </c:pt>
                      <c:pt idx="2">
                        <c:v>-0.2</c:v>
                      </c:pt>
                      <c:pt idx="3">
                        <c:v>-0.1</c:v>
                      </c:pt>
                      <c:pt idx="4">
                        <c:v>0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0.3</c:v>
                      </c:pt>
                      <c:pt idx="8">
                        <c:v>0.4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'Sensitivity Analysis'!$C$5:$C$13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75</c:v>
                      </c:pt>
                      <c:pt idx="1">
                        <c:v>87.5</c:v>
                      </c:pt>
                      <c:pt idx="2">
                        <c:v>100</c:v>
                      </c:pt>
                      <c:pt idx="3">
                        <c:v>112.5</c:v>
                      </c:pt>
                      <c:pt idx="4">
                        <c:v>125</c:v>
                      </c:pt>
                      <c:pt idx="5">
                        <c:v>137.5</c:v>
                      </c:pt>
                      <c:pt idx="6">
                        <c:v>150</c:v>
                      </c:pt>
                      <c:pt idx="7">
                        <c:v>162.5</c:v>
                      </c:pt>
                      <c:pt idx="8">
                        <c:v>175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465-4F92-9B81-571E7387CDD0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Analysis'!$E$4</c15:sqref>
                        </c15:formulaRef>
                      </c:ext>
                    </c:extLst>
                    <c:strCache>
                      <c:ptCount val="1"/>
                      <c:pt idx="0">
                        <c:v>NAV (% Change)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Analysis'!$B$5:$B$13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-0.4</c:v>
                      </c:pt>
                      <c:pt idx="1">
                        <c:v>-0.3</c:v>
                      </c:pt>
                      <c:pt idx="2">
                        <c:v>-0.2</c:v>
                      </c:pt>
                      <c:pt idx="3">
                        <c:v>-0.1</c:v>
                      </c:pt>
                      <c:pt idx="4">
                        <c:v>0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0.3</c:v>
                      </c:pt>
                      <c:pt idx="8">
                        <c:v>0.4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Analysis'!$E$5:$E$13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0.17710022670294395</c:v>
                      </c:pt>
                      <c:pt idx="1">
                        <c:v>0.1328251700272029</c:v>
                      </c:pt>
                      <c:pt idx="2">
                        <c:v>8.8550113351461901E-2</c:v>
                      </c:pt>
                      <c:pt idx="3">
                        <c:v>4.4275056675700725E-2</c:v>
                      </c:pt>
                      <c:pt idx="4">
                        <c:v>0</c:v>
                      </c:pt>
                      <c:pt idx="5">
                        <c:v>-4.4275056675741019E-2</c:v>
                      </c:pt>
                      <c:pt idx="6">
                        <c:v>-8.8550113351461901E-2</c:v>
                      </c:pt>
                      <c:pt idx="7">
                        <c:v>-0.13282517002726335</c:v>
                      </c:pt>
                      <c:pt idx="8">
                        <c:v>-0.17710022670296408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465-4F92-9B81-571E7387CDD0}"/>
                  </c:ext>
                </c:extLst>
              </c15:ser>
            </c15:filteredScatterSeries>
          </c:ext>
        </c:extLst>
      </c:scatterChart>
      <c:valAx>
        <c:axId val="9142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55072"/>
        <c:crosses val="autoZero"/>
        <c:crossBetween val="midCat"/>
      </c:valAx>
      <c:valAx>
        <c:axId val="914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545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21023848918285E-2"/>
          <c:y val="6.726495819696264E-2"/>
          <c:w val="0.90160498610787199"/>
          <c:h val="0.8263962775279271"/>
        </c:manualLayout>
      </c:layout>
      <c:scatterChart>
        <c:scatterStyle val="smoothMarker"/>
        <c:varyColors val="0"/>
        <c:ser>
          <c:idx val="4"/>
          <c:order val="2"/>
          <c:tx>
            <c:v>Electrolyser efficiency</c:v>
          </c:tx>
          <c:xVal>
            <c:numRef>
              <c:f>'Sensitivity Analysis'!$B$5:$B$13</c:f>
              <c:numCache>
                <c:formatCode>0%</c:formatCode>
                <c:ptCount val="9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xVal>
          <c:yVal>
            <c:numRef>
              <c:f>'Sensitivity Analysis'!$C$16:$C$24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55.000000000000007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49-408D-8912-D749A5E24AB5}"/>
            </c:ext>
          </c:extLst>
        </c:ser>
        <c:ser>
          <c:idx val="5"/>
          <c:order val="3"/>
          <c:tx>
            <c:v>NAV % change</c:v>
          </c:tx>
          <c:xVal>
            <c:numRef>
              <c:f>'Sensitivity Analysis'!$B$5:$B$13</c:f>
              <c:numCache>
                <c:formatCode>0%</c:formatCode>
                <c:ptCount val="9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xVal>
          <c:yVal>
            <c:numRef>
              <c:f>'Sensitivity Analysis'!$E$16:$E$24</c:f>
              <c:numCache>
                <c:formatCode>0.0000</c:formatCode>
                <c:ptCount val="9"/>
                <c:pt idx="0">
                  <c:v>-27.50407403245438</c:v>
                </c:pt>
                <c:pt idx="1">
                  <c:v>-20.628055524340756</c:v>
                </c:pt>
                <c:pt idx="2">
                  <c:v>-13.752037016227211</c:v>
                </c:pt>
                <c:pt idx="3">
                  <c:v>-6.8760185081135852</c:v>
                </c:pt>
                <c:pt idx="4">
                  <c:v>0</c:v>
                </c:pt>
                <c:pt idx="5">
                  <c:v>6.8760185081135852</c:v>
                </c:pt>
                <c:pt idx="6">
                  <c:v>13.752037016227231</c:v>
                </c:pt>
                <c:pt idx="7">
                  <c:v>20.628055524340784</c:v>
                </c:pt>
                <c:pt idx="8">
                  <c:v>27.504074032454472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49-408D-8912-D749A5E24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54592"/>
        <c:axId val="9142550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'Sensitivity Analysis'!$C$4</c15:sqref>
                        </c15:formulaRef>
                      </c:ext>
                    </c:extLst>
                    <c:strCache>
                      <c:ptCount val="1"/>
                      <c:pt idx="0">
                        <c:v>Cost of electricity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'Sensitivity Analysis'!$B$5:$B$13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-0.4</c:v>
                      </c:pt>
                      <c:pt idx="1">
                        <c:v>-0.3</c:v>
                      </c:pt>
                      <c:pt idx="2">
                        <c:v>-0.2</c:v>
                      </c:pt>
                      <c:pt idx="3">
                        <c:v>-0.1</c:v>
                      </c:pt>
                      <c:pt idx="4">
                        <c:v>0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0.3</c:v>
                      </c:pt>
                      <c:pt idx="8">
                        <c:v>0.4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'Sensitivity Analysis'!$C$5:$C$13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75</c:v>
                      </c:pt>
                      <c:pt idx="1">
                        <c:v>87.5</c:v>
                      </c:pt>
                      <c:pt idx="2">
                        <c:v>100</c:v>
                      </c:pt>
                      <c:pt idx="3">
                        <c:v>112.5</c:v>
                      </c:pt>
                      <c:pt idx="4">
                        <c:v>125</c:v>
                      </c:pt>
                      <c:pt idx="5">
                        <c:v>137.5</c:v>
                      </c:pt>
                      <c:pt idx="6">
                        <c:v>150</c:v>
                      </c:pt>
                      <c:pt idx="7">
                        <c:v>162.5</c:v>
                      </c:pt>
                      <c:pt idx="8">
                        <c:v>175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449-408D-8912-D749A5E24AB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Analysis'!$E$4</c15:sqref>
                        </c15:formulaRef>
                      </c:ext>
                    </c:extLst>
                    <c:strCache>
                      <c:ptCount val="1"/>
                      <c:pt idx="0">
                        <c:v>NAV (% Change)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Analysis'!$B$5:$B$13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-0.4</c:v>
                      </c:pt>
                      <c:pt idx="1">
                        <c:v>-0.3</c:v>
                      </c:pt>
                      <c:pt idx="2">
                        <c:v>-0.2</c:v>
                      </c:pt>
                      <c:pt idx="3">
                        <c:v>-0.1</c:v>
                      </c:pt>
                      <c:pt idx="4">
                        <c:v>0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0.3</c:v>
                      </c:pt>
                      <c:pt idx="8">
                        <c:v>0.4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Analysis'!$E$5:$E$13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0.17710022670294395</c:v>
                      </c:pt>
                      <c:pt idx="1">
                        <c:v>0.1328251700272029</c:v>
                      </c:pt>
                      <c:pt idx="2">
                        <c:v>8.8550113351461901E-2</c:v>
                      </c:pt>
                      <c:pt idx="3">
                        <c:v>4.4275056675700725E-2</c:v>
                      </c:pt>
                      <c:pt idx="4">
                        <c:v>0</c:v>
                      </c:pt>
                      <c:pt idx="5">
                        <c:v>-4.4275056675741019E-2</c:v>
                      </c:pt>
                      <c:pt idx="6">
                        <c:v>-8.8550113351461901E-2</c:v>
                      </c:pt>
                      <c:pt idx="7">
                        <c:v>-0.13282517002726335</c:v>
                      </c:pt>
                      <c:pt idx="8">
                        <c:v>-0.17710022670296408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449-408D-8912-D749A5E24AB5}"/>
                  </c:ext>
                </c:extLst>
              </c15:ser>
            </c15:filteredScatterSeries>
          </c:ext>
        </c:extLst>
      </c:scatterChart>
      <c:valAx>
        <c:axId val="914254592"/>
        <c:scaling>
          <c:orientation val="minMax"/>
          <c:max val="0.8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55072"/>
        <c:crosses val="autoZero"/>
        <c:crossBetween val="midCat"/>
      </c:valAx>
      <c:valAx>
        <c:axId val="914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545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88758468661495E-2"/>
          <c:y val="6.6819121967645181E-2"/>
          <c:w val="0.90198733329516334"/>
          <c:h val="0.82754693354700593"/>
        </c:manualLayout>
      </c:layout>
      <c:scatterChart>
        <c:scatterStyle val="smoothMarker"/>
        <c:varyColors val="0"/>
        <c:ser>
          <c:idx val="0"/>
          <c:order val="4"/>
          <c:tx>
            <c:v>H2 Sales Price</c:v>
          </c:tx>
          <c:xVal>
            <c:numRef>
              <c:f>'Sensitivity Analysis'!$B$5:$B$13</c:f>
              <c:numCache>
                <c:formatCode>0%</c:formatCode>
                <c:ptCount val="9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xVal>
          <c:yVal>
            <c:numRef>
              <c:f>'Sensitivity Analysis'!$C$27:$C$35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6E-4811-A9C1-FD7895B8B58A}"/>
            </c:ext>
          </c:extLst>
        </c:ser>
        <c:ser>
          <c:idx val="3"/>
          <c:order val="5"/>
          <c:tx>
            <c:v>NAV % change</c:v>
          </c:tx>
          <c:xVal>
            <c:numRef>
              <c:f>'Sensitivity Analysis'!$B$5:$B$13</c:f>
              <c:numCache>
                <c:formatCode>0%</c:formatCode>
                <c:ptCount val="9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xVal>
          <c:yVal>
            <c:numRef>
              <c:f>'Sensitivity Analysis'!$E$27:$E$35</c:f>
              <c:numCache>
                <c:formatCode>0.0000</c:formatCode>
                <c:ptCount val="9"/>
                <c:pt idx="0">
                  <c:v>-70.590383697911761</c:v>
                </c:pt>
                <c:pt idx="1">
                  <c:v>-52.942787773433807</c:v>
                </c:pt>
                <c:pt idx="2">
                  <c:v>-35.295191848955895</c:v>
                </c:pt>
                <c:pt idx="3">
                  <c:v>-17.647595924477912</c:v>
                </c:pt>
                <c:pt idx="4">
                  <c:v>0</c:v>
                </c:pt>
                <c:pt idx="5">
                  <c:v>17.647595924477955</c:v>
                </c:pt>
                <c:pt idx="6">
                  <c:v>35.295191848955874</c:v>
                </c:pt>
                <c:pt idx="7">
                  <c:v>52.942787773433842</c:v>
                </c:pt>
                <c:pt idx="8">
                  <c:v>70.590383697911747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6E-4811-A9C1-FD7895B8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54592"/>
        <c:axId val="9142550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'Sensitivity Analysis'!$C$4</c15:sqref>
                        </c15:formulaRef>
                      </c:ext>
                    </c:extLst>
                    <c:strCache>
                      <c:ptCount val="1"/>
                      <c:pt idx="0">
                        <c:v>Cost of electricity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'Sensitivity Analysis'!$B$5:$B$13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-0.4</c:v>
                      </c:pt>
                      <c:pt idx="1">
                        <c:v>-0.3</c:v>
                      </c:pt>
                      <c:pt idx="2">
                        <c:v>-0.2</c:v>
                      </c:pt>
                      <c:pt idx="3">
                        <c:v>-0.1</c:v>
                      </c:pt>
                      <c:pt idx="4">
                        <c:v>0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0.3</c:v>
                      </c:pt>
                      <c:pt idx="8">
                        <c:v>0.4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'Sensitivity Analysis'!$C$5:$C$13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75</c:v>
                      </c:pt>
                      <c:pt idx="1">
                        <c:v>87.5</c:v>
                      </c:pt>
                      <c:pt idx="2">
                        <c:v>100</c:v>
                      </c:pt>
                      <c:pt idx="3">
                        <c:v>112.5</c:v>
                      </c:pt>
                      <c:pt idx="4">
                        <c:v>125</c:v>
                      </c:pt>
                      <c:pt idx="5">
                        <c:v>137.5</c:v>
                      </c:pt>
                      <c:pt idx="6">
                        <c:v>150</c:v>
                      </c:pt>
                      <c:pt idx="7">
                        <c:v>162.5</c:v>
                      </c:pt>
                      <c:pt idx="8">
                        <c:v>175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26E-4811-A9C1-FD7895B8B58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Analysis'!$E$4</c15:sqref>
                        </c15:formulaRef>
                      </c:ext>
                    </c:extLst>
                    <c:strCache>
                      <c:ptCount val="1"/>
                      <c:pt idx="0">
                        <c:v>NAV (% Change)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Analysis'!$B$5:$B$13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-0.4</c:v>
                      </c:pt>
                      <c:pt idx="1">
                        <c:v>-0.3</c:v>
                      </c:pt>
                      <c:pt idx="2">
                        <c:v>-0.2</c:v>
                      </c:pt>
                      <c:pt idx="3">
                        <c:v>-0.1</c:v>
                      </c:pt>
                      <c:pt idx="4">
                        <c:v>0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0.3</c:v>
                      </c:pt>
                      <c:pt idx="8">
                        <c:v>0.4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Analysis'!$E$5:$E$13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0.17710022670294395</c:v>
                      </c:pt>
                      <c:pt idx="1">
                        <c:v>0.1328251700272029</c:v>
                      </c:pt>
                      <c:pt idx="2">
                        <c:v>8.8550113351461901E-2</c:v>
                      </c:pt>
                      <c:pt idx="3">
                        <c:v>4.4275056675700725E-2</c:v>
                      </c:pt>
                      <c:pt idx="4">
                        <c:v>0</c:v>
                      </c:pt>
                      <c:pt idx="5">
                        <c:v>-4.4275056675741019E-2</c:v>
                      </c:pt>
                      <c:pt idx="6">
                        <c:v>-8.8550113351461901E-2</c:v>
                      </c:pt>
                      <c:pt idx="7">
                        <c:v>-0.13282517002726335</c:v>
                      </c:pt>
                      <c:pt idx="8">
                        <c:v>-0.17710022670296408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26E-4811-A9C1-FD7895B8B58A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Electrolyser efficiency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Analysis'!$B$5:$B$13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-0.4</c:v>
                      </c:pt>
                      <c:pt idx="1">
                        <c:v>-0.3</c:v>
                      </c:pt>
                      <c:pt idx="2">
                        <c:v>-0.2</c:v>
                      </c:pt>
                      <c:pt idx="3">
                        <c:v>-0.1</c:v>
                      </c:pt>
                      <c:pt idx="4">
                        <c:v>0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0.3</c:v>
                      </c:pt>
                      <c:pt idx="8">
                        <c:v>0.4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Analysis'!$C$16:$C$24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  <c:pt idx="4">
                        <c:v>50</c:v>
                      </c:pt>
                      <c:pt idx="5">
                        <c:v>55.000000000000007</c:v>
                      </c:pt>
                      <c:pt idx="6">
                        <c:v>60</c:v>
                      </c:pt>
                      <c:pt idx="7">
                        <c:v>65</c:v>
                      </c:pt>
                      <c:pt idx="8">
                        <c:v>70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26E-4811-A9C1-FD7895B8B58A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NAV % change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Analysis'!$B$5:$B$13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-0.4</c:v>
                      </c:pt>
                      <c:pt idx="1">
                        <c:v>-0.3</c:v>
                      </c:pt>
                      <c:pt idx="2">
                        <c:v>-0.2</c:v>
                      </c:pt>
                      <c:pt idx="3">
                        <c:v>-0.1</c:v>
                      </c:pt>
                      <c:pt idx="4">
                        <c:v>0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0.3</c:v>
                      </c:pt>
                      <c:pt idx="8">
                        <c:v>0.4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Analysis'!$E$16:$E$24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-27.50407403245438</c:v>
                      </c:pt>
                      <c:pt idx="1">
                        <c:v>-20.628055524340756</c:v>
                      </c:pt>
                      <c:pt idx="2">
                        <c:v>-13.752037016227211</c:v>
                      </c:pt>
                      <c:pt idx="3">
                        <c:v>-6.8760185081135852</c:v>
                      </c:pt>
                      <c:pt idx="4">
                        <c:v>0</c:v>
                      </c:pt>
                      <c:pt idx="5">
                        <c:v>6.8760185081135852</c:v>
                      </c:pt>
                      <c:pt idx="6">
                        <c:v>13.752037016227231</c:v>
                      </c:pt>
                      <c:pt idx="7">
                        <c:v>20.628055524340784</c:v>
                      </c:pt>
                      <c:pt idx="8">
                        <c:v>27.504074032454472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26E-4811-A9C1-FD7895B8B58A}"/>
                  </c:ext>
                </c:extLst>
              </c15:ser>
            </c15:filteredScatterSeries>
          </c:ext>
        </c:extLst>
      </c:scatterChart>
      <c:valAx>
        <c:axId val="914254592"/>
        <c:scaling>
          <c:orientation val="minMax"/>
          <c:max val="0.8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55072"/>
        <c:crosses val="autoZero"/>
        <c:crossBetween val="midCat"/>
      </c:valAx>
      <c:valAx>
        <c:axId val="914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545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Dividend</a:t>
            </a:r>
            <a:r>
              <a:rPr lang="en-IN" baseline="0"/>
              <a:t> Projection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4717853346933"/>
          <c:y val="5.6841586770334539E-2"/>
          <c:w val="0.85051020426378732"/>
          <c:h val="0.845514459611236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Valuation!$D$10:$AG$10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Valuation!$D$15:$AG$15</c:f>
              <c:numCache>
                <c:formatCode>_(* #,##0.00_);_(* \(#,##0.00\);_(* "-"??_);_(@_)</c:formatCode>
                <c:ptCount val="30"/>
                <c:pt idx="0">
                  <c:v>-3517644.2869999781</c:v>
                </c:pt>
                <c:pt idx="1">
                  <c:v>51704513.744250007</c:v>
                </c:pt>
                <c:pt idx="2">
                  <c:v>52426650.816750012</c:v>
                </c:pt>
                <c:pt idx="3">
                  <c:v>53148766.720912509</c:v>
                </c:pt>
                <c:pt idx="4">
                  <c:v>53870861.245054133</c:v>
                </c:pt>
                <c:pt idx="5">
                  <c:v>54592934.175374679</c:v>
                </c:pt>
                <c:pt idx="6">
                  <c:v>55314985.295935921</c:v>
                </c:pt>
                <c:pt idx="7">
                  <c:v>55979639.388640277</c:v>
                </c:pt>
                <c:pt idx="8">
                  <c:v>56759021.233209178</c:v>
                </c:pt>
                <c:pt idx="9">
                  <c:v>57481005.607161269</c:v>
                </c:pt>
                <c:pt idx="10">
                  <c:v>58202967.285790376</c:v>
                </c:pt>
                <c:pt idx="11">
                  <c:v>58924906.042143293</c:v>
                </c:pt>
                <c:pt idx="12">
                  <c:v>59646821.646997221</c:v>
                </c:pt>
                <c:pt idx="13">
                  <c:v>60368713.868837193</c:v>
                </c:pt>
                <c:pt idx="14">
                  <c:v>61090582.473833054</c:v>
                </c:pt>
                <c:pt idx="15">
                  <c:v>61755052.225816391</c:v>
                </c:pt>
                <c:pt idx="16">
                  <c:v>62534247.886257067</c:v>
                </c:pt>
                <c:pt idx="17">
                  <c:v>63256044.21423962</c:v>
                </c:pt>
                <c:pt idx="18">
                  <c:v>63977815.966439523</c:v>
                </c:pt>
                <c:pt idx="19">
                  <c:v>64699562.897098914</c:v>
                </c:pt>
                <c:pt idx="20">
                  <c:v>72574409.7580024</c:v>
                </c:pt>
                <c:pt idx="21">
                  <c:v>72571852.392202422</c:v>
                </c:pt>
                <c:pt idx="22">
                  <c:v>72569269.452744439</c:v>
                </c:pt>
                <c:pt idx="23">
                  <c:v>72509285.683891892</c:v>
                </c:pt>
                <c:pt idx="24">
                  <c:v>72564025.827350825</c:v>
                </c:pt>
                <c:pt idx="25">
                  <c:v>72561364.622244313</c:v>
                </c:pt>
                <c:pt idx="26">
                  <c:v>72558676.805086762</c:v>
                </c:pt>
                <c:pt idx="27">
                  <c:v>72555962.109757632</c:v>
                </c:pt>
                <c:pt idx="28">
                  <c:v>72553220.267475203</c:v>
                </c:pt>
                <c:pt idx="29">
                  <c:v>72550451.00676997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C-4D56-B549-BD21284807D2}"/>
            </c:ext>
          </c:extLst>
        </c:ser>
        <c:ser>
          <c:idx val="1"/>
          <c:order val="1"/>
          <c:tx>
            <c:v>Dividend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Valuation!$D$13:$AG$13</c:f>
              <c:numCache>
                <c:formatCode>_(* #,##0.00_);_(* \(#,##0.00\);_(* "-"??_);_(@_)</c:formatCode>
                <c:ptCount val="30"/>
                <c:pt idx="0">
                  <c:v>50982355.713000007</c:v>
                </c:pt>
                <c:pt idx="1">
                  <c:v>51704513.744250007</c:v>
                </c:pt>
                <c:pt idx="2">
                  <c:v>52426650.816750012</c:v>
                </c:pt>
                <c:pt idx="3">
                  <c:v>53148766.720912509</c:v>
                </c:pt>
                <c:pt idx="4">
                  <c:v>53870861.245054133</c:v>
                </c:pt>
                <c:pt idx="5">
                  <c:v>54592934.175374679</c:v>
                </c:pt>
                <c:pt idx="6">
                  <c:v>55314985.295935921</c:v>
                </c:pt>
                <c:pt idx="7">
                  <c:v>55979639.388640277</c:v>
                </c:pt>
                <c:pt idx="8">
                  <c:v>56759021.233209178</c:v>
                </c:pt>
                <c:pt idx="9">
                  <c:v>57481005.607161269</c:v>
                </c:pt>
                <c:pt idx="10">
                  <c:v>58202967.285790376</c:v>
                </c:pt>
                <c:pt idx="11">
                  <c:v>58924906.042143293</c:v>
                </c:pt>
                <c:pt idx="12">
                  <c:v>59646821.646997221</c:v>
                </c:pt>
                <c:pt idx="13">
                  <c:v>60368713.868837193</c:v>
                </c:pt>
                <c:pt idx="14">
                  <c:v>61090582.473833054</c:v>
                </c:pt>
                <c:pt idx="15">
                  <c:v>61755052.225816391</c:v>
                </c:pt>
                <c:pt idx="16">
                  <c:v>62534247.886257067</c:v>
                </c:pt>
                <c:pt idx="17">
                  <c:v>63256044.21423962</c:v>
                </c:pt>
                <c:pt idx="18">
                  <c:v>63977815.966439523</c:v>
                </c:pt>
                <c:pt idx="19">
                  <c:v>64699562.897098914</c:v>
                </c:pt>
                <c:pt idx="20">
                  <c:v>72574409.7580024</c:v>
                </c:pt>
                <c:pt idx="21">
                  <c:v>72571852.392202422</c:v>
                </c:pt>
                <c:pt idx="22">
                  <c:v>72569269.452744439</c:v>
                </c:pt>
                <c:pt idx="23">
                  <c:v>72509285.683891892</c:v>
                </c:pt>
                <c:pt idx="24">
                  <c:v>72564025.827350825</c:v>
                </c:pt>
                <c:pt idx="25">
                  <c:v>72561364.622244313</c:v>
                </c:pt>
                <c:pt idx="26">
                  <c:v>72558676.805086762</c:v>
                </c:pt>
                <c:pt idx="27">
                  <c:v>72555962.109757632</c:v>
                </c:pt>
                <c:pt idx="28">
                  <c:v>72553220.267475203</c:v>
                </c:pt>
                <c:pt idx="29">
                  <c:v>72550451.00676997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C-4D56-B549-BD212848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0782336"/>
        <c:axId val="910777056"/>
      </c:barChart>
      <c:catAx>
        <c:axId val="91078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7056"/>
        <c:crosses val="autoZero"/>
        <c:auto val="1"/>
        <c:lblAlgn val="ctr"/>
        <c:lblOffset val="100"/>
        <c:noMultiLvlLbl val="0"/>
      </c:catAx>
      <c:valAx>
        <c:axId val="9107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446722</xdr:colOff>
      <xdr:row>8</xdr:row>
      <xdr:rowOff>140017</xdr:rowOff>
    </xdr:from>
    <xdr:to>
      <xdr:col>8</xdr:col>
      <xdr:colOff>342900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EFA0E-7630-FFF2-3018-9E624FBF1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1065343</xdr:colOff>
      <xdr:row>41</xdr:row>
      <xdr:rowOff>156100</xdr:rowOff>
    </xdr:from>
    <xdr:to>
      <xdr:col>6</xdr:col>
      <xdr:colOff>663540</xdr:colOff>
      <xdr:row>65</xdr:row>
      <xdr:rowOff>160533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AC2DE-8357-C884-7C29-870ACFF32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5889</xdr:colOff>
      <xdr:row>0</xdr:row>
      <xdr:rowOff>41563</xdr:rowOff>
    </xdr:from>
    <xdr:to>
      <xdr:col>11</xdr:col>
      <xdr:colOff>154941</xdr:colOff>
      <xdr:row>16</xdr:row>
      <xdr:rowOff>1904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29393F-DC4C-D9FA-1200-C96134AD2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908280</xdr:colOff>
      <xdr:row>16</xdr:row>
      <xdr:rowOff>93287</xdr:rowOff>
    </xdr:from>
    <xdr:to>
      <xdr:col>11</xdr:col>
      <xdr:colOff>162560</xdr:colOff>
      <xdr:row>32</xdr:row>
      <xdr:rowOff>70254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AE593C-4B10-4449-A393-8B47453D5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2886</xdr:colOff>
      <xdr:row>32</xdr:row>
      <xdr:rowOff>178607</xdr:rowOff>
    </xdr:from>
    <xdr:to>
      <xdr:col>11</xdr:col>
      <xdr:colOff>187613</xdr:colOff>
      <xdr:row>48</xdr:row>
      <xdr:rowOff>175086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727B85-C539-473D-9D66-22DE4A1E4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969866</xdr:colOff>
      <xdr:row>23</xdr:row>
      <xdr:rowOff>140173</xdr:rowOff>
    </xdr:from>
    <xdr:to>
      <xdr:col>9</xdr:col>
      <xdr:colOff>897122</xdr:colOff>
      <xdr:row>52</xdr:row>
      <xdr:rowOff>99681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6F85A-75EC-AFF0-FB16-E091F6025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Quattrocento Sans"/>
        <a:ea typeface="Quattrocento Sans"/>
        <a:cs typeface="Quattrocento Sans"/>
      </a:majorFont>
      <a:minorFont>
        <a:latin typeface="Quattrocento Sans"/>
        <a:ea typeface="Quattrocento Sans"/>
        <a:cs typeface="Quattrocento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showGridLines="0" zoomScaleNormal="100" workbookViewId="0">
      <selection activeCell="I19" sqref="I19"/>
    </sheetView>
  </sheetViews>
  <sheetFormatPr defaultColWidth="11.23046875" defaultRowHeight="15" customHeight="1" x14ac:dyDescent="0.3"/>
  <cols>
    <col min="1" max="8" width="8.53515625" customWidth="1"/>
    <col min="9" max="9" width="14.23046875" customWidth="1"/>
    <col min="10" max="12" width="8.53515625" customWidth="1"/>
    <col min="13" max="13" width="22.3046875" bestFit="1" customWidth="1"/>
    <col min="14" max="14" width="9.23046875" bestFit="1" customWidth="1"/>
    <col min="15" max="15" width="9" bestFit="1" customWidth="1"/>
    <col min="16" max="16" width="16.53515625" bestFit="1" customWidth="1"/>
    <col min="17" max="17" width="9" bestFit="1" customWidth="1"/>
    <col min="18" max="18" width="16.3046875" bestFit="1" customWidth="1"/>
    <col min="19" max="26" width="8.53515625" customWidth="1"/>
  </cols>
  <sheetData>
    <row r="1" spans="1:22" ht="18.75" customHeight="1" x14ac:dyDescent="0.3"/>
    <row r="2" spans="1:22" s="85" customFormat="1" ht="18.75" customHeight="1" x14ac:dyDescent="0.3">
      <c r="A2" s="84" t="s">
        <v>0</v>
      </c>
    </row>
    <row r="3" spans="1:22" ht="18.75" customHeight="1" x14ac:dyDescent="0.3"/>
    <row r="4" spans="1:22" s="85" customFormat="1" ht="18.75" customHeight="1" x14ac:dyDescent="0.3">
      <c r="A4" s="84" t="s">
        <v>1</v>
      </c>
    </row>
    <row r="5" spans="1:22" ht="18.75" customHeight="1" thickBot="1" x14ac:dyDescent="0.35"/>
    <row r="6" spans="1:22" ht="18.75" customHeight="1" x14ac:dyDescent="0.3">
      <c r="B6" s="78" t="s">
        <v>2</v>
      </c>
      <c r="C6" s="79"/>
      <c r="D6" s="79"/>
      <c r="E6" s="79"/>
      <c r="F6" s="79"/>
      <c r="G6" s="79"/>
      <c r="H6" s="79"/>
      <c r="I6" s="79"/>
      <c r="J6" s="80"/>
      <c r="M6" s="49"/>
      <c r="N6" s="49"/>
      <c r="O6" s="49"/>
      <c r="P6" s="49"/>
      <c r="Q6" s="49"/>
      <c r="R6" s="49"/>
      <c r="S6" s="49"/>
      <c r="T6" s="49"/>
      <c r="U6" s="49"/>
      <c r="V6" s="49"/>
    </row>
    <row r="7" spans="1:22" ht="18.75" customHeight="1" x14ac:dyDescent="0.3">
      <c r="B7" s="4" t="s">
        <v>3</v>
      </c>
      <c r="H7" s="61" t="s">
        <v>4</v>
      </c>
      <c r="I7" s="37">
        <v>80</v>
      </c>
      <c r="J7" s="3"/>
      <c r="M7" s="51"/>
      <c r="N7" s="52"/>
      <c r="O7" s="52"/>
      <c r="P7" s="52"/>
      <c r="Q7" s="50"/>
      <c r="R7" s="50"/>
      <c r="S7" s="50"/>
      <c r="T7" s="50"/>
      <c r="U7" s="50"/>
      <c r="V7" s="50"/>
    </row>
    <row r="8" spans="1:22" ht="18.75" customHeight="1" x14ac:dyDescent="0.3">
      <c r="B8" s="4" t="s">
        <v>5</v>
      </c>
      <c r="H8" s="37" t="s">
        <v>6</v>
      </c>
      <c r="I8" s="37">
        <v>50</v>
      </c>
      <c r="J8" s="3"/>
      <c r="M8" s="51"/>
      <c r="N8" s="52"/>
      <c r="O8" s="52"/>
      <c r="P8" s="52"/>
      <c r="Q8" s="50"/>
      <c r="R8" s="50"/>
      <c r="S8" s="50"/>
      <c r="T8" s="50"/>
      <c r="U8" s="50"/>
      <c r="V8" s="50"/>
    </row>
    <row r="9" spans="1:22" ht="18.75" customHeight="1" x14ac:dyDescent="0.3">
      <c r="B9" s="4" t="s">
        <v>7</v>
      </c>
      <c r="H9" s="37" t="s">
        <v>8</v>
      </c>
      <c r="I9" s="37">
        <f>I7*I8*1000/1000</f>
        <v>4000</v>
      </c>
      <c r="J9" s="3"/>
      <c r="M9" s="51"/>
      <c r="N9" s="53"/>
      <c r="O9" s="53"/>
      <c r="P9" s="53"/>
      <c r="Q9" s="50"/>
      <c r="R9" s="50"/>
      <c r="S9" s="50"/>
      <c r="T9" s="50"/>
      <c r="U9" s="50"/>
      <c r="V9" s="50"/>
    </row>
    <row r="10" spans="1:22" ht="18.75" customHeight="1" x14ac:dyDescent="0.3">
      <c r="B10" s="57" t="s">
        <v>109</v>
      </c>
      <c r="H10" s="37" t="s">
        <v>9</v>
      </c>
      <c r="I10" s="37">
        <f>I9/24</f>
        <v>166.66666666666666</v>
      </c>
      <c r="J10" s="3"/>
      <c r="L10" s="50"/>
      <c r="M10" s="50"/>
      <c r="N10" s="50"/>
      <c r="O10" s="50"/>
      <c r="P10" s="50"/>
    </row>
    <row r="11" spans="1:22" ht="18.75" customHeight="1" x14ac:dyDescent="0.3">
      <c r="B11" s="4" t="s">
        <v>10</v>
      </c>
      <c r="H11" s="37" t="s">
        <v>11</v>
      </c>
      <c r="I11" s="40">
        <v>0.8</v>
      </c>
      <c r="J11" s="3"/>
      <c r="L11" s="50"/>
      <c r="M11" s="50"/>
      <c r="N11" s="50"/>
      <c r="O11" s="50"/>
      <c r="P11" s="50"/>
    </row>
    <row r="12" spans="1:22" ht="18.75" customHeight="1" x14ac:dyDescent="0.3">
      <c r="B12" s="4" t="s">
        <v>12</v>
      </c>
      <c r="H12" s="37" t="s">
        <v>13</v>
      </c>
      <c r="I12" s="37">
        <f>I10/I11</f>
        <v>208.33333333333331</v>
      </c>
      <c r="J12" s="3"/>
      <c r="L12" s="50"/>
      <c r="M12" s="50"/>
      <c r="N12" s="50"/>
      <c r="O12" s="50"/>
      <c r="P12" s="50"/>
    </row>
    <row r="13" spans="1:22" ht="18.75" customHeight="1" x14ac:dyDescent="0.3">
      <c r="B13" s="29" t="s">
        <v>14</v>
      </c>
      <c r="C13" s="31"/>
      <c r="D13" s="31"/>
      <c r="E13" s="31"/>
      <c r="F13" s="31"/>
      <c r="G13" s="31"/>
      <c r="H13" s="38" t="s">
        <v>15</v>
      </c>
      <c r="I13" s="38">
        <v>60</v>
      </c>
      <c r="J13" s="32"/>
      <c r="L13" s="50"/>
      <c r="M13" s="50"/>
      <c r="N13" s="50"/>
      <c r="O13" s="50"/>
      <c r="P13" s="50"/>
    </row>
    <row r="14" spans="1:22" ht="18.75" customHeight="1" x14ac:dyDescent="0.3">
      <c r="B14" s="10"/>
      <c r="J14" s="3"/>
      <c r="L14" s="50"/>
      <c r="M14" s="50"/>
      <c r="N14" s="50"/>
      <c r="O14" s="50"/>
      <c r="P14" s="50"/>
    </row>
    <row r="15" spans="1:22" ht="18.75" customHeight="1" x14ac:dyDescent="0.3">
      <c r="B15" s="81" t="s">
        <v>16</v>
      </c>
      <c r="C15" s="82"/>
      <c r="D15" s="82"/>
      <c r="E15" s="82"/>
      <c r="F15" s="82"/>
      <c r="G15" s="82"/>
      <c r="H15" s="82"/>
      <c r="I15" s="82"/>
      <c r="J15" s="83"/>
      <c r="L15" s="50"/>
      <c r="M15" s="50"/>
      <c r="N15" s="50"/>
      <c r="O15" s="50"/>
      <c r="P15" s="50"/>
    </row>
    <row r="16" spans="1:22" ht="18.75" customHeight="1" x14ac:dyDescent="0.3">
      <c r="B16" s="4" t="s">
        <v>17</v>
      </c>
      <c r="H16" s="37" t="s">
        <v>18</v>
      </c>
      <c r="I16" s="41">
        <v>640000</v>
      </c>
      <c r="J16" s="3"/>
      <c r="L16" s="50"/>
      <c r="M16" s="50"/>
      <c r="N16" s="50"/>
      <c r="O16" s="50"/>
      <c r="P16" s="50"/>
    </row>
    <row r="17" spans="2:16" ht="18.75" customHeight="1" x14ac:dyDescent="0.3">
      <c r="B17" s="34" t="s">
        <v>19</v>
      </c>
      <c r="H17" s="37" t="s">
        <v>20</v>
      </c>
      <c r="I17" s="41">
        <v>200000</v>
      </c>
      <c r="J17" s="3"/>
      <c r="L17" s="50"/>
      <c r="M17" s="50"/>
      <c r="N17" s="50"/>
      <c r="O17" s="50"/>
      <c r="P17" s="50"/>
    </row>
    <row r="18" spans="2:16" ht="18.75" customHeight="1" x14ac:dyDescent="0.3">
      <c r="B18" s="34" t="s">
        <v>21</v>
      </c>
      <c r="H18" s="37" t="s">
        <v>22</v>
      </c>
      <c r="I18" s="42">
        <f>SUMPRODUCT(I12:I13,I16:I17)</f>
        <v>145333333.33333331</v>
      </c>
      <c r="J18" s="3"/>
    </row>
    <row r="19" spans="2:16" ht="18.75" customHeight="1" x14ac:dyDescent="0.3">
      <c r="B19" s="35" t="s">
        <v>23</v>
      </c>
      <c r="C19" s="31"/>
      <c r="D19" s="31"/>
      <c r="E19" s="54" t="s">
        <v>90</v>
      </c>
      <c r="F19" s="55"/>
      <c r="G19" s="55"/>
      <c r="H19" s="38" t="s">
        <v>22</v>
      </c>
      <c r="I19" s="43">
        <f>I18*1.25</f>
        <v>181666666.66666663</v>
      </c>
      <c r="J19" s="36"/>
    </row>
    <row r="20" spans="2:16" ht="18.75" customHeight="1" x14ac:dyDescent="0.3">
      <c r="B20" s="10"/>
      <c r="J20" s="3"/>
    </row>
    <row r="21" spans="2:16" ht="18.75" customHeight="1" x14ac:dyDescent="0.3">
      <c r="B21" s="81" t="s">
        <v>24</v>
      </c>
      <c r="C21" s="82"/>
      <c r="D21" s="82"/>
      <c r="E21" s="82"/>
      <c r="F21" s="82"/>
      <c r="G21" s="82"/>
      <c r="H21" s="82"/>
      <c r="I21" s="82"/>
      <c r="J21" s="83"/>
    </row>
    <row r="22" spans="2:16" ht="18.75" customHeight="1" x14ac:dyDescent="0.3">
      <c r="B22" s="4" t="s">
        <v>25</v>
      </c>
      <c r="H22" s="37" t="s">
        <v>11</v>
      </c>
      <c r="I22" s="40">
        <v>0.3</v>
      </c>
      <c r="J22" s="3"/>
    </row>
    <row r="23" spans="2:16" ht="18.75" customHeight="1" x14ac:dyDescent="0.3">
      <c r="B23" s="4" t="s">
        <v>26</v>
      </c>
      <c r="H23" s="37" t="s">
        <v>11</v>
      </c>
      <c r="I23" s="40">
        <v>0.7</v>
      </c>
      <c r="J23" s="3"/>
    </row>
    <row r="24" spans="2:16" ht="18.75" customHeight="1" x14ac:dyDescent="0.3">
      <c r="B24" s="4" t="s">
        <v>27</v>
      </c>
      <c r="H24" s="37" t="s">
        <v>22</v>
      </c>
      <c r="I24" s="42">
        <f>I22*I19</f>
        <v>54499999.999999985</v>
      </c>
      <c r="J24" s="3"/>
    </row>
    <row r="25" spans="2:16" ht="18.75" customHeight="1" x14ac:dyDescent="0.3">
      <c r="B25" s="4" t="s">
        <v>28</v>
      </c>
      <c r="H25" s="37" t="s">
        <v>22</v>
      </c>
      <c r="I25" s="42">
        <f>I23*I19</f>
        <v>127166666.66666663</v>
      </c>
      <c r="J25" s="3"/>
    </row>
    <row r="26" spans="2:16" ht="18.75" customHeight="1" x14ac:dyDescent="0.3">
      <c r="B26" s="4" t="s">
        <v>29</v>
      </c>
      <c r="H26" s="37" t="s">
        <v>11</v>
      </c>
      <c r="I26" s="44">
        <v>0.25</v>
      </c>
      <c r="J26" s="3"/>
    </row>
    <row r="27" spans="2:16" ht="18.75" customHeight="1" x14ac:dyDescent="0.3">
      <c r="B27" s="4" t="s">
        <v>30</v>
      </c>
      <c r="H27" s="37" t="s">
        <v>11</v>
      </c>
      <c r="I27" s="40">
        <v>0.2</v>
      </c>
      <c r="J27" s="3"/>
    </row>
    <row r="28" spans="2:16" ht="18.75" customHeight="1" x14ac:dyDescent="0.3">
      <c r="B28" s="4" t="s">
        <v>31</v>
      </c>
      <c r="H28" s="37" t="s">
        <v>11</v>
      </c>
      <c r="I28" s="40">
        <v>0.1</v>
      </c>
      <c r="J28" s="3"/>
    </row>
    <row r="29" spans="2:16" ht="18.75" customHeight="1" x14ac:dyDescent="0.3">
      <c r="B29" s="29" t="s">
        <v>32</v>
      </c>
      <c r="C29" s="31"/>
      <c r="D29" s="31"/>
      <c r="E29" s="31"/>
      <c r="F29" s="31"/>
      <c r="G29" s="31"/>
      <c r="H29" s="38" t="s">
        <v>11</v>
      </c>
      <c r="I29" s="45">
        <f>(I22*I27)+((I23*I28) *(1-I26))</f>
        <v>0.11249999999999999</v>
      </c>
      <c r="J29" s="32"/>
    </row>
    <row r="30" spans="2:16" ht="18.75" customHeight="1" x14ac:dyDescent="0.3">
      <c r="B30" s="10"/>
      <c r="J30" s="3"/>
    </row>
    <row r="31" spans="2:16" ht="18.75" customHeight="1" x14ac:dyDescent="0.3">
      <c r="B31" s="81" t="s">
        <v>33</v>
      </c>
      <c r="C31" s="82"/>
      <c r="D31" s="82"/>
      <c r="E31" s="82"/>
      <c r="F31" s="82"/>
      <c r="G31" s="82"/>
      <c r="H31" s="82"/>
      <c r="I31" s="82"/>
      <c r="J31" s="83"/>
    </row>
    <row r="32" spans="2:16" ht="18.75" customHeight="1" x14ac:dyDescent="0.3">
      <c r="B32" s="4" t="s">
        <v>34</v>
      </c>
      <c r="H32" s="37" t="s">
        <v>35</v>
      </c>
      <c r="I32" s="37">
        <v>30</v>
      </c>
      <c r="J32" s="3"/>
    </row>
    <row r="33" spans="2:10" ht="18.75" customHeight="1" x14ac:dyDescent="0.3">
      <c r="B33" s="4" t="s">
        <v>36</v>
      </c>
      <c r="H33" s="37" t="s">
        <v>37</v>
      </c>
      <c r="I33" s="37">
        <v>340</v>
      </c>
      <c r="J33" s="3"/>
    </row>
    <row r="34" spans="2:10" ht="18.75" customHeight="1" x14ac:dyDescent="0.3">
      <c r="B34" s="4" t="s">
        <v>38</v>
      </c>
      <c r="H34" s="37" t="s">
        <v>11</v>
      </c>
      <c r="I34" s="40">
        <v>0.08</v>
      </c>
      <c r="J34" s="3"/>
    </row>
    <row r="35" spans="2:10" ht="18.75" customHeight="1" x14ac:dyDescent="0.3">
      <c r="B35" s="4" t="s">
        <v>39</v>
      </c>
      <c r="H35" s="37" t="s">
        <v>8</v>
      </c>
      <c r="I35" s="37">
        <f>I9*(1+I34)</f>
        <v>4320</v>
      </c>
      <c r="J35" s="3"/>
    </row>
    <row r="36" spans="2:10" ht="18.75" customHeight="1" x14ac:dyDescent="0.3">
      <c r="B36" s="4" t="s">
        <v>40</v>
      </c>
      <c r="H36" s="37" t="s">
        <v>11</v>
      </c>
      <c r="I36" s="40">
        <v>0.05</v>
      </c>
      <c r="J36" s="3"/>
    </row>
    <row r="37" spans="2:10" ht="18.75" customHeight="1" x14ac:dyDescent="0.3">
      <c r="B37" s="4" t="s">
        <v>41</v>
      </c>
      <c r="H37" s="37" t="s">
        <v>11</v>
      </c>
      <c r="I37" s="40">
        <v>0.02</v>
      </c>
      <c r="J37" s="3"/>
    </row>
    <row r="38" spans="2:10" ht="18.75" customHeight="1" x14ac:dyDescent="0.3">
      <c r="B38" s="57" t="s">
        <v>96</v>
      </c>
      <c r="H38" s="37"/>
      <c r="I38" s="58">
        <f>3048000/100*I7*1</f>
        <v>2438400</v>
      </c>
      <c r="J38" s="3"/>
    </row>
    <row r="39" spans="2:10" ht="18.75" customHeight="1" x14ac:dyDescent="0.3">
      <c r="B39" s="4" t="s">
        <v>42</v>
      </c>
      <c r="H39" s="37" t="s">
        <v>43</v>
      </c>
      <c r="I39" s="46">
        <v>125</v>
      </c>
      <c r="J39" s="3"/>
    </row>
    <row r="40" spans="2:10" ht="18.75" customHeight="1" x14ac:dyDescent="0.3">
      <c r="B40" s="4" t="s">
        <v>44</v>
      </c>
      <c r="H40" s="37" t="s">
        <v>11</v>
      </c>
      <c r="I40" s="40">
        <v>0.15</v>
      </c>
      <c r="J40" s="3"/>
    </row>
    <row r="41" spans="2:10" ht="18.75" customHeight="1" x14ac:dyDescent="0.3">
      <c r="B41" s="4" t="s">
        <v>45</v>
      </c>
      <c r="H41" s="37" t="s">
        <v>11</v>
      </c>
      <c r="I41" s="40">
        <v>0.01</v>
      </c>
      <c r="J41" s="3"/>
    </row>
    <row r="42" spans="2:10" ht="18.75" customHeight="1" x14ac:dyDescent="0.3">
      <c r="B42" s="4" t="s">
        <v>46</v>
      </c>
      <c r="H42" s="37" t="s">
        <v>18</v>
      </c>
      <c r="I42" s="47">
        <v>2</v>
      </c>
      <c r="J42" s="3"/>
    </row>
    <row r="43" spans="2:10" ht="18.75" customHeight="1" thickBot="1" x14ac:dyDescent="0.35">
      <c r="B43" s="13" t="s">
        <v>47</v>
      </c>
      <c r="C43" s="14"/>
      <c r="D43" s="14"/>
      <c r="E43" s="14"/>
      <c r="F43" s="14"/>
      <c r="G43" s="14"/>
      <c r="H43" s="39" t="s">
        <v>35</v>
      </c>
      <c r="I43" s="48">
        <v>8</v>
      </c>
      <c r="J43" s="30"/>
    </row>
    <row r="44" spans="2:10" ht="18.75" customHeight="1" x14ac:dyDescent="0.3"/>
    <row r="45" spans="2:10" ht="18.75" customHeight="1" x14ac:dyDescent="0.3"/>
    <row r="46" spans="2:10" ht="18.75" customHeight="1" x14ac:dyDescent="0.3"/>
    <row r="47" spans="2:10" ht="18.75" customHeight="1" x14ac:dyDescent="0.3"/>
    <row r="48" spans="2:10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  <row r="1001" ht="18.75" customHeight="1" x14ac:dyDescent="0.3"/>
  </sheetData>
  <mergeCells count="1">
    <mergeCell ref="E19:G19"/>
  </mergeCells>
  <conditionalFormatting sqref="I7:I13 I16:I19 I22:I29 I32:I43">
    <cfRule type="expression" dxfId="0" priority="1">
      <formula>_xlfn.ISFORMULA(I7)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AG7"/>
  <sheetViews>
    <sheetView showGridLines="0" topLeftCell="A7" workbookViewId="0">
      <selection activeCell="J27" sqref="J27"/>
    </sheetView>
  </sheetViews>
  <sheetFormatPr defaultColWidth="11.23046875" defaultRowHeight="15" customHeight="1" x14ac:dyDescent="0.3"/>
  <cols>
    <col min="2" max="2" width="12.07421875" bestFit="1" customWidth="1"/>
    <col min="3" max="3" width="11.3046875" bestFit="1" customWidth="1"/>
    <col min="4" max="4" width="12.3046875" bestFit="1" customWidth="1"/>
    <col min="5" max="6" width="12.4609375" bestFit="1" customWidth="1"/>
    <col min="7" max="7" width="11.84375" bestFit="1" customWidth="1"/>
    <col min="8" max="9" width="12.23046875" bestFit="1" customWidth="1"/>
    <col min="10" max="10" width="11.53515625" bestFit="1" customWidth="1"/>
    <col min="11" max="12" width="12.53515625" bestFit="1" customWidth="1"/>
    <col min="13" max="13" width="11.61328125" bestFit="1" customWidth="1"/>
    <col min="14" max="15" width="12.07421875" bestFit="1" customWidth="1"/>
    <col min="16" max="16" width="11.61328125" bestFit="1" customWidth="1"/>
    <col min="17" max="18" width="12.15234375" bestFit="1" customWidth="1"/>
    <col min="19" max="19" width="11.4609375" bestFit="1" customWidth="1"/>
    <col min="20" max="21" width="12" bestFit="1" customWidth="1"/>
    <col min="22" max="22" width="10.4609375" bestFit="1" customWidth="1"/>
    <col min="23" max="23" width="10.3828125" bestFit="1" customWidth="1"/>
    <col min="24" max="33" width="5" bestFit="1" customWidth="1"/>
  </cols>
  <sheetData>
    <row r="2" spans="2:33" ht="15" customHeight="1" thickBot="1" x14ac:dyDescent="0.35">
      <c r="B2" s="33"/>
    </row>
    <row r="3" spans="2:33" ht="15" customHeight="1" x14ac:dyDescent="0.3">
      <c r="B3" s="86" t="s">
        <v>48</v>
      </c>
      <c r="C3" s="87" t="s">
        <v>98</v>
      </c>
      <c r="D3" s="88">
        <v>1</v>
      </c>
      <c r="E3" s="88">
        <v>2</v>
      </c>
      <c r="F3" s="88">
        <v>3</v>
      </c>
      <c r="G3" s="88">
        <v>4</v>
      </c>
      <c r="H3" s="88">
        <v>5</v>
      </c>
      <c r="I3" s="88">
        <v>6</v>
      </c>
      <c r="J3" s="88">
        <v>7</v>
      </c>
      <c r="K3" s="88">
        <v>8</v>
      </c>
      <c r="L3" s="88">
        <v>9</v>
      </c>
      <c r="M3" s="88">
        <v>10</v>
      </c>
      <c r="N3" s="88">
        <v>11</v>
      </c>
      <c r="O3" s="88">
        <v>12</v>
      </c>
      <c r="P3" s="88">
        <v>13</v>
      </c>
      <c r="Q3" s="88">
        <v>14</v>
      </c>
      <c r="R3" s="88">
        <v>15</v>
      </c>
      <c r="S3" s="88">
        <v>16</v>
      </c>
      <c r="T3" s="88">
        <v>17</v>
      </c>
      <c r="U3" s="88">
        <v>18</v>
      </c>
      <c r="V3" s="88">
        <v>19</v>
      </c>
      <c r="W3" s="88">
        <v>20</v>
      </c>
      <c r="X3" s="88">
        <v>21</v>
      </c>
      <c r="Y3" s="88">
        <v>22</v>
      </c>
      <c r="Z3" s="88">
        <v>23</v>
      </c>
      <c r="AA3" s="88">
        <v>24</v>
      </c>
      <c r="AB3" s="88">
        <v>25</v>
      </c>
      <c r="AC3" s="88">
        <v>26</v>
      </c>
      <c r="AD3" s="88">
        <v>27</v>
      </c>
      <c r="AE3" s="88">
        <v>28</v>
      </c>
      <c r="AF3" s="88">
        <v>29</v>
      </c>
      <c r="AG3" s="89">
        <v>30</v>
      </c>
    </row>
    <row r="4" spans="2:33" ht="15" customHeight="1" x14ac:dyDescent="0.3">
      <c r="B4" s="90" t="s">
        <v>49</v>
      </c>
      <c r="C4" s="91"/>
      <c r="D4" s="92">
        <f>C5</f>
        <v>127166666.66666663</v>
      </c>
      <c r="E4" s="92">
        <f t="shared" ref="E4:AG4" si="0">D6</f>
        <v>120808333.3333333</v>
      </c>
      <c r="F4" s="92">
        <f t="shared" si="0"/>
        <v>114449999.99999997</v>
      </c>
      <c r="G4" s="92">
        <f t="shared" si="0"/>
        <v>108091666.66666664</v>
      </c>
      <c r="H4" s="92">
        <f t="shared" si="0"/>
        <v>101733333.33333331</v>
      </c>
      <c r="I4" s="92">
        <f t="shared" si="0"/>
        <v>95374999.999999985</v>
      </c>
      <c r="J4" s="92">
        <f t="shared" si="0"/>
        <v>89016666.666666657</v>
      </c>
      <c r="K4" s="92">
        <f t="shared" si="0"/>
        <v>82658333.333333328</v>
      </c>
      <c r="L4" s="92">
        <f t="shared" si="0"/>
        <v>76300000</v>
      </c>
      <c r="M4" s="92">
        <f t="shared" si="0"/>
        <v>69941666.666666672</v>
      </c>
      <c r="N4" s="92">
        <f t="shared" si="0"/>
        <v>63583333.333333343</v>
      </c>
      <c r="O4" s="92">
        <f t="shared" si="0"/>
        <v>57225000.000000015</v>
      </c>
      <c r="P4" s="92">
        <f t="shared" si="0"/>
        <v>50866666.666666687</v>
      </c>
      <c r="Q4" s="92">
        <f t="shared" si="0"/>
        <v>44508333.333333358</v>
      </c>
      <c r="R4" s="92">
        <f t="shared" si="0"/>
        <v>38150000.00000003</v>
      </c>
      <c r="S4" s="92">
        <f t="shared" si="0"/>
        <v>31791666.666666698</v>
      </c>
      <c r="T4" s="92">
        <f t="shared" si="0"/>
        <v>25433333.333333366</v>
      </c>
      <c r="U4" s="92">
        <f t="shared" si="0"/>
        <v>19075000.000000034</v>
      </c>
      <c r="V4" s="92">
        <f t="shared" si="0"/>
        <v>12716666.666666701</v>
      </c>
      <c r="W4" s="92">
        <f t="shared" si="0"/>
        <v>6358333.3333333703</v>
      </c>
      <c r="X4" s="92">
        <f t="shared" si="0"/>
        <v>3.9115548133850098E-8</v>
      </c>
      <c r="Y4" s="92">
        <f t="shared" si="0"/>
        <v>3.9115548133850098E-8</v>
      </c>
      <c r="Z4" s="92">
        <f t="shared" si="0"/>
        <v>3.9115548133850098E-8</v>
      </c>
      <c r="AA4" s="92">
        <f t="shared" si="0"/>
        <v>3.9115548133850098E-8</v>
      </c>
      <c r="AB4" s="92">
        <f t="shared" si="0"/>
        <v>3.9115548133850098E-8</v>
      </c>
      <c r="AC4" s="92">
        <f t="shared" si="0"/>
        <v>3.9115548133850098E-8</v>
      </c>
      <c r="AD4" s="92">
        <f t="shared" si="0"/>
        <v>3.9115548133850098E-8</v>
      </c>
      <c r="AE4" s="92">
        <f t="shared" si="0"/>
        <v>3.9115548133850098E-8</v>
      </c>
      <c r="AF4" s="92">
        <f t="shared" si="0"/>
        <v>3.9115548133850098E-8</v>
      </c>
      <c r="AG4" s="93">
        <f t="shared" si="0"/>
        <v>3.9115548133850098E-8</v>
      </c>
    </row>
    <row r="5" spans="2:33" ht="15" customHeight="1" x14ac:dyDescent="0.3">
      <c r="B5" s="90" t="s">
        <v>50</v>
      </c>
      <c r="C5" s="99">
        <f>Assumption!I25</f>
        <v>127166666.66666663</v>
      </c>
      <c r="D5" s="101">
        <f>$C$5/20</f>
        <v>6358333.3333333312</v>
      </c>
      <c r="E5" s="101">
        <f t="shared" ref="E5:W5" si="1">$C$5/20</f>
        <v>6358333.3333333312</v>
      </c>
      <c r="F5" s="101">
        <f t="shared" si="1"/>
        <v>6358333.3333333312</v>
      </c>
      <c r="G5" s="101">
        <f t="shared" si="1"/>
        <v>6358333.3333333312</v>
      </c>
      <c r="H5" s="101">
        <f t="shared" si="1"/>
        <v>6358333.3333333312</v>
      </c>
      <c r="I5" s="101">
        <f t="shared" si="1"/>
        <v>6358333.3333333312</v>
      </c>
      <c r="J5" s="101">
        <f t="shared" si="1"/>
        <v>6358333.3333333312</v>
      </c>
      <c r="K5" s="101">
        <f t="shared" si="1"/>
        <v>6358333.3333333312</v>
      </c>
      <c r="L5" s="101">
        <f t="shared" si="1"/>
        <v>6358333.3333333312</v>
      </c>
      <c r="M5" s="101">
        <f t="shared" si="1"/>
        <v>6358333.3333333312</v>
      </c>
      <c r="N5" s="101">
        <f t="shared" si="1"/>
        <v>6358333.3333333312</v>
      </c>
      <c r="O5" s="101">
        <f t="shared" si="1"/>
        <v>6358333.3333333312</v>
      </c>
      <c r="P5" s="101">
        <f t="shared" si="1"/>
        <v>6358333.3333333312</v>
      </c>
      <c r="Q5" s="101">
        <f t="shared" si="1"/>
        <v>6358333.3333333312</v>
      </c>
      <c r="R5" s="101">
        <f t="shared" si="1"/>
        <v>6358333.3333333312</v>
      </c>
      <c r="S5" s="101">
        <f t="shared" si="1"/>
        <v>6358333.3333333312</v>
      </c>
      <c r="T5" s="101">
        <f t="shared" si="1"/>
        <v>6358333.3333333312</v>
      </c>
      <c r="U5" s="101">
        <f t="shared" si="1"/>
        <v>6358333.3333333312</v>
      </c>
      <c r="V5" s="101">
        <f t="shared" si="1"/>
        <v>6358333.3333333312</v>
      </c>
      <c r="W5" s="101">
        <f t="shared" si="1"/>
        <v>6358333.3333333312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</row>
    <row r="6" spans="2:33" ht="15" customHeight="1" x14ac:dyDescent="0.3">
      <c r="B6" s="94" t="s">
        <v>51</v>
      </c>
      <c r="C6" s="95"/>
      <c r="D6" s="96">
        <f t="shared" ref="D6:AG6" si="2">D4-D5</f>
        <v>120808333.3333333</v>
      </c>
      <c r="E6" s="96">
        <f t="shared" si="2"/>
        <v>114449999.99999997</v>
      </c>
      <c r="F6" s="96">
        <f t="shared" si="2"/>
        <v>108091666.66666664</v>
      </c>
      <c r="G6" s="96">
        <f t="shared" si="2"/>
        <v>101733333.33333331</v>
      </c>
      <c r="H6" s="96">
        <f t="shared" si="2"/>
        <v>95374999.999999985</v>
      </c>
      <c r="I6" s="96">
        <f t="shared" si="2"/>
        <v>89016666.666666657</v>
      </c>
      <c r="J6" s="96">
        <f t="shared" si="2"/>
        <v>82658333.333333328</v>
      </c>
      <c r="K6" s="96">
        <f t="shared" si="2"/>
        <v>76300000</v>
      </c>
      <c r="L6" s="96">
        <f t="shared" si="2"/>
        <v>69941666.666666672</v>
      </c>
      <c r="M6" s="96">
        <f t="shared" si="2"/>
        <v>63583333.333333343</v>
      </c>
      <c r="N6" s="96">
        <f t="shared" si="2"/>
        <v>57225000.000000015</v>
      </c>
      <c r="O6" s="96">
        <f t="shared" si="2"/>
        <v>50866666.666666687</v>
      </c>
      <c r="P6" s="96">
        <f t="shared" si="2"/>
        <v>44508333.333333358</v>
      </c>
      <c r="Q6" s="96">
        <f t="shared" si="2"/>
        <v>38150000.00000003</v>
      </c>
      <c r="R6" s="96">
        <f t="shared" si="2"/>
        <v>31791666.666666698</v>
      </c>
      <c r="S6" s="96">
        <f t="shared" si="2"/>
        <v>25433333.333333366</v>
      </c>
      <c r="T6" s="96">
        <f t="shared" si="2"/>
        <v>19075000.000000034</v>
      </c>
      <c r="U6" s="96">
        <f t="shared" si="2"/>
        <v>12716666.666666701</v>
      </c>
      <c r="V6" s="96">
        <f t="shared" si="2"/>
        <v>6358333.3333333703</v>
      </c>
      <c r="W6" s="96">
        <f t="shared" si="2"/>
        <v>3.9115548133850098E-8</v>
      </c>
      <c r="X6" s="96">
        <f t="shared" si="2"/>
        <v>3.9115548133850098E-8</v>
      </c>
      <c r="Y6" s="96">
        <f t="shared" si="2"/>
        <v>3.9115548133850098E-8</v>
      </c>
      <c r="Z6" s="96">
        <f t="shared" si="2"/>
        <v>3.9115548133850098E-8</v>
      </c>
      <c r="AA6" s="96">
        <f t="shared" si="2"/>
        <v>3.9115548133850098E-8</v>
      </c>
      <c r="AB6" s="96">
        <f t="shared" si="2"/>
        <v>3.9115548133850098E-8</v>
      </c>
      <c r="AC6" s="96">
        <f t="shared" si="2"/>
        <v>3.9115548133850098E-8</v>
      </c>
      <c r="AD6" s="96">
        <f t="shared" si="2"/>
        <v>3.9115548133850098E-8</v>
      </c>
      <c r="AE6" s="96">
        <f t="shared" si="2"/>
        <v>3.9115548133850098E-8</v>
      </c>
      <c r="AF6" s="96">
        <f t="shared" si="2"/>
        <v>3.9115548133850098E-8</v>
      </c>
      <c r="AG6" s="97">
        <f t="shared" si="2"/>
        <v>3.9115548133850098E-8</v>
      </c>
    </row>
    <row r="7" spans="2:33" ht="15" customHeight="1" thickBot="1" x14ac:dyDescent="0.35">
      <c r="B7" s="98" t="s">
        <v>52</v>
      </c>
      <c r="C7" s="100">
        <f>SUM(D7:AG7)</f>
        <v>150215625</v>
      </c>
      <c r="D7" s="102">
        <f>D4*Assumption!$I$29</f>
        <v>14306249.999999994</v>
      </c>
      <c r="E7" s="102">
        <f>E4*Assumption!$I$29</f>
        <v>13590937.499999994</v>
      </c>
      <c r="F7" s="102">
        <f>F4*Assumption!$I$29</f>
        <v>12875624.999999996</v>
      </c>
      <c r="G7" s="102">
        <f>G4*Assumption!$I$29</f>
        <v>12160312.499999996</v>
      </c>
      <c r="H7" s="102">
        <f>H4*Assumption!$I$29</f>
        <v>11444999.999999996</v>
      </c>
      <c r="I7" s="102">
        <f>I4*Assumption!$I$29</f>
        <v>10729687.499999998</v>
      </c>
      <c r="J7" s="102">
        <f>J4*Assumption!$I$29</f>
        <v>10014374.999999998</v>
      </c>
      <c r="K7" s="102">
        <f>K4*Assumption!$I$29</f>
        <v>9299062.4999999981</v>
      </c>
      <c r="L7" s="102">
        <f>L4*Assumption!$I$29</f>
        <v>8583750</v>
      </c>
      <c r="M7" s="102">
        <f>M4*Assumption!$I$29</f>
        <v>7868437.5</v>
      </c>
      <c r="N7" s="102">
        <f>N4*Assumption!$I$29</f>
        <v>7153125</v>
      </c>
      <c r="O7" s="102">
        <f>O4*Assumption!$I$29</f>
        <v>6437812.5000000009</v>
      </c>
      <c r="P7" s="102">
        <f>P4*Assumption!$I$29</f>
        <v>5722500.0000000019</v>
      </c>
      <c r="Q7" s="102">
        <f>Q4*Assumption!$I$29</f>
        <v>5007187.5000000019</v>
      </c>
      <c r="R7" s="102">
        <f>R4*Assumption!$I$29</f>
        <v>4291875.0000000028</v>
      </c>
      <c r="S7" s="102">
        <f>S4*Assumption!$I$29</f>
        <v>3576562.5000000033</v>
      </c>
      <c r="T7" s="102">
        <f>T4*Assumption!$I$29</f>
        <v>2861250.0000000033</v>
      </c>
      <c r="U7" s="102">
        <f>U4*Assumption!$I$29</f>
        <v>2145937.5000000037</v>
      </c>
      <c r="V7" s="102">
        <f>V4*Assumption!$I$29</f>
        <v>1430625.0000000037</v>
      </c>
      <c r="W7" s="102">
        <f>W4*Assumption!$I$29</f>
        <v>715312.50000000407</v>
      </c>
      <c r="X7" s="102">
        <f>X4*Assumption!$I$29</f>
        <v>4.4004991650581357E-9</v>
      </c>
      <c r="Y7" s="102">
        <f>Y4*Assumption!$I$29</f>
        <v>4.4004991650581357E-9</v>
      </c>
      <c r="Z7" s="102">
        <f>Z4*Assumption!$I$29</f>
        <v>4.4004991650581357E-9</v>
      </c>
      <c r="AA7" s="102">
        <f>AA4*Assumption!$I$29</f>
        <v>4.4004991650581357E-9</v>
      </c>
      <c r="AB7" s="102">
        <f>AB4*Assumption!$I$29</f>
        <v>4.4004991650581357E-9</v>
      </c>
      <c r="AC7" s="102">
        <f>AC4*Assumption!$I$29</f>
        <v>4.4004991650581357E-9</v>
      </c>
      <c r="AD7" s="102">
        <f>AD4*Assumption!$I$29</f>
        <v>4.4004991650581357E-9</v>
      </c>
      <c r="AE7" s="102">
        <f>AE4*Assumption!$I$29</f>
        <v>4.4004991650581357E-9</v>
      </c>
      <c r="AF7" s="102">
        <f>AF4*Assumption!$I$29</f>
        <v>4.4004991650581357E-9</v>
      </c>
      <c r="AG7" s="102">
        <f>AG4*Assumption!$I$29</f>
        <v>4.4004991650581357E-9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9:AG30"/>
  <sheetViews>
    <sheetView showGridLines="0" topLeftCell="B7" zoomScale="70" zoomScaleNormal="70" workbookViewId="0">
      <selection activeCell="D30" sqref="D30"/>
    </sheetView>
  </sheetViews>
  <sheetFormatPr defaultColWidth="11.23046875" defaultRowHeight="15" customHeight="1" x14ac:dyDescent="0.3"/>
  <cols>
    <col min="1" max="1" width="11.23046875" style="63"/>
    <col min="2" max="2" width="26.23046875" style="63" bestFit="1" customWidth="1"/>
    <col min="3" max="3" width="13.53515625" style="63" bestFit="1" customWidth="1"/>
    <col min="4" max="13" width="12.61328125" style="63" bestFit="1" customWidth="1"/>
    <col min="14" max="14" width="12.69140625" style="63" bestFit="1" customWidth="1"/>
    <col min="15" max="22" width="12.61328125" style="63" bestFit="1" customWidth="1"/>
    <col min="23" max="23" width="12.921875" style="63" bestFit="1" customWidth="1"/>
    <col min="24" max="33" width="12.61328125" style="63" bestFit="1" customWidth="1"/>
    <col min="34" max="16384" width="11.23046875" style="63"/>
  </cols>
  <sheetData>
    <row r="9" spans="2:33" ht="15" customHeight="1" thickBot="1" x14ac:dyDescent="0.35"/>
    <row r="10" spans="2:33" ht="15" customHeight="1" x14ac:dyDescent="0.3">
      <c r="B10" s="103"/>
      <c r="C10" s="104" t="s">
        <v>93</v>
      </c>
      <c r="D10" s="105">
        <v>1</v>
      </c>
      <c r="E10" s="105">
        <v>2</v>
      </c>
      <c r="F10" s="105">
        <v>3</v>
      </c>
      <c r="G10" s="105">
        <v>4</v>
      </c>
      <c r="H10" s="105">
        <v>5</v>
      </c>
      <c r="I10" s="105">
        <v>6</v>
      </c>
      <c r="J10" s="105">
        <v>7</v>
      </c>
      <c r="K10" s="105">
        <v>8</v>
      </c>
      <c r="L10" s="105">
        <v>9</v>
      </c>
      <c r="M10" s="105">
        <v>10</v>
      </c>
      <c r="N10" s="105">
        <v>11</v>
      </c>
      <c r="O10" s="105">
        <v>12</v>
      </c>
      <c r="P10" s="105">
        <v>13</v>
      </c>
      <c r="Q10" s="105">
        <v>14</v>
      </c>
      <c r="R10" s="105">
        <v>15</v>
      </c>
      <c r="S10" s="105">
        <v>16</v>
      </c>
      <c r="T10" s="105">
        <v>17</v>
      </c>
      <c r="U10" s="105">
        <v>18</v>
      </c>
      <c r="V10" s="105">
        <v>19</v>
      </c>
      <c r="W10" s="105">
        <v>20</v>
      </c>
      <c r="X10" s="105">
        <v>21</v>
      </c>
      <c r="Y10" s="105">
        <v>22</v>
      </c>
      <c r="Z10" s="105">
        <v>23</v>
      </c>
      <c r="AA10" s="105">
        <v>24</v>
      </c>
      <c r="AB10" s="105">
        <v>25</v>
      </c>
      <c r="AC10" s="105">
        <v>26</v>
      </c>
      <c r="AD10" s="105">
        <v>27</v>
      </c>
      <c r="AE10" s="105">
        <v>28</v>
      </c>
      <c r="AF10" s="105">
        <v>29</v>
      </c>
      <c r="AG10" s="106">
        <v>30</v>
      </c>
    </row>
    <row r="11" spans="2:33" ht="15" customHeight="1" x14ac:dyDescent="0.3">
      <c r="B11" s="107" t="s">
        <v>53</v>
      </c>
      <c r="C11" s="108" t="s">
        <v>87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10"/>
    </row>
    <row r="12" spans="2:33" ht="15" customHeight="1" x14ac:dyDescent="0.3">
      <c r="B12" s="64" t="s">
        <v>54</v>
      </c>
      <c r="C12" s="41">
        <f>Assumption!I24</f>
        <v>54499999.999999985</v>
      </c>
      <c r="AG12" s="7"/>
    </row>
    <row r="13" spans="2:33" ht="15" customHeight="1" x14ac:dyDescent="0.3">
      <c r="B13" s="64" t="s">
        <v>30</v>
      </c>
      <c r="C13" s="41">
        <f>Assumption!I24*Assumption!I27</f>
        <v>10899999.999999998</v>
      </c>
      <c r="D13" s="118">
        <f t="shared" ref="D13:AG13" si="0">C13</f>
        <v>10899999.999999998</v>
      </c>
      <c r="E13" s="118">
        <f t="shared" si="0"/>
        <v>10899999.999999998</v>
      </c>
      <c r="F13" s="118">
        <f t="shared" si="0"/>
        <v>10899999.999999998</v>
      </c>
      <c r="G13" s="118">
        <f t="shared" si="0"/>
        <v>10899999.999999998</v>
      </c>
      <c r="H13" s="118">
        <f t="shared" si="0"/>
        <v>10899999.999999998</v>
      </c>
      <c r="I13" s="118">
        <f t="shared" si="0"/>
        <v>10899999.999999998</v>
      </c>
      <c r="J13" s="118">
        <f t="shared" si="0"/>
        <v>10899999.999999998</v>
      </c>
      <c r="K13" s="118">
        <f t="shared" si="0"/>
        <v>10899999.999999998</v>
      </c>
      <c r="L13" s="118">
        <f t="shared" si="0"/>
        <v>10899999.999999998</v>
      </c>
      <c r="M13" s="118">
        <f t="shared" si="0"/>
        <v>10899999.999999998</v>
      </c>
      <c r="N13" s="118">
        <f t="shared" si="0"/>
        <v>10899999.999999998</v>
      </c>
      <c r="O13" s="118">
        <f t="shared" si="0"/>
        <v>10899999.999999998</v>
      </c>
      <c r="P13" s="118">
        <f t="shared" si="0"/>
        <v>10899999.999999998</v>
      </c>
      <c r="Q13" s="118">
        <f t="shared" si="0"/>
        <v>10899999.999999998</v>
      </c>
      <c r="R13" s="118">
        <f t="shared" si="0"/>
        <v>10899999.999999998</v>
      </c>
      <c r="S13" s="118">
        <f t="shared" si="0"/>
        <v>10899999.999999998</v>
      </c>
      <c r="T13" s="118">
        <f t="shared" si="0"/>
        <v>10899999.999999998</v>
      </c>
      <c r="U13" s="118">
        <f t="shared" si="0"/>
        <v>10899999.999999998</v>
      </c>
      <c r="V13" s="118">
        <f t="shared" si="0"/>
        <v>10899999.999999998</v>
      </c>
      <c r="W13" s="118">
        <f t="shared" si="0"/>
        <v>10899999.999999998</v>
      </c>
      <c r="X13" s="118">
        <f t="shared" si="0"/>
        <v>10899999.999999998</v>
      </c>
      <c r="Y13" s="118">
        <f t="shared" si="0"/>
        <v>10899999.999999998</v>
      </c>
      <c r="Z13" s="118">
        <f t="shared" si="0"/>
        <v>10899999.999999998</v>
      </c>
      <c r="AA13" s="118">
        <f t="shared" si="0"/>
        <v>10899999.999999998</v>
      </c>
      <c r="AB13" s="118">
        <f t="shared" si="0"/>
        <v>10899999.999999998</v>
      </c>
      <c r="AC13" s="118">
        <f t="shared" si="0"/>
        <v>10899999.999999998</v>
      </c>
      <c r="AD13" s="118">
        <f t="shared" si="0"/>
        <v>10899999.999999998</v>
      </c>
      <c r="AE13" s="118">
        <f t="shared" si="0"/>
        <v>10899999.999999998</v>
      </c>
      <c r="AF13" s="118">
        <f t="shared" si="0"/>
        <v>10899999.999999998</v>
      </c>
      <c r="AG13" s="119">
        <f t="shared" si="0"/>
        <v>10899999.999999998</v>
      </c>
    </row>
    <row r="14" spans="2:33" ht="15" customHeight="1" x14ac:dyDescent="0.3">
      <c r="B14" s="64" t="s">
        <v>55</v>
      </c>
      <c r="C14" s="41">
        <f>'Debt Schedule'!C5</f>
        <v>127166666.66666663</v>
      </c>
      <c r="D14" s="118">
        <f>'Debt Schedule'!D5</f>
        <v>6358333.3333333312</v>
      </c>
      <c r="E14" s="118">
        <f>'Debt Schedule'!E5</f>
        <v>6358333.3333333312</v>
      </c>
      <c r="F14" s="118">
        <f>'Debt Schedule'!F5</f>
        <v>6358333.3333333312</v>
      </c>
      <c r="G14" s="118">
        <f>'Debt Schedule'!G5</f>
        <v>6358333.3333333312</v>
      </c>
      <c r="H14" s="118">
        <f>'Debt Schedule'!H5</f>
        <v>6358333.3333333312</v>
      </c>
      <c r="I14" s="118">
        <f>'Debt Schedule'!I5</f>
        <v>6358333.3333333312</v>
      </c>
      <c r="J14" s="118">
        <f>'Debt Schedule'!J5</f>
        <v>6358333.3333333312</v>
      </c>
      <c r="K14" s="118">
        <f>'Debt Schedule'!K5</f>
        <v>6358333.3333333312</v>
      </c>
      <c r="L14" s="118">
        <f>'Debt Schedule'!L5</f>
        <v>6358333.3333333312</v>
      </c>
      <c r="M14" s="118">
        <f>'Debt Schedule'!M5</f>
        <v>6358333.3333333312</v>
      </c>
      <c r="N14" s="118">
        <f>'Debt Schedule'!N5</f>
        <v>6358333.3333333312</v>
      </c>
      <c r="O14" s="118">
        <f>'Debt Schedule'!O5</f>
        <v>6358333.3333333312</v>
      </c>
      <c r="P14" s="118">
        <f>'Debt Schedule'!P5</f>
        <v>6358333.3333333312</v>
      </c>
      <c r="Q14" s="118">
        <f>'Debt Schedule'!Q5</f>
        <v>6358333.3333333312</v>
      </c>
      <c r="R14" s="118">
        <f>'Debt Schedule'!R5</f>
        <v>6358333.3333333312</v>
      </c>
      <c r="S14" s="118">
        <f>'Debt Schedule'!S5</f>
        <v>6358333.3333333312</v>
      </c>
      <c r="T14" s="118">
        <f>'Debt Schedule'!T5</f>
        <v>6358333.3333333312</v>
      </c>
      <c r="U14" s="118">
        <f>'Debt Schedule'!U5</f>
        <v>6358333.3333333312</v>
      </c>
      <c r="V14" s="118">
        <f>'Debt Schedule'!V5</f>
        <v>6358333.3333333312</v>
      </c>
      <c r="W14" s="118">
        <f>'Debt Schedule'!W5</f>
        <v>6358333.3333333312</v>
      </c>
      <c r="X14" s="118">
        <f>'Debt Schedule'!X5</f>
        <v>0</v>
      </c>
      <c r="Y14" s="118">
        <f>'Debt Schedule'!Y5</f>
        <v>0</v>
      </c>
      <c r="Z14" s="118">
        <f>'Debt Schedule'!Z5</f>
        <v>0</v>
      </c>
      <c r="AA14" s="118">
        <f>'Debt Schedule'!AA5</f>
        <v>0</v>
      </c>
      <c r="AB14" s="118">
        <f>'Debt Schedule'!AB5</f>
        <v>0</v>
      </c>
      <c r="AC14" s="118">
        <f>'Debt Schedule'!AC5</f>
        <v>0</v>
      </c>
      <c r="AD14" s="118">
        <f>'Debt Schedule'!AD5</f>
        <v>0</v>
      </c>
      <c r="AE14" s="118">
        <f>'Debt Schedule'!AE5</f>
        <v>0</v>
      </c>
      <c r="AF14" s="118">
        <f>'Debt Schedule'!AF5</f>
        <v>0</v>
      </c>
      <c r="AG14" s="119">
        <f>'Debt Schedule'!AG5</f>
        <v>0</v>
      </c>
    </row>
    <row r="15" spans="2:33" ht="15" customHeight="1" x14ac:dyDescent="0.3">
      <c r="B15" s="64" t="s">
        <v>56</v>
      </c>
      <c r="C15" s="41">
        <f>'Debt Schedule'!C7</f>
        <v>150215625</v>
      </c>
      <c r="D15" s="59">
        <f>'Debt Schedule'!D7</f>
        <v>14306249.999999994</v>
      </c>
      <c r="E15" s="59">
        <f>'Debt Schedule'!E7</f>
        <v>13590937.499999994</v>
      </c>
      <c r="F15" s="59">
        <f>'Debt Schedule'!F7</f>
        <v>12875624.999999996</v>
      </c>
      <c r="G15" s="59">
        <f>'Debt Schedule'!G7</f>
        <v>12160312.499999996</v>
      </c>
      <c r="H15" s="59">
        <f>'Debt Schedule'!H7</f>
        <v>11444999.999999996</v>
      </c>
      <c r="I15" s="59">
        <f>'Debt Schedule'!I7</f>
        <v>10729687.499999998</v>
      </c>
      <c r="J15" s="59">
        <f>'Debt Schedule'!J7</f>
        <v>10014374.999999998</v>
      </c>
      <c r="K15" s="59">
        <f>'Debt Schedule'!K7</f>
        <v>9299062.4999999981</v>
      </c>
      <c r="L15" s="59">
        <f>'Debt Schedule'!L7</f>
        <v>8583750</v>
      </c>
      <c r="M15" s="59">
        <f>'Debt Schedule'!M7</f>
        <v>7868437.5</v>
      </c>
      <c r="N15" s="59">
        <f>'Debt Schedule'!N7</f>
        <v>7153125</v>
      </c>
      <c r="O15" s="59">
        <f>'Debt Schedule'!O7</f>
        <v>6437812.5000000009</v>
      </c>
      <c r="P15" s="59">
        <f>'Debt Schedule'!P7</f>
        <v>5722500.0000000019</v>
      </c>
      <c r="Q15" s="59">
        <f>'Debt Schedule'!Q7</f>
        <v>5007187.5000000019</v>
      </c>
      <c r="R15" s="59">
        <f>'Debt Schedule'!R7</f>
        <v>4291875.0000000028</v>
      </c>
      <c r="S15" s="59">
        <f>'Debt Schedule'!S7</f>
        <v>3576562.5000000033</v>
      </c>
      <c r="T15" s="59">
        <f>'Debt Schedule'!T7</f>
        <v>2861250.0000000033</v>
      </c>
      <c r="U15" s="59">
        <f>'Debt Schedule'!U7</f>
        <v>2145937.5000000037</v>
      </c>
      <c r="V15" s="59">
        <f>'Debt Schedule'!V7</f>
        <v>1430625.0000000037</v>
      </c>
      <c r="W15" s="59">
        <f>'Debt Schedule'!W7</f>
        <v>715312.50000000407</v>
      </c>
      <c r="X15" s="59">
        <f>'Debt Schedule'!X7</f>
        <v>4.4004991650581357E-9</v>
      </c>
      <c r="Y15" s="59">
        <f>'Debt Schedule'!Y7</f>
        <v>4.4004991650581357E-9</v>
      </c>
      <c r="Z15" s="59">
        <f>'Debt Schedule'!Z7</f>
        <v>4.4004991650581357E-9</v>
      </c>
      <c r="AA15" s="59">
        <f>'Debt Schedule'!AA7</f>
        <v>4.4004991650581357E-9</v>
      </c>
      <c r="AB15" s="59">
        <f>'Debt Schedule'!AB7</f>
        <v>4.4004991650581357E-9</v>
      </c>
      <c r="AC15" s="59">
        <f>'Debt Schedule'!AC7</f>
        <v>4.4004991650581357E-9</v>
      </c>
      <c r="AD15" s="59">
        <f>'Debt Schedule'!AD7</f>
        <v>4.4004991650581357E-9</v>
      </c>
      <c r="AE15" s="59">
        <f>'Debt Schedule'!AE7</f>
        <v>4.4004991650581357E-9</v>
      </c>
      <c r="AF15" s="59">
        <f>'Debt Schedule'!AF7</f>
        <v>4.4004991650581357E-9</v>
      </c>
      <c r="AG15" s="5">
        <f>'Debt Schedule'!AG7</f>
        <v>4.4004991650581357E-9</v>
      </c>
    </row>
    <row r="16" spans="2:33" ht="15" customHeight="1" x14ac:dyDescent="0.3">
      <c r="B16" s="117" t="s">
        <v>57</v>
      </c>
      <c r="C16" s="41">
        <f>SUM(D16:AG16)</f>
        <v>272500000.00000006</v>
      </c>
      <c r="D16" s="59">
        <f>Assumption!$I$19*Assumption!$I$36</f>
        <v>9083333.3333333321</v>
      </c>
      <c r="E16" s="59">
        <f>Assumption!$I$19*Assumption!$I$36</f>
        <v>9083333.3333333321</v>
      </c>
      <c r="F16" s="59">
        <f>Assumption!$I$19*Assumption!$I$36</f>
        <v>9083333.3333333321</v>
      </c>
      <c r="G16" s="59">
        <f>Assumption!$I$19*Assumption!$I$36</f>
        <v>9083333.3333333321</v>
      </c>
      <c r="H16" s="59">
        <f>Assumption!$I$19*Assumption!$I$36</f>
        <v>9083333.3333333321</v>
      </c>
      <c r="I16" s="59">
        <f>Assumption!$I$19*Assumption!$I$36</f>
        <v>9083333.3333333321</v>
      </c>
      <c r="J16" s="59">
        <f>Assumption!$I$19*Assumption!$I$36</f>
        <v>9083333.3333333321</v>
      </c>
      <c r="K16" s="59">
        <f>Assumption!$I$19*Assumption!$I$36</f>
        <v>9083333.3333333321</v>
      </c>
      <c r="L16" s="59">
        <f>Assumption!$I$19*Assumption!$I$36</f>
        <v>9083333.3333333321</v>
      </c>
      <c r="M16" s="59">
        <f>Assumption!$I$19*Assumption!$I$36</f>
        <v>9083333.3333333321</v>
      </c>
      <c r="N16" s="59">
        <f>Assumption!$I$19*Assumption!$I$36</f>
        <v>9083333.3333333321</v>
      </c>
      <c r="O16" s="59">
        <f>Assumption!$I$19*Assumption!$I$36</f>
        <v>9083333.3333333321</v>
      </c>
      <c r="P16" s="59">
        <f>Assumption!$I$19*Assumption!$I$36</f>
        <v>9083333.3333333321</v>
      </c>
      <c r="Q16" s="59">
        <f>Assumption!$I$19*Assumption!$I$36</f>
        <v>9083333.3333333321</v>
      </c>
      <c r="R16" s="59">
        <f>Assumption!$I$19*Assumption!$I$36</f>
        <v>9083333.3333333321</v>
      </c>
      <c r="S16" s="59">
        <f>Assumption!$I$19*Assumption!$I$36</f>
        <v>9083333.3333333321</v>
      </c>
      <c r="T16" s="59">
        <f>Assumption!$I$19*Assumption!$I$36</f>
        <v>9083333.3333333321</v>
      </c>
      <c r="U16" s="59">
        <f>Assumption!$I$19*Assumption!$I$36</f>
        <v>9083333.3333333321</v>
      </c>
      <c r="V16" s="59">
        <f>Assumption!$I$19*Assumption!$I$36</f>
        <v>9083333.3333333321</v>
      </c>
      <c r="W16" s="59">
        <f>Assumption!$I$19*Assumption!$I$36</f>
        <v>9083333.3333333321</v>
      </c>
      <c r="X16" s="59">
        <f>Assumption!$I$19*Assumption!$I$36</f>
        <v>9083333.3333333321</v>
      </c>
      <c r="Y16" s="59">
        <f>Assumption!$I$19*Assumption!$I$36</f>
        <v>9083333.3333333321</v>
      </c>
      <c r="Z16" s="59">
        <f>Assumption!$I$19*Assumption!$I$36</f>
        <v>9083333.3333333321</v>
      </c>
      <c r="AA16" s="59">
        <f>Assumption!$I$19*Assumption!$I$36</f>
        <v>9083333.3333333321</v>
      </c>
      <c r="AB16" s="59">
        <f>Assumption!$I$19*Assumption!$I$36</f>
        <v>9083333.3333333321</v>
      </c>
      <c r="AC16" s="59">
        <f>Assumption!$I$19*Assumption!$I$36</f>
        <v>9083333.3333333321</v>
      </c>
      <c r="AD16" s="59">
        <f>Assumption!$I$19*Assumption!$I$36</f>
        <v>9083333.3333333321</v>
      </c>
      <c r="AE16" s="59">
        <f>Assumption!$I$19*Assumption!$I$36</f>
        <v>9083333.3333333321</v>
      </c>
      <c r="AF16" s="59">
        <f>Assumption!$I$19*Assumption!$I$36</f>
        <v>9083333.3333333321</v>
      </c>
      <c r="AG16" s="5">
        <f>Assumption!$I$19*Assumption!$I$36</f>
        <v>9083333.3333333321</v>
      </c>
    </row>
    <row r="17" spans="2:33" ht="15" customHeight="1" x14ac:dyDescent="0.3">
      <c r="B17" s="65" t="s">
        <v>58</v>
      </c>
      <c r="C17" s="66"/>
      <c r="D17" s="67"/>
      <c r="E17" s="67"/>
      <c r="F17" s="67"/>
      <c r="G17" s="67"/>
      <c r="H17" s="67"/>
      <c r="I17" s="67"/>
      <c r="J17" s="67"/>
      <c r="K17" s="62">
        <f>Assumption!I42*Assumption!I39*Assumption!I33</f>
        <v>85000</v>
      </c>
      <c r="L17" s="67"/>
      <c r="M17" s="67"/>
      <c r="N17" s="67"/>
      <c r="O17" s="67"/>
      <c r="P17" s="67"/>
      <c r="Q17" s="67"/>
      <c r="R17" s="67"/>
      <c r="S17" s="62">
        <f>K17</f>
        <v>85000</v>
      </c>
      <c r="T17" s="67"/>
      <c r="U17" s="67"/>
      <c r="V17" s="67"/>
      <c r="W17" s="67"/>
      <c r="X17" s="67"/>
      <c r="Y17" s="67"/>
      <c r="Z17" s="67"/>
      <c r="AA17" s="62">
        <f>S17</f>
        <v>85000</v>
      </c>
      <c r="AB17" s="67"/>
      <c r="AC17" s="67"/>
      <c r="AD17" s="67"/>
      <c r="AE17" s="67"/>
      <c r="AF17" s="67"/>
      <c r="AG17" s="68"/>
    </row>
    <row r="18" spans="2:33" ht="15" customHeight="1" x14ac:dyDescent="0.3">
      <c r="B18" s="69"/>
      <c r="C18" s="70"/>
      <c r="AG18" s="7"/>
    </row>
    <row r="19" spans="2:33" ht="15" customHeight="1" x14ac:dyDescent="0.3">
      <c r="B19" s="107" t="s">
        <v>59</v>
      </c>
      <c r="C19" s="108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10"/>
    </row>
    <row r="20" spans="2:33" ht="15" customHeight="1" x14ac:dyDescent="0.3">
      <c r="B20" s="64" t="s">
        <v>60</v>
      </c>
      <c r="C20" s="41">
        <f>SUM(D20:AG20)</f>
        <v>18783841.42797691</v>
      </c>
      <c r="D20" s="59">
        <f>Assumption!$I$39*Assumption!$I$35</f>
        <v>540000</v>
      </c>
      <c r="E20" s="59">
        <f>D20*(1+Assumption!$I$41)</f>
        <v>545400</v>
      </c>
      <c r="F20" s="59">
        <f>E20*(1+Assumption!$I$41)</f>
        <v>550854</v>
      </c>
      <c r="G20" s="59">
        <f>F20*(1+Assumption!$I$41)</f>
        <v>556362.54</v>
      </c>
      <c r="H20" s="59">
        <f>G20*(1+Assumption!$I$41)</f>
        <v>561926.16540000006</v>
      </c>
      <c r="I20" s="59">
        <f>H20*(1+Assumption!$I$41)</f>
        <v>567545.42705400009</v>
      </c>
      <c r="J20" s="59">
        <f>I20*(1+Assumption!$I$41)</f>
        <v>573220.88132454013</v>
      </c>
      <c r="K20" s="59">
        <f>J20*(1+Assumption!$I$41)</f>
        <v>578953.09013778553</v>
      </c>
      <c r="L20" s="59">
        <f>K20*(1+Assumption!$I$41)</f>
        <v>584742.62103916344</v>
      </c>
      <c r="M20" s="59">
        <f>L20*(1+Assumption!$I$41)</f>
        <v>590590.04724955512</v>
      </c>
      <c r="N20" s="59">
        <f>M20*(1+Assumption!$I$41)</f>
        <v>596495.94772205071</v>
      </c>
      <c r="O20" s="59">
        <f>N20*(1+Assumption!$I$41)</f>
        <v>602460.90719927126</v>
      </c>
      <c r="P20" s="59">
        <f>O20*(1+Assumption!$I$41)</f>
        <v>608485.51627126394</v>
      </c>
      <c r="Q20" s="59">
        <f>P20*(1+Assumption!$I$41)</f>
        <v>614570.37143397657</v>
      </c>
      <c r="R20" s="59">
        <f>Q20*(1+Assumption!$I$41)</f>
        <v>620716.07514831633</v>
      </c>
      <c r="S20" s="59">
        <f>R20*(1+Assumption!$I$41)</f>
        <v>626923.2358997995</v>
      </c>
      <c r="T20" s="59">
        <f>S20*(1+Assumption!$I$41)</f>
        <v>633192.46825879754</v>
      </c>
      <c r="U20" s="59">
        <f>T20*(1+Assumption!$I$41)</f>
        <v>639524.39294138551</v>
      </c>
      <c r="V20" s="59">
        <f>U20*(1+Assumption!$I$41)</f>
        <v>645919.63687079935</v>
      </c>
      <c r="W20" s="59">
        <f>V20*(1+Assumption!$I$41)</f>
        <v>652378.8332395074</v>
      </c>
      <c r="X20" s="59">
        <f>W20*(1+Assumption!$I$41)</f>
        <v>658902.62157190242</v>
      </c>
      <c r="Y20" s="59">
        <f>X20*(1+Assumption!$I$41)</f>
        <v>665491.64778762148</v>
      </c>
      <c r="Z20" s="59">
        <f>Y20*(1+Assumption!$I$41)</f>
        <v>672146.56426549773</v>
      </c>
      <c r="AA20" s="59">
        <f>Z20*(1+Assumption!$I$41)</f>
        <v>678868.02990815276</v>
      </c>
      <c r="AB20" s="59">
        <f>AA20*(1+Assumption!$I$41)</f>
        <v>685656.71020723425</v>
      </c>
      <c r="AC20" s="59">
        <f>AB20*(1+Assumption!$I$41)</f>
        <v>692513.27730930655</v>
      </c>
      <c r="AD20" s="59">
        <f>AC20*(1+Assumption!$I$41)</f>
        <v>699438.41008239961</v>
      </c>
      <c r="AE20" s="59">
        <f>AD20*(1+Assumption!$I$41)</f>
        <v>706432.79418322362</v>
      </c>
      <c r="AF20" s="59">
        <f>AE20*(1+Assumption!$I$41)</f>
        <v>713497.12212505587</v>
      </c>
      <c r="AG20" s="59">
        <f>AF20*(1+Assumption!$I$41)</f>
        <v>720632.09334630647</v>
      </c>
    </row>
    <row r="21" spans="2:33" ht="15" customHeight="1" x14ac:dyDescent="0.3">
      <c r="B21" s="65" t="s">
        <v>61</v>
      </c>
      <c r="C21" s="66"/>
      <c r="D21" s="62">
        <f>(D20*Assumption!$I$40)+Assumption!$I$38</f>
        <v>2519400</v>
      </c>
      <c r="E21" s="62">
        <f>(E20*Assumption!$I$40)+Assumption!$I$38</f>
        <v>2520210</v>
      </c>
      <c r="F21" s="62">
        <f>(F20*Assumption!$I$40)+Assumption!$I$38</f>
        <v>2521028.1</v>
      </c>
      <c r="G21" s="62">
        <f>(G20*Assumption!$I$40)+Assumption!$I$38</f>
        <v>2521854.3810000001</v>
      </c>
      <c r="H21" s="62">
        <f>(H20*Assumption!$I$40)+Assumption!$I$38</f>
        <v>2522688.9248100002</v>
      </c>
      <c r="I21" s="62">
        <f>(I20*Assumption!$I$40)+Assumption!$I$38</f>
        <v>2523531.8140580999</v>
      </c>
      <c r="J21" s="62">
        <f>(J20*Assumption!$I$40)+Assumption!$I$38</f>
        <v>2524383.1321986811</v>
      </c>
      <c r="K21" s="62">
        <f>(K20*Assumption!$I$40)+Assumption!$I$38</f>
        <v>2525242.963520668</v>
      </c>
      <c r="L21" s="62">
        <f>(L20*Assumption!$I$40)+Assumption!$I$38</f>
        <v>2526111.3931558747</v>
      </c>
      <c r="M21" s="62">
        <f>(M20*Assumption!$I$40)+Assumption!$I$38</f>
        <v>2526988.5070874332</v>
      </c>
      <c r="N21" s="62">
        <f>(N20*Assumption!$I$40)+Assumption!$I$38</f>
        <v>2527874.3921583076</v>
      </c>
      <c r="O21" s="62">
        <f>(O20*Assumption!$I$40)+Assumption!$I$38</f>
        <v>2528769.1360798907</v>
      </c>
      <c r="P21" s="62">
        <f>(P20*Assumption!$I$40)+Assumption!$I$38</f>
        <v>2529672.8274406898</v>
      </c>
      <c r="Q21" s="62">
        <f>(Q20*Assumption!$I$40)+Assumption!$I$38</f>
        <v>2530585.5557150966</v>
      </c>
      <c r="R21" s="62">
        <f>(R20*Assumption!$I$40)+Assumption!$I$38</f>
        <v>2531507.4112722473</v>
      </c>
      <c r="S21" s="62">
        <f>(S20*Assumption!$I$40)+Assumption!$I$38</f>
        <v>2532438.48538497</v>
      </c>
      <c r="T21" s="62">
        <f>(T20*Assumption!$I$40)+Assumption!$I$38</f>
        <v>2533378.8702388196</v>
      </c>
      <c r="U21" s="62">
        <f>(U20*Assumption!$I$40)+Assumption!$I$38</f>
        <v>2534328.6589412079</v>
      </c>
      <c r="V21" s="62">
        <f>(V20*Assumption!$I$40)+Assumption!$I$38</f>
        <v>2535287.9455306199</v>
      </c>
      <c r="W21" s="62">
        <f>(W20*Assumption!$I$40)+Assumption!$I$38</f>
        <v>2536256.824985926</v>
      </c>
      <c r="X21" s="62">
        <f>(X20*Assumption!$I$40)+Assumption!$I$38</f>
        <v>2537235.3932357854</v>
      </c>
      <c r="Y21" s="62">
        <f>(Y20*Assumption!$I$40)+Assumption!$I$38</f>
        <v>2538223.7471681433</v>
      </c>
      <c r="Z21" s="62">
        <f>(Z20*Assumption!$I$40)+Assumption!$I$38</f>
        <v>2539221.9846398248</v>
      </c>
      <c r="AA21" s="62">
        <f>(AA20*Assumption!$I$40)+Assumption!$I$38</f>
        <v>2540230.2044862229</v>
      </c>
      <c r="AB21" s="62">
        <f>(AB20*Assumption!$I$40)+Assumption!$I$38</f>
        <v>2541248.5065310854</v>
      </c>
      <c r="AC21" s="62">
        <f>(AC20*Assumption!$I$40)+Assumption!$I$38</f>
        <v>2542276.9915963961</v>
      </c>
      <c r="AD21" s="62">
        <f>(AD20*Assumption!$I$40)+Assumption!$I$38</f>
        <v>2543315.7615123601</v>
      </c>
      <c r="AE21" s="62">
        <f>(AE20*Assumption!$I$40)+Assumption!$I$38</f>
        <v>2544364.9191274834</v>
      </c>
      <c r="AF21" s="62">
        <f>(AF20*Assumption!$I$40)+Assumption!$I$38</f>
        <v>2545424.5683187582</v>
      </c>
      <c r="AG21" s="62">
        <f>(AG20*Assumption!$I$40)+Assumption!$I$38</f>
        <v>2546494.8140019458</v>
      </c>
    </row>
    <row r="22" spans="2:33" ht="15" customHeight="1" x14ac:dyDescent="0.3">
      <c r="B22" s="69"/>
      <c r="C22" s="70"/>
      <c r="AG22" s="7"/>
    </row>
    <row r="23" spans="2:33" ht="15" customHeight="1" x14ac:dyDescent="0.3">
      <c r="B23" s="116" t="s">
        <v>62</v>
      </c>
      <c r="C23" s="108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10"/>
    </row>
    <row r="24" spans="2:33" ht="15" customHeight="1" x14ac:dyDescent="0.3">
      <c r="B24" s="64" t="s">
        <v>63</v>
      </c>
      <c r="C24" s="70" t="s">
        <v>95</v>
      </c>
      <c r="D24" s="59">
        <f>Assumption!$I$7*Assumption!$I$33</f>
        <v>27200</v>
      </c>
      <c r="E24" s="59">
        <f>Assumption!$I$7*Assumption!$I$33</f>
        <v>27200</v>
      </c>
      <c r="F24" s="59">
        <f>Assumption!$I$7*Assumption!$I$33</f>
        <v>27200</v>
      </c>
      <c r="G24" s="59">
        <f>Assumption!$I$7*Assumption!$I$33</f>
        <v>27200</v>
      </c>
      <c r="H24" s="59">
        <f>Assumption!$I$7*Assumption!$I$33</f>
        <v>27200</v>
      </c>
      <c r="I24" s="59">
        <f>Assumption!$I$7*Assumption!$I$33</f>
        <v>27200</v>
      </c>
      <c r="J24" s="59">
        <f>Assumption!$I$7*Assumption!$I$33</f>
        <v>27200</v>
      </c>
      <c r="K24" s="59">
        <f>Assumption!$I$7*Assumption!$I$33</f>
        <v>27200</v>
      </c>
      <c r="L24" s="59">
        <f>Assumption!$I$7*Assumption!$I$33</f>
        <v>27200</v>
      </c>
      <c r="M24" s="59">
        <f>Assumption!$I$7*Assumption!$I$33</f>
        <v>27200</v>
      </c>
      <c r="N24" s="59">
        <f>Assumption!$I$7*Assumption!$I$33</f>
        <v>27200</v>
      </c>
      <c r="O24" s="59">
        <f>Assumption!$I$7*Assumption!$I$33</f>
        <v>27200</v>
      </c>
      <c r="P24" s="59">
        <f>Assumption!$I$7*Assumption!$I$33</f>
        <v>27200</v>
      </c>
      <c r="Q24" s="59">
        <f>Assumption!$I$7*Assumption!$I$33</f>
        <v>27200</v>
      </c>
      <c r="R24" s="59">
        <f>Assumption!$I$7*Assumption!$I$33</f>
        <v>27200</v>
      </c>
      <c r="S24" s="59">
        <f>Assumption!$I$7*Assumption!$I$33</f>
        <v>27200</v>
      </c>
      <c r="T24" s="59">
        <f>Assumption!$I$7*Assumption!$I$33</f>
        <v>27200</v>
      </c>
      <c r="U24" s="59">
        <f>Assumption!$I$7*Assumption!$I$33</f>
        <v>27200</v>
      </c>
      <c r="V24" s="59">
        <f>Assumption!$I$7*Assumption!$I$33</f>
        <v>27200</v>
      </c>
      <c r="W24" s="59">
        <f>Assumption!$I$7*Assumption!$I$33</f>
        <v>27200</v>
      </c>
      <c r="X24" s="59">
        <f>Assumption!$I$7*Assumption!$I$33</f>
        <v>27200</v>
      </c>
      <c r="Y24" s="59">
        <f>Assumption!$I$7*Assumption!$I$33</f>
        <v>27200</v>
      </c>
      <c r="Z24" s="59">
        <f>Assumption!$I$7*Assumption!$I$33</f>
        <v>27200</v>
      </c>
      <c r="AA24" s="59">
        <f>Assumption!$I$7*Assumption!$I$33</f>
        <v>27200</v>
      </c>
      <c r="AB24" s="59">
        <f>Assumption!$I$7*Assumption!$I$33</f>
        <v>27200</v>
      </c>
      <c r="AC24" s="59">
        <f>Assumption!$I$7*Assumption!$I$33</f>
        <v>27200</v>
      </c>
      <c r="AD24" s="59">
        <f>Assumption!$I$7*Assumption!$I$33</f>
        <v>27200</v>
      </c>
      <c r="AE24" s="59">
        <f>Assumption!$I$7*Assumption!$I$33</f>
        <v>27200</v>
      </c>
      <c r="AF24" s="59">
        <f>Assumption!$I$7*Assumption!$I$33</f>
        <v>27200</v>
      </c>
      <c r="AG24" s="5">
        <f>Assumption!$I$7*Assumption!$I$33</f>
        <v>27200</v>
      </c>
    </row>
    <row r="25" spans="2:33" ht="15" customHeight="1" x14ac:dyDescent="0.3">
      <c r="B25" s="64" t="s">
        <v>64</v>
      </c>
      <c r="C25" s="70"/>
      <c r="D25" s="59">
        <f t="shared" ref="D25:AG25" si="1">SUM(D12:D17)</f>
        <v>40647916.666666657</v>
      </c>
      <c r="E25" s="59">
        <f t="shared" si="1"/>
        <v>39932604.166666657</v>
      </c>
      <c r="F25" s="59">
        <f t="shared" si="1"/>
        <v>39217291.666666657</v>
      </c>
      <c r="G25" s="59">
        <f t="shared" si="1"/>
        <v>38501979.166666657</v>
      </c>
      <c r="H25" s="59">
        <f t="shared" si="1"/>
        <v>37786666.666666657</v>
      </c>
      <c r="I25" s="59">
        <f t="shared" si="1"/>
        <v>37071354.166666657</v>
      </c>
      <c r="J25" s="59">
        <f t="shared" si="1"/>
        <v>36356041.666666657</v>
      </c>
      <c r="K25" s="59">
        <f t="shared" si="1"/>
        <v>35725729.166666657</v>
      </c>
      <c r="L25" s="59">
        <f t="shared" si="1"/>
        <v>34925416.666666657</v>
      </c>
      <c r="M25" s="59">
        <f t="shared" si="1"/>
        <v>34210104.166666657</v>
      </c>
      <c r="N25" s="59">
        <f t="shared" si="1"/>
        <v>33494791.66666666</v>
      </c>
      <c r="O25" s="59">
        <f t="shared" si="1"/>
        <v>32779479.16666666</v>
      </c>
      <c r="P25" s="59">
        <f t="shared" si="1"/>
        <v>32064166.66666666</v>
      </c>
      <c r="Q25" s="59">
        <f t="shared" si="1"/>
        <v>31348854.16666666</v>
      </c>
      <c r="R25" s="59">
        <f t="shared" si="1"/>
        <v>30633541.666666664</v>
      </c>
      <c r="S25" s="59">
        <f t="shared" si="1"/>
        <v>30003229.166666664</v>
      </c>
      <c r="T25" s="59">
        <f t="shared" si="1"/>
        <v>29202916.666666664</v>
      </c>
      <c r="U25" s="59">
        <f t="shared" si="1"/>
        <v>28487604.166666664</v>
      </c>
      <c r="V25" s="59">
        <f t="shared" si="1"/>
        <v>27772291.666666664</v>
      </c>
      <c r="W25" s="59">
        <f t="shared" si="1"/>
        <v>27056979.166666664</v>
      </c>
      <c r="X25" s="59">
        <f t="shared" si="1"/>
        <v>19983333.333333336</v>
      </c>
      <c r="Y25" s="59">
        <f t="shared" si="1"/>
        <v>19983333.333333336</v>
      </c>
      <c r="Z25" s="59">
        <f t="shared" si="1"/>
        <v>19983333.333333336</v>
      </c>
      <c r="AA25" s="59">
        <f t="shared" si="1"/>
        <v>20068333.333333336</v>
      </c>
      <c r="AB25" s="59">
        <f t="shared" si="1"/>
        <v>19983333.333333336</v>
      </c>
      <c r="AC25" s="59">
        <f t="shared" si="1"/>
        <v>19983333.333333336</v>
      </c>
      <c r="AD25" s="59">
        <f t="shared" si="1"/>
        <v>19983333.333333336</v>
      </c>
      <c r="AE25" s="59">
        <f t="shared" si="1"/>
        <v>19983333.333333336</v>
      </c>
      <c r="AF25" s="59">
        <f t="shared" si="1"/>
        <v>19983333.333333336</v>
      </c>
      <c r="AG25" s="5">
        <f t="shared" si="1"/>
        <v>19983333.333333336</v>
      </c>
    </row>
    <row r="26" spans="2:33" ht="15" customHeight="1" x14ac:dyDescent="0.3">
      <c r="B26" s="64" t="s">
        <v>65</v>
      </c>
      <c r="C26" s="70"/>
      <c r="D26" s="59">
        <f t="shared" ref="D26:AG26" si="2">SUM(D20:D21)</f>
        <v>3059400</v>
      </c>
      <c r="E26" s="59">
        <f t="shared" si="2"/>
        <v>3065610</v>
      </c>
      <c r="F26" s="59">
        <f t="shared" si="2"/>
        <v>3071882.1</v>
      </c>
      <c r="G26" s="59">
        <f t="shared" si="2"/>
        <v>3078216.9210000001</v>
      </c>
      <c r="H26" s="59">
        <f t="shared" si="2"/>
        <v>3084615.0902100001</v>
      </c>
      <c r="I26" s="59">
        <f t="shared" si="2"/>
        <v>3091077.2411121</v>
      </c>
      <c r="J26" s="59">
        <f t="shared" si="2"/>
        <v>3097604.013523221</v>
      </c>
      <c r="K26" s="59">
        <f t="shared" si="2"/>
        <v>3104196.0536584537</v>
      </c>
      <c r="L26" s="59">
        <f t="shared" si="2"/>
        <v>3110854.014195038</v>
      </c>
      <c r="M26" s="59">
        <f t="shared" si="2"/>
        <v>3117578.5543369884</v>
      </c>
      <c r="N26" s="59">
        <f t="shared" si="2"/>
        <v>3124370.3398803584</v>
      </c>
      <c r="O26" s="59">
        <f t="shared" si="2"/>
        <v>3131230.0432791617</v>
      </c>
      <c r="P26" s="59">
        <f t="shared" si="2"/>
        <v>3138158.3437119536</v>
      </c>
      <c r="Q26" s="59">
        <f t="shared" si="2"/>
        <v>3145155.9271490732</v>
      </c>
      <c r="R26" s="59">
        <f t="shared" si="2"/>
        <v>3152223.4864205634</v>
      </c>
      <c r="S26" s="59">
        <f t="shared" si="2"/>
        <v>3159361.7212847695</v>
      </c>
      <c r="T26" s="59">
        <f t="shared" si="2"/>
        <v>3166571.3384976173</v>
      </c>
      <c r="U26" s="59">
        <f t="shared" si="2"/>
        <v>3173853.0518825934</v>
      </c>
      <c r="V26" s="59">
        <f t="shared" si="2"/>
        <v>3181207.5824014191</v>
      </c>
      <c r="W26" s="59">
        <f t="shared" si="2"/>
        <v>3188635.6582254334</v>
      </c>
      <c r="X26" s="59">
        <f t="shared" si="2"/>
        <v>3196138.0148076881</v>
      </c>
      <c r="Y26" s="59">
        <f t="shared" si="2"/>
        <v>3203715.3949557645</v>
      </c>
      <c r="Z26" s="59">
        <f t="shared" si="2"/>
        <v>3211368.5489053223</v>
      </c>
      <c r="AA26" s="59">
        <f t="shared" si="2"/>
        <v>3219098.2343943757</v>
      </c>
      <c r="AB26" s="59">
        <f t="shared" si="2"/>
        <v>3226905.2167383195</v>
      </c>
      <c r="AC26" s="59">
        <f t="shared" si="2"/>
        <v>3234790.2689057025</v>
      </c>
      <c r="AD26" s="59">
        <f t="shared" si="2"/>
        <v>3242754.1715947594</v>
      </c>
      <c r="AE26" s="59">
        <f t="shared" si="2"/>
        <v>3250797.7133107069</v>
      </c>
      <c r="AF26" s="59">
        <f t="shared" si="2"/>
        <v>3258921.6904438138</v>
      </c>
      <c r="AG26" s="5">
        <f t="shared" si="2"/>
        <v>3267126.9073482524</v>
      </c>
    </row>
    <row r="27" spans="2:33" ht="15" customHeight="1" x14ac:dyDescent="0.3">
      <c r="B27" s="64" t="s">
        <v>66</v>
      </c>
      <c r="C27" s="70"/>
      <c r="D27" s="118">
        <f t="shared" ref="D27:AG27" si="3">SUM(D25:D26)</f>
        <v>43707316.666666657</v>
      </c>
      <c r="E27" s="118">
        <f t="shared" si="3"/>
        <v>42998214.166666657</v>
      </c>
      <c r="F27" s="118">
        <f t="shared" si="3"/>
        <v>42289173.766666658</v>
      </c>
      <c r="G27" s="118">
        <f t="shared" si="3"/>
        <v>41580196.087666661</v>
      </c>
      <c r="H27" s="118">
        <f t="shared" si="3"/>
        <v>40871281.756876655</v>
      </c>
      <c r="I27" s="118">
        <f t="shared" si="3"/>
        <v>40162431.407778755</v>
      </c>
      <c r="J27" s="118">
        <f t="shared" si="3"/>
        <v>39453645.680189878</v>
      </c>
      <c r="K27" s="118">
        <f t="shared" si="3"/>
        <v>38829925.220325112</v>
      </c>
      <c r="L27" s="118">
        <f t="shared" si="3"/>
        <v>38036270.680861697</v>
      </c>
      <c r="M27" s="118">
        <f t="shared" si="3"/>
        <v>37327682.721003644</v>
      </c>
      <c r="N27" s="118">
        <f t="shared" si="3"/>
        <v>36619162.006547019</v>
      </c>
      <c r="O27" s="118">
        <f t="shared" si="3"/>
        <v>35910709.20994582</v>
      </c>
      <c r="P27" s="118">
        <f t="shared" si="3"/>
        <v>35202325.010378614</v>
      </c>
      <c r="Q27" s="118">
        <f t="shared" si="3"/>
        <v>34494010.093815736</v>
      </c>
      <c r="R27" s="118">
        <f t="shared" si="3"/>
        <v>33785765.153087229</v>
      </c>
      <c r="S27" s="118">
        <f t="shared" si="3"/>
        <v>33162590.887951434</v>
      </c>
      <c r="T27" s="118">
        <f t="shared" si="3"/>
        <v>32369488.005164281</v>
      </c>
      <c r="U27" s="118">
        <f t="shared" si="3"/>
        <v>31661457.218549259</v>
      </c>
      <c r="V27" s="118">
        <f t="shared" si="3"/>
        <v>30953499.249068081</v>
      </c>
      <c r="W27" s="118">
        <f t="shared" si="3"/>
        <v>30245614.824892096</v>
      </c>
      <c r="X27" s="118">
        <f t="shared" si="3"/>
        <v>23179471.348141022</v>
      </c>
      <c r="Y27" s="118">
        <f t="shared" si="3"/>
        <v>23187048.728289101</v>
      </c>
      <c r="Z27" s="118">
        <f t="shared" si="3"/>
        <v>23194701.882238656</v>
      </c>
      <c r="AA27" s="118">
        <f t="shared" si="3"/>
        <v>23287431.567727711</v>
      </c>
      <c r="AB27" s="118">
        <f t="shared" si="3"/>
        <v>23210238.550071657</v>
      </c>
      <c r="AC27" s="118">
        <f t="shared" si="3"/>
        <v>23218123.602239039</v>
      </c>
      <c r="AD27" s="118">
        <f t="shared" si="3"/>
        <v>23226087.504928097</v>
      </c>
      <c r="AE27" s="118">
        <f t="shared" si="3"/>
        <v>23234131.046644043</v>
      </c>
      <c r="AF27" s="118">
        <f t="shared" si="3"/>
        <v>23242255.02377715</v>
      </c>
      <c r="AG27" s="119">
        <f t="shared" si="3"/>
        <v>23250460.240681589</v>
      </c>
    </row>
    <row r="28" spans="2:33" ht="15.6" x14ac:dyDescent="0.3">
      <c r="B28" s="64" t="s">
        <v>67</v>
      </c>
      <c r="C28" s="70" t="s">
        <v>94</v>
      </c>
      <c r="D28" s="59">
        <f t="shared" ref="D28:AG28" si="4">D27/D24</f>
        <v>1606.8866421568623</v>
      </c>
      <c r="E28" s="59">
        <f t="shared" si="4"/>
        <v>1580.8166973039213</v>
      </c>
      <c r="F28" s="59">
        <f t="shared" si="4"/>
        <v>1554.7490355392154</v>
      </c>
      <c r="G28" s="59">
        <f t="shared" si="4"/>
        <v>1528.6836796936273</v>
      </c>
      <c r="H28" s="59">
        <f t="shared" si="4"/>
        <v>1502.6206528263476</v>
      </c>
      <c r="I28" s="59">
        <f t="shared" si="4"/>
        <v>1476.5599782271602</v>
      </c>
      <c r="J28" s="59">
        <f t="shared" si="4"/>
        <v>1450.5016794187454</v>
      </c>
      <c r="K28" s="59">
        <f t="shared" si="4"/>
        <v>1427.5707801590115</v>
      </c>
      <c r="L28" s="59">
        <f t="shared" si="4"/>
        <v>1398.3923044434448</v>
      </c>
      <c r="M28" s="59">
        <f t="shared" si="4"/>
        <v>1372.341276507487</v>
      </c>
      <c r="N28" s="59">
        <f t="shared" si="4"/>
        <v>1346.2927208289345</v>
      </c>
      <c r="O28" s="59">
        <f t="shared" si="4"/>
        <v>1320.2466621303611</v>
      </c>
      <c r="P28" s="59">
        <f t="shared" si="4"/>
        <v>1294.2031253815667</v>
      </c>
      <c r="Q28" s="59">
        <f t="shared" si="4"/>
        <v>1268.1621358020491</v>
      </c>
      <c r="R28" s="59">
        <f t="shared" si="4"/>
        <v>1242.1237188635012</v>
      </c>
      <c r="S28" s="59">
        <f t="shared" si="4"/>
        <v>1219.2129002923321</v>
      </c>
      <c r="T28" s="59">
        <f t="shared" si="4"/>
        <v>1190.0547060722163</v>
      </c>
      <c r="U28" s="59">
        <f t="shared" si="4"/>
        <v>1164.0241624466639</v>
      </c>
      <c r="V28" s="59">
        <f t="shared" si="4"/>
        <v>1137.9962959216207</v>
      </c>
      <c r="W28" s="59">
        <f t="shared" si="4"/>
        <v>1111.9711332680918</v>
      </c>
      <c r="X28" s="59">
        <f t="shared" si="4"/>
        <v>852.18644662283168</v>
      </c>
      <c r="Y28" s="59">
        <f t="shared" si="4"/>
        <v>852.46502677533465</v>
      </c>
      <c r="Z28" s="59">
        <f t="shared" si="4"/>
        <v>852.74639272936236</v>
      </c>
      <c r="AA28" s="59">
        <f t="shared" si="4"/>
        <v>856.15557234293055</v>
      </c>
      <c r="AB28" s="59">
        <f t="shared" si="4"/>
        <v>853.31759375263448</v>
      </c>
      <c r="AC28" s="59">
        <f t="shared" si="4"/>
        <v>853.60748537643531</v>
      </c>
      <c r="AD28" s="59">
        <f t="shared" si="4"/>
        <v>853.90027591647413</v>
      </c>
      <c r="AE28" s="59">
        <f t="shared" si="4"/>
        <v>854.19599436191334</v>
      </c>
      <c r="AF28" s="59">
        <f t="shared" si="4"/>
        <v>854.49466999180697</v>
      </c>
      <c r="AG28" s="5">
        <f t="shared" si="4"/>
        <v>854.79633237799953</v>
      </c>
    </row>
    <row r="29" spans="2:33" ht="15.6" x14ac:dyDescent="0.3">
      <c r="B29" s="64" t="s">
        <v>68</v>
      </c>
      <c r="C29" s="71">
        <v>0.1</v>
      </c>
      <c r="D29" s="59">
        <f t="shared" ref="D29:AG29" si="5">1/(1+$C$29)^D10</f>
        <v>0.90909090909090906</v>
      </c>
      <c r="E29" s="59">
        <f t="shared" si="5"/>
        <v>0.82644628099173545</v>
      </c>
      <c r="F29" s="59">
        <f t="shared" si="5"/>
        <v>0.75131480090157754</v>
      </c>
      <c r="G29" s="59">
        <f t="shared" si="5"/>
        <v>0.68301345536507052</v>
      </c>
      <c r="H29" s="59">
        <f t="shared" si="5"/>
        <v>0.62092132305915493</v>
      </c>
      <c r="I29" s="59">
        <f t="shared" si="5"/>
        <v>0.56447393005377722</v>
      </c>
      <c r="J29" s="59">
        <f t="shared" si="5"/>
        <v>0.51315811823070645</v>
      </c>
      <c r="K29" s="59">
        <f t="shared" si="5"/>
        <v>0.46650738020973315</v>
      </c>
      <c r="L29" s="59">
        <f t="shared" si="5"/>
        <v>0.42409761837248466</v>
      </c>
      <c r="M29" s="59">
        <f t="shared" si="5"/>
        <v>0.38554328942953148</v>
      </c>
      <c r="N29" s="59">
        <f t="shared" si="5"/>
        <v>0.3504938994813922</v>
      </c>
      <c r="O29" s="59">
        <f t="shared" si="5"/>
        <v>0.31863081771035656</v>
      </c>
      <c r="P29" s="59">
        <f t="shared" si="5"/>
        <v>0.28966437973668779</v>
      </c>
      <c r="Q29" s="59">
        <f t="shared" si="5"/>
        <v>0.26333125430607973</v>
      </c>
      <c r="R29" s="59">
        <f t="shared" si="5"/>
        <v>0.23939204936916339</v>
      </c>
      <c r="S29" s="59">
        <f t="shared" si="5"/>
        <v>0.21762913579014853</v>
      </c>
      <c r="T29" s="59">
        <f t="shared" si="5"/>
        <v>0.19784466890013502</v>
      </c>
      <c r="U29" s="59">
        <f t="shared" si="5"/>
        <v>0.17985878990921364</v>
      </c>
      <c r="V29" s="59">
        <f t="shared" si="5"/>
        <v>0.16350799082655781</v>
      </c>
      <c r="W29" s="59">
        <f t="shared" si="5"/>
        <v>0.14864362802414349</v>
      </c>
      <c r="X29" s="59">
        <f t="shared" si="5"/>
        <v>0.13513057093103953</v>
      </c>
      <c r="Y29" s="59">
        <f t="shared" si="5"/>
        <v>0.12284597357367227</v>
      </c>
      <c r="Z29" s="59">
        <f t="shared" si="5"/>
        <v>0.11167815779424752</v>
      </c>
      <c r="AA29" s="59">
        <f t="shared" si="5"/>
        <v>0.10152559799477048</v>
      </c>
      <c r="AB29" s="59">
        <f t="shared" si="5"/>
        <v>9.2295998177064048E-2</v>
      </c>
      <c r="AC29" s="59">
        <f t="shared" si="5"/>
        <v>8.3905452888240042E-2</v>
      </c>
      <c r="AD29" s="59">
        <f t="shared" si="5"/>
        <v>7.6277684443854576E-2</v>
      </c>
      <c r="AE29" s="59">
        <f t="shared" si="5"/>
        <v>6.9343349494413245E-2</v>
      </c>
      <c r="AF29" s="59">
        <f t="shared" si="5"/>
        <v>6.3039408631284766E-2</v>
      </c>
      <c r="AG29" s="5">
        <f t="shared" si="5"/>
        <v>5.7308553301167964E-2</v>
      </c>
    </row>
    <row r="30" spans="2:33" ht="16.2" thickBot="1" x14ac:dyDescent="0.35">
      <c r="B30" s="111" t="s">
        <v>62</v>
      </c>
      <c r="C30" s="112" t="s">
        <v>69</v>
      </c>
      <c r="D30" s="113">
        <f>(((SUM(D27:AG27)/(1.09^30))/(SUM(D24:AG24)/(1.09^30)))/1016.04691)*4</f>
        <v>4.6889273485126628</v>
      </c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9:AG41"/>
  <sheetViews>
    <sheetView showGridLines="0" topLeftCell="A35" zoomScale="89" zoomScaleNormal="89" workbookViewId="0">
      <selection activeCell="B34" sqref="B34"/>
    </sheetView>
  </sheetViews>
  <sheetFormatPr defaultColWidth="11.23046875" defaultRowHeight="15" customHeight="1" x14ac:dyDescent="0.3"/>
  <cols>
    <col min="2" max="2" width="21.84375" bestFit="1" customWidth="1"/>
    <col min="3" max="3" width="11.3828125" bestFit="1" customWidth="1"/>
    <col min="4" max="4" width="14.07421875" bestFit="1" customWidth="1"/>
    <col min="5" max="5" width="20.4609375" bestFit="1" customWidth="1"/>
    <col min="6" max="6" width="31.15234375" bestFit="1" customWidth="1"/>
    <col min="7" max="7" width="41.53515625" bestFit="1" customWidth="1"/>
    <col min="8" max="8" width="51.69140625" bestFit="1" customWidth="1"/>
    <col min="9" max="9" width="60.53515625" bestFit="1" customWidth="1"/>
    <col min="10" max="10" width="70.3046875" bestFit="1" customWidth="1"/>
    <col min="11" max="11" width="80.15234375" bestFit="1" customWidth="1"/>
    <col min="12" max="12" width="91.61328125" bestFit="1" customWidth="1"/>
    <col min="13" max="13" width="100.3046875" bestFit="1" customWidth="1"/>
    <col min="14" max="14" width="111.15234375" bestFit="1" customWidth="1"/>
    <col min="15" max="15" width="120.53515625" bestFit="1" customWidth="1"/>
    <col min="16" max="16" width="130.15234375" bestFit="1" customWidth="1"/>
    <col min="17" max="17" width="140.15234375" bestFit="1" customWidth="1"/>
    <col min="18" max="18" width="150.921875" bestFit="1" customWidth="1"/>
    <col min="19" max="19" width="159.84375" bestFit="1" customWidth="1"/>
    <col min="20" max="20" width="170.3046875" bestFit="1" customWidth="1"/>
    <col min="21" max="21" width="179.921875" bestFit="1" customWidth="1"/>
    <col min="22" max="22" width="190.84375" bestFit="1" customWidth="1"/>
    <col min="23" max="23" width="201" bestFit="1" customWidth="1"/>
    <col min="24" max="29" width="13.3828125" bestFit="1" customWidth="1"/>
    <col min="30" max="30" width="14" bestFit="1" customWidth="1"/>
    <col min="31" max="33" width="13.3828125" bestFit="1" customWidth="1"/>
  </cols>
  <sheetData>
    <row r="9" spans="2:33" ht="15" customHeight="1" thickBot="1" x14ac:dyDescent="0.35"/>
    <row r="10" spans="2:33" ht="15" customHeight="1" x14ac:dyDescent="0.3">
      <c r="B10" s="120" t="s">
        <v>101</v>
      </c>
      <c r="C10" s="121"/>
      <c r="D10" s="121">
        <v>1</v>
      </c>
      <c r="E10" s="121">
        <v>2</v>
      </c>
      <c r="F10" s="121">
        <v>3</v>
      </c>
      <c r="G10" s="121">
        <v>4</v>
      </c>
      <c r="H10" s="121">
        <v>5</v>
      </c>
      <c r="I10" s="121">
        <v>6</v>
      </c>
      <c r="J10" s="121">
        <v>7</v>
      </c>
      <c r="K10" s="121">
        <v>8</v>
      </c>
      <c r="L10" s="121">
        <v>9</v>
      </c>
      <c r="M10" s="121">
        <v>10</v>
      </c>
      <c r="N10" s="121">
        <v>11</v>
      </c>
      <c r="O10" s="121">
        <v>12</v>
      </c>
      <c r="P10" s="121">
        <v>13</v>
      </c>
      <c r="Q10" s="121">
        <v>14</v>
      </c>
      <c r="R10" s="121">
        <v>15</v>
      </c>
      <c r="S10" s="121">
        <v>16</v>
      </c>
      <c r="T10" s="121">
        <v>17</v>
      </c>
      <c r="U10" s="121">
        <v>18</v>
      </c>
      <c r="V10" s="121">
        <v>19</v>
      </c>
      <c r="W10" s="121">
        <v>20</v>
      </c>
      <c r="X10" s="121">
        <v>21</v>
      </c>
      <c r="Y10" s="121">
        <v>22</v>
      </c>
      <c r="Z10" s="121">
        <v>23</v>
      </c>
      <c r="AA10" s="121">
        <v>24</v>
      </c>
      <c r="AB10" s="121">
        <v>25</v>
      </c>
      <c r="AC10" s="121">
        <v>26</v>
      </c>
      <c r="AD10" s="121">
        <v>27</v>
      </c>
      <c r="AE10" s="121">
        <v>28</v>
      </c>
      <c r="AF10" s="121">
        <v>29</v>
      </c>
      <c r="AG10" s="122">
        <v>30</v>
      </c>
    </row>
    <row r="11" spans="2:33" ht="15" customHeight="1" x14ac:dyDescent="0.3">
      <c r="B11" s="2"/>
      <c r="C11" s="18"/>
      <c r="AG11" s="3"/>
    </row>
    <row r="12" spans="2:33" ht="15" customHeight="1" x14ac:dyDescent="0.3">
      <c r="B12" s="4" t="s">
        <v>70</v>
      </c>
      <c r="C12" s="19"/>
      <c r="D12" s="127">
        <f>'Levelised Cost'!D24</f>
        <v>27200</v>
      </c>
      <c r="E12" s="127">
        <f>'Levelised Cost'!E24</f>
        <v>27200</v>
      </c>
      <c r="F12" s="127">
        <f>'Levelised Cost'!F24</f>
        <v>27200</v>
      </c>
      <c r="G12" s="127">
        <f>'Levelised Cost'!G24</f>
        <v>27200</v>
      </c>
      <c r="H12" s="127">
        <f>'Levelised Cost'!H24</f>
        <v>27200</v>
      </c>
      <c r="I12" s="127">
        <f>'Levelised Cost'!I24</f>
        <v>27200</v>
      </c>
      <c r="J12" s="127">
        <f>'Levelised Cost'!J24</f>
        <v>27200</v>
      </c>
      <c r="K12" s="127">
        <f>'Levelised Cost'!K24</f>
        <v>27200</v>
      </c>
      <c r="L12" s="127">
        <f>'Levelised Cost'!L24</f>
        <v>27200</v>
      </c>
      <c r="M12" s="127">
        <f>'Levelised Cost'!M24</f>
        <v>27200</v>
      </c>
      <c r="N12" s="127">
        <f>'Levelised Cost'!N24</f>
        <v>27200</v>
      </c>
      <c r="O12" s="127">
        <f>'Levelised Cost'!O24</f>
        <v>27200</v>
      </c>
      <c r="P12" s="127">
        <f>'Levelised Cost'!P24</f>
        <v>27200</v>
      </c>
      <c r="Q12" s="127">
        <f>'Levelised Cost'!Q24</f>
        <v>27200</v>
      </c>
      <c r="R12" s="127">
        <f>'Levelised Cost'!R24</f>
        <v>27200</v>
      </c>
      <c r="S12" s="127">
        <f>'Levelised Cost'!S24</f>
        <v>27200</v>
      </c>
      <c r="T12" s="127">
        <f>'Levelised Cost'!T24</f>
        <v>27200</v>
      </c>
      <c r="U12" s="127">
        <f>'Levelised Cost'!U24</f>
        <v>27200</v>
      </c>
      <c r="V12" s="127">
        <f>'Levelised Cost'!V24</f>
        <v>27200</v>
      </c>
      <c r="W12" s="127">
        <f>'Levelised Cost'!W24</f>
        <v>27200</v>
      </c>
      <c r="X12" s="127">
        <f>'Levelised Cost'!X24</f>
        <v>27200</v>
      </c>
      <c r="Y12" s="127">
        <f>'Levelised Cost'!Y24</f>
        <v>27200</v>
      </c>
      <c r="Z12" s="127">
        <f>'Levelised Cost'!Z24</f>
        <v>27200</v>
      </c>
      <c r="AA12" s="127">
        <f>'Levelised Cost'!AA24</f>
        <v>27200</v>
      </c>
      <c r="AB12" s="127">
        <f>'Levelised Cost'!AB24</f>
        <v>27200</v>
      </c>
      <c r="AC12" s="127">
        <f>'Levelised Cost'!AC24</f>
        <v>27200</v>
      </c>
      <c r="AD12" s="127">
        <f>'Levelised Cost'!AD24</f>
        <v>27200</v>
      </c>
      <c r="AE12" s="127">
        <f>'Levelised Cost'!AE24</f>
        <v>27200</v>
      </c>
      <c r="AF12" s="127">
        <f>'Levelised Cost'!AF24</f>
        <v>27200</v>
      </c>
      <c r="AG12" s="128">
        <f>'Levelised Cost'!AG24</f>
        <v>27200</v>
      </c>
    </row>
    <row r="13" spans="2:33" ht="15" customHeight="1" x14ac:dyDescent="0.3">
      <c r="B13" s="4" t="s">
        <v>71</v>
      </c>
      <c r="C13" s="126">
        <f>10*1016.04691</f>
        <v>10160.4691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2:33" ht="15" customHeight="1" x14ac:dyDescent="0.3">
      <c r="B14" s="15" t="s">
        <v>72</v>
      </c>
      <c r="C14" s="18"/>
      <c r="D14" s="60">
        <f t="shared" ref="D14:AG14" si="0">D12*$C$13</f>
        <v>276364759.51999998</v>
      </c>
      <c r="E14" s="16">
        <f t="shared" si="0"/>
        <v>276364759.51999998</v>
      </c>
      <c r="F14" s="16">
        <f t="shared" si="0"/>
        <v>276364759.51999998</v>
      </c>
      <c r="G14" s="16">
        <f t="shared" si="0"/>
        <v>276364759.51999998</v>
      </c>
      <c r="H14" s="16">
        <f t="shared" si="0"/>
        <v>276364759.51999998</v>
      </c>
      <c r="I14" s="16">
        <f t="shared" si="0"/>
        <v>276364759.51999998</v>
      </c>
      <c r="J14" s="16">
        <f t="shared" si="0"/>
        <v>276364759.51999998</v>
      </c>
      <c r="K14" s="16">
        <f t="shared" si="0"/>
        <v>276364759.51999998</v>
      </c>
      <c r="L14" s="16">
        <f t="shared" si="0"/>
        <v>276364759.51999998</v>
      </c>
      <c r="M14" s="16">
        <f t="shared" si="0"/>
        <v>276364759.51999998</v>
      </c>
      <c r="N14" s="16">
        <f t="shared" si="0"/>
        <v>276364759.51999998</v>
      </c>
      <c r="O14" s="16">
        <f t="shared" si="0"/>
        <v>276364759.51999998</v>
      </c>
      <c r="P14" s="16">
        <f t="shared" si="0"/>
        <v>276364759.51999998</v>
      </c>
      <c r="Q14" s="16">
        <f t="shared" si="0"/>
        <v>276364759.51999998</v>
      </c>
      <c r="R14" s="16">
        <f t="shared" si="0"/>
        <v>276364759.51999998</v>
      </c>
      <c r="S14" s="16">
        <f t="shared" si="0"/>
        <v>276364759.51999998</v>
      </c>
      <c r="T14" s="16">
        <f t="shared" si="0"/>
        <v>276364759.51999998</v>
      </c>
      <c r="U14" s="16">
        <f t="shared" si="0"/>
        <v>276364759.51999998</v>
      </c>
      <c r="V14" s="16">
        <f t="shared" si="0"/>
        <v>276364759.51999998</v>
      </c>
      <c r="W14" s="16">
        <f t="shared" si="0"/>
        <v>276364759.51999998</v>
      </c>
      <c r="X14" s="16">
        <f t="shared" si="0"/>
        <v>276364759.51999998</v>
      </c>
      <c r="Y14" s="16">
        <f t="shared" si="0"/>
        <v>276364759.51999998</v>
      </c>
      <c r="Z14" s="16">
        <f t="shared" si="0"/>
        <v>276364759.51999998</v>
      </c>
      <c r="AA14" s="16">
        <f t="shared" si="0"/>
        <v>276364759.51999998</v>
      </c>
      <c r="AB14" s="16">
        <f t="shared" si="0"/>
        <v>276364759.51999998</v>
      </c>
      <c r="AC14" s="16">
        <f t="shared" si="0"/>
        <v>276364759.51999998</v>
      </c>
      <c r="AD14" s="16">
        <f t="shared" si="0"/>
        <v>276364759.51999998</v>
      </c>
      <c r="AE14" s="16">
        <f t="shared" si="0"/>
        <v>276364759.51999998</v>
      </c>
      <c r="AF14" s="16">
        <f t="shared" si="0"/>
        <v>276364759.51999998</v>
      </c>
      <c r="AG14" s="17">
        <f t="shared" si="0"/>
        <v>276364759.51999998</v>
      </c>
    </row>
    <row r="15" spans="2:33" ht="15" customHeight="1" x14ac:dyDescent="0.3">
      <c r="B15" s="10"/>
      <c r="C15" s="19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spans="2:33" ht="15" customHeight="1" x14ac:dyDescent="0.3">
      <c r="B16" s="4" t="s">
        <v>73</v>
      </c>
      <c r="C16" s="19"/>
      <c r="D16" s="123">
        <f>'Levelised Cost'!D27</f>
        <v>43707316.666666657</v>
      </c>
      <c r="E16" s="123">
        <f>'Levelised Cost'!E27</f>
        <v>42998214.166666657</v>
      </c>
      <c r="F16" s="123">
        <f>'Levelised Cost'!F27</f>
        <v>42289173.766666658</v>
      </c>
      <c r="G16" s="123">
        <f>'Levelised Cost'!G27</f>
        <v>41580196.087666661</v>
      </c>
      <c r="H16" s="123">
        <f>'Levelised Cost'!H27</f>
        <v>40871281.756876655</v>
      </c>
      <c r="I16" s="123">
        <f>'Levelised Cost'!I27</f>
        <v>40162431.407778755</v>
      </c>
      <c r="J16" s="123">
        <f>'Levelised Cost'!J27</f>
        <v>39453645.680189878</v>
      </c>
      <c r="K16" s="123">
        <f>'Levelised Cost'!K27</f>
        <v>38829925.220325112</v>
      </c>
      <c r="L16" s="123">
        <f>'Levelised Cost'!L27</f>
        <v>38036270.680861697</v>
      </c>
      <c r="M16" s="123">
        <f>'Levelised Cost'!M27</f>
        <v>37327682.721003644</v>
      </c>
      <c r="N16" s="123">
        <f>'Levelised Cost'!N27</f>
        <v>36619162.006547019</v>
      </c>
      <c r="O16" s="123">
        <f>'Levelised Cost'!O27</f>
        <v>35910709.20994582</v>
      </c>
      <c r="P16" s="123">
        <f>'Levelised Cost'!P27</f>
        <v>35202325.010378614</v>
      </c>
      <c r="Q16" s="123">
        <f>'Levelised Cost'!Q27</f>
        <v>34494010.093815736</v>
      </c>
      <c r="R16" s="123">
        <f>'Levelised Cost'!R27</f>
        <v>33785765.153087229</v>
      </c>
      <c r="S16" s="123">
        <f>'Levelised Cost'!S27</f>
        <v>33162590.887951434</v>
      </c>
      <c r="T16" s="123">
        <f>'Levelised Cost'!T27</f>
        <v>32369488.005164281</v>
      </c>
      <c r="U16" s="123">
        <f>'Levelised Cost'!U27</f>
        <v>31661457.218549259</v>
      </c>
      <c r="V16" s="123">
        <f>'Levelised Cost'!V27</f>
        <v>30953499.249068081</v>
      </c>
      <c r="W16" s="123">
        <f>'Levelised Cost'!W27</f>
        <v>30245614.824892096</v>
      </c>
      <c r="X16" s="123">
        <f>'Levelised Cost'!X27</f>
        <v>23179471.348141022</v>
      </c>
      <c r="Y16" s="123">
        <f>'Levelised Cost'!Y27</f>
        <v>23187048.728289101</v>
      </c>
      <c r="Z16" s="123">
        <f>'Levelised Cost'!Z27</f>
        <v>23194701.882238656</v>
      </c>
      <c r="AA16" s="123">
        <f>'Levelised Cost'!AA27</f>
        <v>23287431.567727711</v>
      </c>
      <c r="AB16" s="123">
        <f>'Levelised Cost'!AB27</f>
        <v>23210238.550071657</v>
      </c>
      <c r="AC16" s="123">
        <f>'Levelised Cost'!AC27</f>
        <v>23218123.602239039</v>
      </c>
      <c r="AD16" s="123">
        <f>'Levelised Cost'!AD27</f>
        <v>23226087.504928097</v>
      </c>
      <c r="AE16" s="123">
        <f>'Levelised Cost'!AE27</f>
        <v>23234131.046644043</v>
      </c>
      <c r="AF16" s="123">
        <f>'Levelised Cost'!AF27</f>
        <v>23242255.02377715</v>
      </c>
      <c r="AG16" s="123">
        <f>'Levelised Cost'!AG27</f>
        <v>23250460.240681589</v>
      </c>
    </row>
    <row r="17" spans="2:33" ht="15" customHeight="1" x14ac:dyDescent="0.3">
      <c r="B17" s="10"/>
      <c r="C17" s="19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spans="2:33" ht="15" customHeight="1" x14ac:dyDescent="0.3">
      <c r="B18" s="4" t="s">
        <v>74</v>
      </c>
      <c r="C18" s="19"/>
      <c r="D18" s="8">
        <f t="shared" ref="D18:AG18" si="1">D14-D16</f>
        <v>232657442.85333332</v>
      </c>
      <c r="E18" s="8">
        <f t="shared" si="1"/>
        <v>233366545.35333332</v>
      </c>
      <c r="F18" s="8">
        <f t="shared" si="1"/>
        <v>234075585.75333333</v>
      </c>
      <c r="G18" s="8">
        <f t="shared" si="1"/>
        <v>234784563.43233332</v>
      </c>
      <c r="H18" s="8">
        <f t="shared" si="1"/>
        <v>235493477.76312333</v>
      </c>
      <c r="I18" s="8">
        <f t="shared" si="1"/>
        <v>236202328.11222124</v>
      </c>
      <c r="J18" s="8">
        <f t="shared" si="1"/>
        <v>236911113.8398101</v>
      </c>
      <c r="K18" s="8">
        <f t="shared" si="1"/>
        <v>237534834.29967487</v>
      </c>
      <c r="L18" s="8">
        <f t="shared" si="1"/>
        <v>238328488.83913827</v>
      </c>
      <c r="M18" s="8">
        <f t="shared" si="1"/>
        <v>239037076.79899633</v>
      </c>
      <c r="N18" s="8">
        <f t="shared" si="1"/>
        <v>239745597.51345295</v>
      </c>
      <c r="O18" s="8">
        <f t="shared" si="1"/>
        <v>240454050.31005415</v>
      </c>
      <c r="P18" s="8">
        <f t="shared" si="1"/>
        <v>241162434.50962138</v>
      </c>
      <c r="Q18" s="8">
        <f t="shared" si="1"/>
        <v>241870749.42618424</v>
      </c>
      <c r="R18" s="8">
        <f t="shared" si="1"/>
        <v>242578994.36691275</v>
      </c>
      <c r="S18" s="8">
        <f t="shared" si="1"/>
        <v>243202168.63204855</v>
      </c>
      <c r="T18" s="8">
        <f t="shared" si="1"/>
        <v>243995271.51483572</v>
      </c>
      <c r="U18" s="8">
        <f t="shared" si="1"/>
        <v>244703302.30145073</v>
      </c>
      <c r="V18" s="8">
        <f t="shared" si="1"/>
        <v>245411260.2709319</v>
      </c>
      <c r="W18" s="8">
        <f t="shared" si="1"/>
        <v>246119144.69510788</v>
      </c>
      <c r="X18" s="8">
        <f t="shared" si="1"/>
        <v>253185288.17185897</v>
      </c>
      <c r="Y18" s="8">
        <f t="shared" si="1"/>
        <v>253177710.79171088</v>
      </c>
      <c r="Z18" s="8">
        <f t="shared" si="1"/>
        <v>253170057.63776132</v>
      </c>
      <c r="AA18" s="8">
        <f t="shared" si="1"/>
        <v>253077327.95227227</v>
      </c>
      <c r="AB18" s="8">
        <f t="shared" si="1"/>
        <v>253154520.96992832</v>
      </c>
      <c r="AC18" s="8">
        <f t="shared" si="1"/>
        <v>253146635.91776094</v>
      </c>
      <c r="AD18" s="8">
        <f t="shared" si="1"/>
        <v>253138672.01507187</v>
      </c>
      <c r="AE18" s="8">
        <f t="shared" si="1"/>
        <v>253130628.47335595</v>
      </c>
      <c r="AF18" s="8">
        <f t="shared" si="1"/>
        <v>253122504.49622282</v>
      </c>
      <c r="AG18" s="9">
        <f t="shared" si="1"/>
        <v>253114299.27931839</v>
      </c>
    </row>
    <row r="19" spans="2:33" ht="15" customHeight="1" x14ac:dyDescent="0.3">
      <c r="B19" s="2"/>
      <c r="C19" s="19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spans="2:33" ht="15" customHeight="1" x14ac:dyDescent="0.3">
      <c r="B20" s="4" t="s">
        <v>75</v>
      </c>
      <c r="C20" s="19"/>
      <c r="D20" s="123">
        <f>'Levelised Cost'!D25</f>
        <v>40647916.666666657</v>
      </c>
      <c r="E20" s="123">
        <f>'Levelised Cost'!E25</f>
        <v>39932604.166666657</v>
      </c>
      <c r="F20" s="123">
        <f>'Levelised Cost'!F25</f>
        <v>39217291.666666657</v>
      </c>
      <c r="G20" s="123">
        <f>'Levelised Cost'!G25</f>
        <v>38501979.166666657</v>
      </c>
      <c r="H20" s="123">
        <f>'Levelised Cost'!H25</f>
        <v>37786666.666666657</v>
      </c>
      <c r="I20" s="123">
        <f>'Levelised Cost'!I25</f>
        <v>37071354.166666657</v>
      </c>
      <c r="J20" s="123">
        <f>'Levelised Cost'!J25</f>
        <v>36356041.666666657</v>
      </c>
      <c r="K20" s="123">
        <f>'Levelised Cost'!K25</f>
        <v>35725729.166666657</v>
      </c>
      <c r="L20" s="123">
        <f>'Levelised Cost'!L25</f>
        <v>34925416.666666657</v>
      </c>
      <c r="M20" s="123">
        <f>'Levelised Cost'!M25</f>
        <v>34210104.166666657</v>
      </c>
      <c r="N20" s="123">
        <f>'Levelised Cost'!N25</f>
        <v>33494791.66666666</v>
      </c>
      <c r="O20" s="123">
        <f>'Levelised Cost'!O25</f>
        <v>32779479.16666666</v>
      </c>
      <c r="P20" s="123">
        <f>'Levelised Cost'!P25</f>
        <v>32064166.66666666</v>
      </c>
      <c r="Q20" s="123">
        <f>'Levelised Cost'!Q25</f>
        <v>31348854.16666666</v>
      </c>
      <c r="R20" s="123">
        <f>'Levelised Cost'!R25</f>
        <v>30633541.666666664</v>
      </c>
      <c r="S20" s="123">
        <f>'Levelised Cost'!S25</f>
        <v>30003229.166666664</v>
      </c>
      <c r="T20" s="123">
        <f>'Levelised Cost'!T25</f>
        <v>29202916.666666664</v>
      </c>
      <c r="U20" s="123">
        <f>'Levelised Cost'!U25</f>
        <v>28487604.166666664</v>
      </c>
      <c r="V20" s="123">
        <f>'Levelised Cost'!V25</f>
        <v>27772291.666666664</v>
      </c>
      <c r="W20" s="123">
        <f>'Levelised Cost'!W25</f>
        <v>27056979.166666664</v>
      </c>
      <c r="X20" s="123">
        <f>'Levelised Cost'!X25</f>
        <v>19983333.333333336</v>
      </c>
      <c r="Y20" s="123">
        <f>'Levelised Cost'!Y25</f>
        <v>19983333.333333336</v>
      </c>
      <c r="Z20" s="123">
        <f>'Levelised Cost'!Z25</f>
        <v>19983333.333333336</v>
      </c>
      <c r="AA20" s="123">
        <f>'Levelised Cost'!AA25</f>
        <v>20068333.333333336</v>
      </c>
      <c r="AB20" s="123">
        <f>'Levelised Cost'!AB25</f>
        <v>19983333.333333336</v>
      </c>
      <c r="AC20" s="123">
        <f>'Levelised Cost'!AC25</f>
        <v>19983333.333333336</v>
      </c>
      <c r="AD20" s="123">
        <f>'Levelised Cost'!AD25</f>
        <v>19983333.333333336</v>
      </c>
      <c r="AE20" s="123">
        <f>'Levelised Cost'!AE25</f>
        <v>19983333.333333336</v>
      </c>
      <c r="AF20" s="123">
        <f>'Levelised Cost'!AF25</f>
        <v>19983333.333333336</v>
      </c>
      <c r="AG20" s="123">
        <f>'Levelised Cost'!AG25</f>
        <v>19983333.333333336</v>
      </c>
    </row>
    <row r="21" spans="2:33" ht="15" customHeight="1" x14ac:dyDescent="0.3"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4"/>
    </row>
    <row r="22" spans="2:33" ht="15" customHeight="1" x14ac:dyDescent="0.3">
      <c r="B22" s="90" t="s">
        <v>76</v>
      </c>
      <c r="C22" s="131"/>
      <c r="D22" s="132">
        <f t="shared" ref="D22:AG22" si="2">D18-D20</f>
        <v>192009526.18666667</v>
      </c>
      <c r="E22" s="132">
        <f t="shared" si="2"/>
        <v>193433941.18666667</v>
      </c>
      <c r="F22" s="132">
        <f t="shared" si="2"/>
        <v>194858294.08666667</v>
      </c>
      <c r="G22" s="132">
        <f t="shared" si="2"/>
        <v>196282584.26566666</v>
      </c>
      <c r="H22" s="132">
        <f t="shared" si="2"/>
        <v>197706811.09645668</v>
      </c>
      <c r="I22" s="132">
        <f t="shared" si="2"/>
        <v>199130973.94555458</v>
      </c>
      <c r="J22" s="132">
        <f t="shared" si="2"/>
        <v>200555072.17314345</v>
      </c>
      <c r="K22" s="132">
        <f t="shared" si="2"/>
        <v>201809105.13300821</v>
      </c>
      <c r="L22" s="132">
        <f t="shared" si="2"/>
        <v>203403072.17247161</v>
      </c>
      <c r="M22" s="132">
        <f t="shared" si="2"/>
        <v>204826972.63232967</v>
      </c>
      <c r="N22" s="132">
        <f t="shared" si="2"/>
        <v>206250805.84678629</v>
      </c>
      <c r="O22" s="132">
        <f t="shared" si="2"/>
        <v>207674571.1433875</v>
      </c>
      <c r="P22" s="132">
        <f t="shared" si="2"/>
        <v>209098267.84295473</v>
      </c>
      <c r="Q22" s="132">
        <f t="shared" si="2"/>
        <v>210521895.25951758</v>
      </c>
      <c r="R22" s="132">
        <f t="shared" si="2"/>
        <v>211945452.7002461</v>
      </c>
      <c r="S22" s="132">
        <f t="shared" si="2"/>
        <v>213198939.46538189</v>
      </c>
      <c r="T22" s="132">
        <f t="shared" si="2"/>
        <v>214792354.84816906</v>
      </c>
      <c r="U22" s="132">
        <f t="shared" si="2"/>
        <v>216215698.13478407</v>
      </c>
      <c r="V22" s="132">
        <f t="shared" si="2"/>
        <v>217638968.60426524</v>
      </c>
      <c r="W22" s="132">
        <f t="shared" si="2"/>
        <v>219062165.52844122</v>
      </c>
      <c r="X22" s="132">
        <f t="shared" si="2"/>
        <v>233201954.83852562</v>
      </c>
      <c r="Y22" s="132">
        <f t="shared" si="2"/>
        <v>233194377.45837754</v>
      </c>
      <c r="Z22" s="132">
        <f t="shared" si="2"/>
        <v>233186724.30442798</v>
      </c>
      <c r="AA22" s="132">
        <f t="shared" si="2"/>
        <v>233008994.61893892</v>
      </c>
      <c r="AB22" s="132">
        <f t="shared" si="2"/>
        <v>233171187.63659498</v>
      </c>
      <c r="AC22" s="132">
        <f t="shared" si="2"/>
        <v>233163302.5844276</v>
      </c>
      <c r="AD22" s="132">
        <f t="shared" si="2"/>
        <v>233155338.68173853</v>
      </c>
      <c r="AE22" s="132">
        <f t="shared" si="2"/>
        <v>233147295.14002261</v>
      </c>
      <c r="AF22" s="132">
        <f t="shared" si="2"/>
        <v>233139171.16288948</v>
      </c>
      <c r="AG22" s="133">
        <f t="shared" si="2"/>
        <v>233130965.94598505</v>
      </c>
    </row>
    <row r="23" spans="2:33" ht="15" customHeight="1" x14ac:dyDescent="0.3">
      <c r="B23" s="10"/>
      <c r="C23" s="19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spans="2:33" ht="15" customHeight="1" x14ac:dyDescent="0.3">
      <c r="B24" s="4" t="s">
        <v>77</v>
      </c>
      <c r="C24" s="125">
        <v>0.1</v>
      </c>
      <c r="D24" s="123">
        <f>Assumption!$I$19*$C$24</f>
        <v>18166666.666666664</v>
      </c>
      <c r="E24" s="123">
        <f>Assumption!$I$19*$C$24</f>
        <v>18166666.666666664</v>
      </c>
      <c r="F24" s="123">
        <f>Assumption!$I$19*$C$24</f>
        <v>18166666.666666664</v>
      </c>
      <c r="G24" s="123">
        <f>Assumption!$I$19*$C$24</f>
        <v>18166666.666666664</v>
      </c>
      <c r="H24" s="123">
        <f>Assumption!$I$19*$C$24</f>
        <v>18166666.666666664</v>
      </c>
      <c r="I24" s="123">
        <f>Assumption!$I$19*$C$24</f>
        <v>18166666.666666664</v>
      </c>
      <c r="J24" s="123">
        <f>Assumption!$I$19*$C$24</f>
        <v>18166666.666666664</v>
      </c>
      <c r="K24" s="123">
        <f>Assumption!$I$19*$C$24</f>
        <v>18166666.666666664</v>
      </c>
      <c r="L24" s="123">
        <f>Assumption!$I$19*$C$24</f>
        <v>18166666.666666664</v>
      </c>
      <c r="M24" s="123">
        <f>Assumption!$I$19*$C$24</f>
        <v>18166666.666666664</v>
      </c>
      <c r="N24" s="123">
        <f>Assumption!$I$19*$C$24</f>
        <v>18166666.666666664</v>
      </c>
      <c r="O24" s="123">
        <f>Assumption!$I$19*$C$24</f>
        <v>18166666.666666664</v>
      </c>
      <c r="P24" s="123">
        <f>Assumption!$I$19*$C$24</f>
        <v>18166666.666666664</v>
      </c>
      <c r="Q24" s="123">
        <f>Assumption!$I$19*$C$24</f>
        <v>18166666.666666664</v>
      </c>
      <c r="R24" s="123">
        <f>Assumption!$I$19*$C$24</f>
        <v>18166666.666666664</v>
      </c>
      <c r="S24" s="123">
        <f>Assumption!$I$19*$C$24</f>
        <v>18166666.666666664</v>
      </c>
      <c r="T24" s="123">
        <f>Assumption!$I$19*$C$24</f>
        <v>18166666.666666664</v>
      </c>
      <c r="U24" s="123">
        <f>Assumption!$I$19*$C$24</f>
        <v>18166666.666666664</v>
      </c>
      <c r="V24" s="123">
        <f>Assumption!$I$19*$C$24</f>
        <v>18166666.666666664</v>
      </c>
      <c r="W24" s="123">
        <f>Assumption!$I$19*$C$24</f>
        <v>18166666.666666664</v>
      </c>
      <c r="X24" s="123">
        <f>Assumption!$I$19*$C$24</f>
        <v>18166666.666666664</v>
      </c>
      <c r="Y24" s="123">
        <f>Assumption!$I$19*$C$24</f>
        <v>18166666.666666664</v>
      </c>
      <c r="Z24" s="123">
        <f>Assumption!$I$19*$C$24</f>
        <v>18166666.666666664</v>
      </c>
      <c r="AA24" s="123">
        <f>Assumption!$I$19*$C$24</f>
        <v>18166666.666666664</v>
      </c>
      <c r="AB24" s="123">
        <f>Assumption!$I$19*$C$24</f>
        <v>18166666.666666664</v>
      </c>
      <c r="AC24" s="123">
        <f>Assumption!$I$19*$C$24</f>
        <v>18166666.666666664</v>
      </c>
      <c r="AD24" s="123">
        <f>Assumption!$I$19*$C$24</f>
        <v>18166666.666666664</v>
      </c>
      <c r="AE24" s="123">
        <f>Assumption!$I$19*$C$24</f>
        <v>18166666.666666664</v>
      </c>
      <c r="AF24" s="123">
        <f>Assumption!$I$19*$C$24</f>
        <v>18166666.666666664</v>
      </c>
      <c r="AG24" s="124">
        <f>Assumption!$I$19*$C$24</f>
        <v>18166666.666666664</v>
      </c>
    </row>
    <row r="25" spans="2:33" ht="15" customHeight="1" x14ac:dyDescent="0.3">
      <c r="B25" s="10"/>
      <c r="C25" s="1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spans="2:33" ht="15" customHeight="1" x14ac:dyDescent="0.3">
      <c r="B26" s="25" t="s">
        <v>78</v>
      </c>
      <c r="C26" s="26"/>
      <c r="D26" s="27">
        <f t="shared" ref="D26:AG26" si="3">D22-D24</f>
        <v>173842859.52000001</v>
      </c>
      <c r="E26" s="27">
        <f t="shared" si="3"/>
        <v>175267274.52000001</v>
      </c>
      <c r="F26" s="27">
        <f t="shared" si="3"/>
        <v>176691627.42000002</v>
      </c>
      <c r="G26" s="27">
        <f t="shared" si="3"/>
        <v>178115917.59900001</v>
      </c>
      <c r="H26" s="27">
        <f t="shared" si="3"/>
        <v>179540144.42979002</v>
      </c>
      <c r="I26" s="27">
        <f t="shared" si="3"/>
        <v>180964307.27888793</v>
      </c>
      <c r="J26" s="27">
        <f t="shared" si="3"/>
        <v>182388405.50647679</v>
      </c>
      <c r="K26" s="27">
        <f t="shared" si="3"/>
        <v>183642438.46634156</v>
      </c>
      <c r="L26" s="27">
        <f t="shared" si="3"/>
        <v>185236405.50580496</v>
      </c>
      <c r="M26" s="27">
        <f t="shared" si="3"/>
        <v>186660305.96566302</v>
      </c>
      <c r="N26" s="27">
        <f t="shared" si="3"/>
        <v>188084139.18011963</v>
      </c>
      <c r="O26" s="27">
        <f t="shared" si="3"/>
        <v>189507904.47672084</v>
      </c>
      <c r="P26" s="27">
        <f t="shared" si="3"/>
        <v>190931601.17628807</v>
      </c>
      <c r="Q26" s="27">
        <f t="shared" si="3"/>
        <v>192355228.59285092</v>
      </c>
      <c r="R26" s="27">
        <f t="shared" si="3"/>
        <v>193778786.03357944</v>
      </c>
      <c r="S26" s="27">
        <f t="shared" si="3"/>
        <v>195032272.79871523</v>
      </c>
      <c r="T26" s="27">
        <f t="shared" si="3"/>
        <v>196625688.1815024</v>
      </c>
      <c r="U26" s="27">
        <f t="shared" si="3"/>
        <v>198049031.46811742</v>
      </c>
      <c r="V26" s="27">
        <f t="shared" si="3"/>
        <v>199472301.93759859</v>
      </c>
      <c r="W26" s="27">
        <f t="shared" si="3"/>
        <v>200895498.86177456</v>
      </c>
      <c r="X26" s="27">
        <f t="shared" si="3"/>
        <v>215035288.17185897</v>
      </c>
      <c r="Y26" s="27">
        <f t="shared" si="3"/>
        <v>215027710.79171088</v>
      </c>
      <c r="Z26" s="27">
        <f t="shared" si="3"/>
        <v>215020057.63776132</v>
      </c>
      <c r="AA26" s="27">
        <f t="shared" si="3"/>
        <v>214842327.95227227</v>
      </c>
      <c r="AB26" s="27">
        <f t="shared" si="3"/>
        <v>215004520.96992832</v>
      </c>
      <c r="AC26" s="27">
        <f t="shared" si="3"/>
        <v>214996635.91776094</v>
      </c>
      <c r="AD26" s="27">
        <f t="shared" si="3"/>
        <v>214988672.01507187</v>
      </c>
      <c r="AE26" s="27">
        <f t="shared" si="3"/>
        <v>214980628.47335595</v>
      </c>
      <c r="AF26" s="27">
        <f t="shared" si="3"/>
        <v>214972504.49622282</v>
      </c>
      <c r="AG26" s="28">
        <f t="shared" si="3"/>
        <v>214964299.27931839</v>
      </c>
    </row>
    <row r="27" spans="2:33" ht="15" customHeight="1" x14ac:dyDescent="0.3">
      <c r="B27" s="10"/>
      <c r="C27" s="1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2"/>
    </row>
    <row r="28" spans="2:33" ht="15.6" x14ac:dyDescent="0.3">
      <c r="B28" s="4" t="s">
        <v>79</v>
      </c>
      <c r="C28" s="19"/>
      <c r="D28" s="123">
        <f>'Debt Schedule'!D7</f>
        <v>14306249.999999994</v>
      </c>
      <c r="E28" s="123">
        <f>'Debt Schedule'!E7</f>
        <v>13590937.499999994</v>
      </c>
      <c r="F28" s="123">
        <f>'Debt Schedule'!F7</f>
        <v>12875624.999999996</v>
      </c>
      <c r="G28" s="123">
        <f>'Debt Schedule'!G7</f>
        <v>12160312.499999996</v>
      </c>
      <c r="H28" s="123">
        <f>'Debt Schedule'!H7</f>
        <v>11444999.999999996</v>
      </c>
      <c r="I28" s="123">
        <f>'Debt Schedule'!I7</f>
        <v>10729687.499999998</v>
      </c>
      <c r="J28" s="123">
        <f>'Debt Schedule'!J7</f>
        <v>10014374.999999998</v>
      </c>
      <c r="K28" s="123">
        <f>'Debt Schedule'!K7</f>
        <v>9299062.4999999981</v>
      </c>
      <c r="L28" s="123">
        <f>'Debt Schedule'!L7</f>
        <v>8583750</v>
      </c>
      <c r="M28" s="123">
        <f>'Debt Schedule'!M7</f>
        <v>7868437.5</v>
      </c>
      <c r="N28" s="123">
        <f>'Debt Schedule'!N7</f>
        <v>7153125</v>
      </c>
      <c r="O28" s="123">
        <f>'Debt Schedule'!O7</f>
        <v>6437812.5000000009</v>
      </c>
      <c r="P28" s="123">
        <f>'Debt Schedule'!P7</f>
        <v>5722500.0000000019</v>
      </c>
      <c r="Q28" s="123">
        <f>'Debt Schedule'!Q7</f>
        <v>5007187.5000000019</v>
      </c>
      <c r="R28" s="123">
        <f>'Debt Schedule'!R7</f>
        <v>4291875.0000000028</v>
      </c>
      <c r="S28" s="123">
        <f>'Debt Schedule'!S7</f>
        <v>3576562.5000000033</v>
      </c>
      <c r="T28" s="123">
        <f>'Debt Schedule'!T7</f>
        <v>2861250.0000000033</v>
      </c>
      <c r="U28" s="123">
        <f>'Debt Schedule'!U7</f>
        <v>2145937.5000000037</v>
      </c>
      <c r="V28" s="123">
        <f>'Debt Schedule'!V7</f>
        <v>1430625.0000000037</v>
      </c>
      <c r="W28" s="123">
        <f>'Debt Schedule'!W7</f>
        <v>715312.50000000407</v>
      </c>
      <c r="X28" s="123">
        <f>'Debt Schedule'!X7</f>
        <v>4.4004991650581357E-9</v>
      </c>
      <c r="Y28" s="123">
        <f>'Debt Schedule'!Y7</f>
        <v>4.4004991650581357E-9</v>
      </c>
      <c r="Z28" s="123">
        <f>'Debt Schedule'!Z7</f>
        <v>4.4004991650581357E-9</v>
      </c>
      <c r="AA28" s="123">
        <f>'Debt Schedule'!AA7</f>
        <v>4.4004991650581357E-9</v>
      </c>
      <c r="AB28" s="123">
        <f>'Debt Schedule'!AB7</f>
        <v>4.4004991650581357E-9</v>
      </c>
      <c r="AC28" s="123">
        <f>'Debt Schedule'!AC7</f>
        <v>4.4004991650581357E-9</v>
      </c>
      <c r="AD28" s="123">
        <f>'Debt Schedule'!AD7</f>
        <v>4.4004991650581357E-9</v>
      </c>
      <c r="AE28" s="123">
        <f>'Debt Schedule'!AE7</f>
        <v>4.4004991650581357E-9</v>
      </c>
      <c r="AF28" s="123">
        <f>'Debt Schedule'!AF7</f>
        <v>4.4004991650581357E-9</v>
      </c>
      <c r="AG28" s="124">
        <f>'Debt Schedule'!AG7</f>
        <v>4.4004991650581357E-9</v>
      </c>
    </row>
    <row r="29" spans="2:33" ht="15" customHeight="1" x14ac:dyDescent="0.3">
      <c r="B29" s="10"/>
      <c r="C29" s="1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2"/>
    </row>
    <row r="30" spans="2:33" ht="15.6" x14ac:dyDescent="0.3">
      <c r="B30" s="94" t="s">
        <v>80</v>
      </c>
      <c r="C30" s="134"/>
      <c r="D30" s="135">
        <f t="shared" ref="D30:AG30" si="4">D26-D28</f>
        <v>159536609.52000001</v>
      </c>
      <c r="E30" s="135">
        <f t="shared" si="4"/>
        <v>161676337.02000001</v>
      </c>
      <c r="F30" s="135">
        <f t="shared" si="4"/>
        <v>163816002.42000002</v>
      </c>
      <c r="G30" s="135">
        <f t="shared" si="4"/>
        <v>165955605.09900001</v>
      </c>
      <c r="H30" s="135">
        <f t="shared" si="4"/>
        <v>168095144.42979002</v>
      </c>
      <c r="I30" s="135">
        <f t="shared" si="4"/>
        <v>170234619.77888793</v>
      </c>
      <c r="J30" s="135">
        <f t="shared" si="4"/>
        <v>172374030.50647679</v>
      </c>
      <c r="K30" s="135">
        <f t="shared" si="4"/>
        <v>174343375.96634156</v>
      </c>
      <c r="L30" s="135">
        <f t="shared" si="4"/>
        <v>176652655.50580496</v>
      </c>
      <c r="M30" s="135">
        <f t="shared" si="4"/>
        <v>178791868.46566302</v>
      </c>
      <c r="N30" s="135">
        <f t="shared" si="4"/>
        <v>180931014.18011963</v>
      </c>
      <c r="O30" s="135">
        <f t="shared" si="4"/>
        <v>183070091.97672084</v>
      </c>
      <c r="P30" s="135">
        <f t="shared" si="4"/>
        <v>185209101.17628807</v>
      </c>
      <c r="Q30" s="135">
        <f t="shared" si="4"/>
        <v>187348041.09285092</v>
      </c>
      <c r="R30" s="135">
        <f t="shared" si="4"/>
        <v>189486911.03357944</v>
      </c>
      <c r="S30" s="135">
        <f t="shared" si="4"/>
        <v>191455710.29871523</v>
      </c>
      <c r="T30" s="135">
        <f t="shared" si="4"/>
        <v>193764438.1815024</v>
      </c>
      <c r="U30" s="135">
        <f t="shared" si="4"/>
        <v>195903093.96811742</v>
      </c>
      <c r="V30" s="135">
        <f t="shared" si="4"/>
        <v>198041676.93759859</v>
      </c>
      <c r="W30" s="135">
        <f t="shared" si="4"/>
        <v>200180186.36177456</v>
      </c>
      <c r="X30" s="135">
        <f t="shared" si="4"/>
        <v>215035288.17185897</v>
      </c>
      <c r="Y30" s="135">
        <f t="shared" si="4"/>
        <v>215027710.79171088</v>
      </c>
      <c r="Z30" s="135">
        <f t="shared" si="4"/>
        <v>215020057.63776132</v>
      </c>
      <c r="AA30" s="135">
        <f t="shared" si="4"/>
        <v>214842327.95227227</v>
      </c>
      <c r="AB30" s="135">
        <f t="shared" si="4"/>
        <v>215004520.96992832</v>
      </c>
      <c r="AC30" s="135">
        <f t="shared" si="4"/>
        <v>214996635.91776094</v>
      </c>
      <c r="AD30" s="135">
        <f t="shared" si="4"/>
        <v>214988672.01507187</v>
      </c>
      <c r="AE30" s="135">
        <f t="shared" si="4"/>
        <v>214980628.47335595</v>
      </c>
      <c r="AF30" s="135">
        <f t="shared" si="4"/>
        <v>214972504.49622282</v>
      </c>
      <c r="AG30" s="136">
        <f t="shared" si="4"/>
        <v>214964299.27931839</v>
      </c>
    </row>
    <row r="31" spans="2:33" ht="15" customHeight="1" x14ac:dyDescent="0.3">
      <c r="B31" s="10"/>
      <c r="C31" s="1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2"/>
    </row>
    <row r="32" spans="2:33" ht="15.6" x14ac:dyDescent="0.3">
      <c r="B32" s="164" t="s">
        <v>81</v>
      </c>
      <c r="C32" s="125">
        <v>0.25</v>
      </c>
      <c r="D32" s="123">
        <f t="shared" ref="D32:AG32" si="5">D30*$C$32</f>
        <v>39884152.380000003</v>
      </c>
      <c r="E32" s="123">
        <f t="shared" si="5"/>
        <v>40419084.255000003</v>
      </c>
      <c r="F32" s="123">
        <f t="shared" si="5"/>
        <v>40954000.605000004</v>
      </c>
      <c r="G32" s="123">
        <f t="shared" si="5"/>
        <v>41488901.274750002</v>
      </c>
      <c r="H32" s="123">
        <f t="shared" si="5"/>
        <v>42023786.107447505</v>
      </c>
      <c r="I32" s="123">
        <f t="shared" si="5"/>
        <v>42558654.944721982</v>
      </c>
      <c r="J32" s="123">
        <f t="shared" si="5"/>
        <v>43093507.626619197</v>
      </c>
      <c r="K32" s="123">
        <f t="shared" si="5"/>
        <v>43585843.991585389</v>
      </c>
      <c r="L32" s="123">
        <f t="shared" si="5"/>
        <v>44163163.876451239</v>
      </c>
      <c r="M32" s="123">
        <f t="shared" si="5"/>
        <v>44697967.116415754</v>
      </c>
      <c r="N32" s="123">
        <f t="shared" si="5"/>
        <v>45232753.545029908</v>
      </c>
      <c r="O32" s="123">
        <f t="shared" si="5"/>
        <v>45767522.99418021</v>
      </c>
      <c r="P32" s="123">
        <f t="shared" si="5"/>
        <v>46302275.294072017</v>
      </c>
      <c r="Q32" s="123">
        <f t="shared" si="5"/>
        <v>46837010.273212731</v>
      </c>
      <c r="R32" s="123">
        <f t="shared" si="5"/>
        <v>47371727.75839486</v>
      </c>
      <c r="S32" s="123">
        <f t="shared" si="5"/>
        <v>47863927.574678808</v>
      </c>
      <c r="T32" s="123">
        <f t="shared" si="5"/>
        <v>48441109.5453756</v>
      </c>
      <c r="U32" s="123">
        <f t="shared" si="5"/>
        <v>48975773.492029354</v>
      </c>
      <c r="V32" s="123">
        <f t="shared" si="5"/>
        <v>49510419.234399647</v>
      </c>
      <c r="W32" s="123">
        <f t="shared" si="5"/>
        <v>50045046.590443641</v>
      </c>
      <c r="X32" s="123">
        <f t="shared" si="5"/>
        <v>53758822.042964742</v>
      </c>
      <c r="Y32" s="123">
        <f t="shared" si="5"/>
        <v>53756927.697927721</v>
      </c>
      <c r="Z32" s="123">
        <f t="shared" si="5"/>
        <v>53755014.409440331</v>
      </c>
      <c r="AA32" s="123">
        <f t="shared" si="5"/>
        <v>53710581.988068067</v>
      </c>
      <c r="AB32" s="123">
        <f t="shared" si="5"/>
        <v>53751130.242482081</v>
      </c>
      <c r="AC32" s="123">
        <f t="shared" si="5"/>
        <v>53749158.979440235</v>
      </c>
      <c r="AD32" s="123">
        <f t="shared" si="5"/>
        <v>53747168.003767967</v>
      </c>
      <c r="AE32" s="123">
        <f t="shared" si="5"/>
        <v>53745157.118338987</v>
      </c>
      <c r="AF32" s="123">
        <f t="shared" si="5"/>
        <v>53743126.124055706</v>
      </c>
      <c r="AG32" s="124">
        <f t="shared" si="5"/>
        <v>53741074.819829598</v>
      </c>
    </row>
    <row r="33" spans="2:33" ht="15" customHeight="1" x14ac:dyDescent="0.3">
      <c r="B33" s="10"/>
      <c r="C33" s="1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2"/>
    </row>
    <row r="34" spans="2:33" ht="15.6" x14ac:dyDescent="0.3">
      <c r="B34" s="165" t="s">
        <v>82</v>
      </c>
      <c r="C34" s="131"/>
      <c r="D34" s="132">
        <f t="shared" ref="D34:AG34" si="6">D30-D32</f>
        <v>119652457.14000002</v>
      </c>
      <c r="E34" s="132">
        <f t="shared" si="6"/>
        <v>121257252.76500002</v>
      </c>
      <c r="F34" s="132">
        <f t="shared" si="6"/>
        <v>122862001.81500001</v>
      </c>
      <c r="G34" s="132">
        <f t="shared" si="6"/>
        <v>124466703.82425001</v>
      </c>
      <c r="H34" s="132">
        <f t="shared" si="6"/>
        <v>126071358.32234251</v>
      </c>
      <c r="I34" s="132">
        <f t="shared" si="6"/>
        <v>127675964.83416595</v>
      </c>
      <c r="J34" s="132">
        <f t="shared" si="6"/>
        <v>129280522.8798576</v>
      </c>
      <c r="K34" s="132">
        <f t="shared" si="6"/>
        <v>130757531.97475617</v>
      </c>
      <c r="L34" s="132">
        <f t="shared" si="6"/>
        <v>132489491.62935372</v>
      </c>
      <c r="M34" s="132">
        <f t="shared" si="6"/>
        <v>134093901.34924726</v>
      </c>
      <c r="N34" s="132">
        <f t="shared" si="6"/>
        <v>135698260.63508973</v>
      </c>
      <c r="O34" s="132">
        <f t="shared" si="6"/>
        <v>137302568.98254064</v>
      </c>
      <c r="P34" s="132">
        <f t="shared" si="6"/>
        <v>138906825.88221604</v>
      </c>
      <c r="Q34" s="132">
        <f t="shared" si="6"/>
        <v>140511030.81963819</v>
      </c>
      <c r="R34" s="132">
        <f t="shared" si="6"/>
        <v>142115183.27518457</v>
      </c>
      <c r="S34" s="132">
        <f t="shared" si="6"/>
        <v>143591782.72403643</v>
      </c>
      <c r="T34" s="132">
        <f t="shared" si="6"/>
        <v>145323328.63612682</v>
      </c>
      <c r="U34" s="132">
        <f t="shared" si="6"/>
        <v>146927320.47608805</v>
      </c>
      <c r="V34" s="132">
        <f t="shared" si="6"/>
        <v>148531257.70319894</v>
      </c>
      <c r="W34" s="132">
        <f t="shared" si="6"/>
        <v>150135139.77133092</v>
      </c>
      <c r="X34" s="132">
        <f t="shared" si="6"/>
        <v>161276466.12889421</v>
      </c>
      <c r="Y34" s="132">
        <f t="shared" si="6"/>
        <v>161270783.09378317</v>
      </c>
      <c r="Z34" s="132">
        <f t="shared" si="6"/>
        <v>161265043.22832099</v>
      </c>
      <c r="AA34" s="132">
        <f t="shared" si="6"/>
        <v>161131745.96420419</v>
      </c>
      <c r="AB34" s="132">
        <f t="shared" si="6"/>
        <v>161253390.72744626</v>
      </c>
      <c r="AC34" s="132">
        <f t="shared" si="6"/>
        <v>161247476.9383207</v>
      </c>
      <c r="AD34" s="132">
        <f t="shared" si="6"/>
        <v>161241504.0113039</v>
      </c>
      <c r="AE34" s="132">
        <f t="shared" si="6"/>
        <v>161235471.35501695</v>
      </c>
      <c r="AF34" s="132">
        <f t="shared" si="6"/>
        <v>161229378.37216711</v>
      </c>
      <c r="AG34" s="133">
        <f t="shared" si="6"/>
        <v>161223224.45948881</v>
      </c>
    </row>
    <row r="35" spans="2:33" ht="15.6" x14ac:dyDescent="0.3">
      <c r="B35" s="4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9"/>
    </row>
    <row r="36" spans="2:33" ht="15.6" x14ac:dyDescent="0.3">
      <c r="B36" s="4" t="s">
        <v>83</v>
      </c>
      <c r="C36" s="19"/>
      <c r="D36" s="123">
        <f>'Debt Schedule'!D5</f>
        <v>6358333.3333333312</v>
      </c>
      <c r="E36" s="123">
        <f>'Debt Schedule'!E5</f>
        <v>6358333.3333333312</v>
      </c>
      <c r="F36" s="123">
        <f>'Debt Schedule'!F5</f>
        <v>6358333.3333333312</v>
      </c>
      <c r="G36" s="123">
        <f>'Debt Schedule'!G5</f>
        <v>6358333.3333333312</v>
      </c>
      <c r="H36" s="123">
        <f>'Debt Schedule'!H5</f>
        <v>6358333.3333333312</v>
      </c>
      <c r="I36" s="123">
        <f>'Debt Schedule'!I5</f>
        <v>6358333.3333333312</v>
      </c>
      <c r="J36" s="123">
        <f>'Debt Schedule'!J5</f>
        <v>6358333.3333333312</v>
      </c>
      <c r="K36" s="123">
        <f>'Debt Schedule'!K5</f>
        <v>6358333.3333333312</v>
      </c>
      <c r="L36" s="123">
        <f>'Debt Schedule'!L5</f>
        <v>6358333.3333333312</v>
      </c>
      <c r="M36" s="123">
        <f>'Debt Schedule'!M5</f>
        <v>6358333.3333333312</v>
      </c>
      <c r="N36" s="123">
        <f>'Debt Schedule'!N5</f>
        <v>6358333.3333333312</v>
      </c>
      <c r="O36" s="123">
        <f>'Debt Schedule'!O5</f>
        <v>6358333.3333333312</v>
      </c>
      <c r="P36" s="123">
        <f>'Debt Schedule'!P5</f>
        <v>6358333.3333333312</v>
      </c>
      <c r="Q36" s="123">
        <f>'Debt Schedule'!Q5</f>
        <v>6358333.3333333312</v>
      </c>
      <c r="R36" s="123">
        <f>'Debt Schedule'!R5</f>
        <v>6358333.3333333312</v>
      </c>
      <c r="S36" s="123">
        <f>'Debt Schedule'!S5</f>
        <v>6358333.3333333312</v>
      </c>
      <c r="T36" s="123">
        <f>'Debt Schedule'!T5</f>
        <v>6358333.3333333312</v>
      </c>
      <c r="U36" s="123">
        <f>'Debt Schedule'!U5</f>
        <v>6358333.3333333312</v>
      </c>
      <c r="V36" s="123">
        <f>'Debt Schedule'!V5</f>
        <v>6358333.3333333312</v>
      </c>
      <c r="W36" s="123">
        <f>'Debt Schedule'!W5</f>
        <v>6358333.3333333312</v>
      </c>
      <c r="X36" s="123">
        <f>'Debt Schedule'!X5</f>
        <v>0</v>
      </c>
      <c r="Y36" s="123">
        <f>'Debt Schedule'!Y5</f>
        <v>0</v>
      </c>
      <c r="Z36" s="123">
        <f>'Debt Schedule'!Z5</f>
        <v>0</v>
      </c>
      <c r="AA36" s="123">
        <f>'Debt Schedule'!AA5</f>
        <v>0</v>
      </c>
      <c r="AB36" s="123">
        <f>'Debt Schedule'!AB5</f>
        <v>0</v>
      </c>
      <c r="AC36" s="123">
        <f>'Debt Schedule'!AC5</f>
        <v>0</v>
      </c>
      <c r="AD36" s="123">
        <f>'Debt Schedule'!AD5</f>
        <v>0</v>
      </c>
      <c r="AE36" s="123">
        <f>'Debt Schedule'!AE5</f>
        <v>0</v>
      </c>
      <c r="AF36" s="123">
        <f>'Debt Schedule'!AF5</f>
        <v>0</v>
      </c>
      <c r="AG36" s="124">
        <f>'Debt Schedule'!AG5</f>
        <v>0</v>
      </c>
    </row>
    <row r="37" spans="2:33" ht="15.6" x14ac:dyDescent="0.3">
      <c r="B37" s="10"/>
      <c r="C37" s="1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2"/>
    </row>
    <row r="38" spans="2:33" ht="15" customHeight="1" x14ac:dyDescent="0.3">
      <c r="B38" s="57" t="s">
        <v>102</v>
      </c>
      <c r="C38" s="19"/>
      <c r="D38" s="8">
        <f>D34-D36</f>
        <v>113294123.80666669</v>
      </c>
      <c r="E38" s="8">
        <f>E34-E36</f>
        <v>114898919.43166669</v>
      </c>
      <c r="F38" s="8">
        <f>F34-F36</f>
        <v>116503668.48166668</v>
      </c>
      <c r="G38" s="8">
        <f>G34-G36</f>
        <v>118108370.49091668</v>
      </c>
      <c r="H38" s="8">
        <f>H34-H36</f>
        <v>119713024.98900919</v>
      </c>
      <c r="I38" s="8">
        <f>I34-I36</f>
        <v>121317631.50083262</v>
      </c>
      <c r="J38" s="8">
        <f>J34-J36</f>
        <v>122922189.54652427</v>
      </c>
      <c r="K38" s="8">
        <f>K34-K36</f>
        <v>124399198.64142284</v>
      </c>
      <c r="L38" s="8">
        <f>L34-L36</f>
        <v>126131158.29602039</v>
      </c>
      <c r="M38" s="8">
        <f>M34-M36</f>
        <v>127735568.01591393</v>
      </c>
      <c r="N38" s="8">
        <f>N34-N36</f>
        <v>129339927.3017564</v>
      </c>
      <c r="O38" s="8">
        <f>O34-O36</f>
        <v>130944235.64920731</v>
      </c>
      <c r="P38" s="8">
        <f>P34-P36</f>
        <v>132548492.54888271</v>
      </c>
      <c r="Q38" s="8">
        <f>Q34-Q36</f>
        <v>134152697.48630486</v>
      </c>
      <c r="R38" s="8">
        <f>R34-R36</f>
        <v>135756849.94185123</v>
      </c>
      <c r="S38" s="8">
        <f>S34-S36</f>
        <v>137233449.39070308</v>
      </c>
      <c r="T38" s="8">
        <f>T34-T36</f>
        <v>138964995.30279347</v>
      </c>
      <c r="U38" s="8">
        <f>U34-U36</f>
        <v>140568987.1427547</v>
      </c>
      <c r="V38" s="8">
        <f>V34-V36</f>
        <v>142172924.3698656</v>
      </c>
      <c r="W38" s="8">
        <f>W34-W36</f>
        <v>143776806.43799758</v>
      </c>
      <c r="X38" s="8">
        <f>X34-X36</f>
        <v>161276466.12889421</v>
      </c>
      <c r="Y38" s="8">
        <f>Y34-Y36</f>
        <v>161270783.09378317</v>
      </c>
      <c r="Z38" s="8">
        <f>Z34-Z36</f>
        <v>161265043.22832099</v>
      </c>
      <c r="AA38" s="8">
        <f>AA34-AA36</f>
        <v>161131745.96420419</v>
      </c>
      <c r="AB38" s="8">
        <f>AB34-AB36</f>
        <v>161253390.72744626</v>
      </c>
      <c r="AC38" s="8">
        <f>AC34-AC36</f>
        <v>161247476.9383207</v>
      </c>
      <c r="AD38" s="8">
        <f>AD34-AD36</f>
        <v>161241504.0113039</v>
      </c>
      <c r="AE38" s="8">
        <f>AE34-AE36</f>
        <v>161235471.35501695</v>
      </c>
      <c r="AF38" s="8">
        <f>AF34-AF36</f>
        <v>161229378.37216711</v>
      </c>
      <c r="AG38" s="9">
        <f>AG34-AG36</f>
        <v>161223224.45948881</v>
      </c>
    </row>
    <row r="39" spans="2:33" ht="15.6" x14ac:dyDescent="0.3">
      <c r="B39" s="140" t="s">
        <v>103</v>
      </c>
      <c r="C39" s="138">
        <f>Assumption!I22</f>
        <v>0.3</v>
      </c>
      <c r="D39" s="139">
        <f>D38*C39</f>
        <v>33988237.142000005</v>
      </c>
      <c r="E39" s="139">
        <f t="shared" ref="E39:AG39" si="7">E38*D39</f>
        <v>3905211721003040</v>
      </c>
      <c r="F39" s="139">
        <f t="shared" si="7"/>
        <v>4.5497149169445721E+23</v>
      </c>
      <c r="G39" s="139">
        <f t="shared" si="7"/>
        <v>5.3735941503853972E+31</v>
      </c>
      <c r="H39" s="139">
        <f t="shared" si="7"/>
        <v>6.4328921080588064E+39</v>
      </c>
      <c r="I39" s="139">
        <f t="shared" si="7"/>
        <v>7.8042323425009256E+47</v>
      </c>
      <c r="J39" s="139">
        <f t="shared" si="7"/>
        <v>9.5931332727001393E+55</v>
      </c>
      <c r="K39" s="139">
        <f t="shared" si="7"/>
        <v>1.1933780915842673E+64</v>
      </c>
      <c r="L39" s="139">
        <f t="shared" si="7"/>
        <v>1.5052216097661794E+72</v>
      </c>
      <c r="M39" s="139">
        <f t="shared" si="7"/>
        <v>1.9227033731331127E+80</v>
      </c>
      <c r="N39" s="139">
        <f t="shared" si="7"/>
        <v>2.4868231450387861E+88</v>
      </c>
      <c r="O39" s="139">
        <f t="shared" si="7"/>
        <v>3.2563515592186164E+96</v>
      </c>
      <c r="P39" s="139">
        <f t="shared" si="7"/>
        <v>4.3162449038363139E+104</v>
      </c>
      <c r="Q39" s="139">
        <f t="shared" si="7"/>
        <v>5.7903589686115802E+112</v>
      </c>
      <c r="R39" s="139">
        <f t="shared" si="7"/>
        <v>7.8608089361125474E+120</v>
      </c>
      <c r="S39" s="139">
        <f t="shared" si="7"/>
        <v>1.0787659253039878E+129</v>
      </c>
      <c r="T39" s="139">
        <f t="shared" si="7"/>
        <v>1.4991070174268231E+137</v>
      </c>
      <c r="U39" s="139">
        <f t="shared" si="7"/>
        <v>2.1072795505828446E+145</v>
      </c>
      <c r="V39" s="139">
        <f t="shared" si="7"/>
        <v>2.9959809617117914E+153</v>
      </c>
      <c r="W39" s="139">
        <f t="shared" si="7"/>
        <v>4.3075257482396209E+161</v>
      </c>
      <c r="X39" s="139">
        <f t="shared" si="7"/>
        <v>6.9470253043530693E+169</v>
      </c>
      <c r="Y39" s="139">
        <f t="shared" si="7"/>
        <v>1.1203522110053468E+178</v>
      </c>
      <c r="Z39" s="139">
        <f t="shared" si="7"/>
        <v>1.8067364773872225E+186</v>
      </c>
      <c r="AA39" s="139">
        <f t="shared" si="7"/>
        <v>2.911226030986191E+194</v>
      </c>
      <c r="AB39" s="139">
        <f t="shared" si="7"/>
        <v>4.6944506867052884E+202</v>
      </c>
      <c r="AC39" s="139">
        <f t="shared" si="7"/>
        <v>7.5696832884259478E+210</v>
      </c>
      <c r="AD39" s="139">
        <f t="shared" si="7"/>
        <v>1.2205471183150326E+219</v>
      </c>
      <c r="AE39" s="139">
        <f t="shared" si="7"/>
        <v>1.9679548993253193E+227</v>
      </c>
      <c r="AF39" s="139">
        <f t="shared" si="7"/>
        <v>3.1729214508268192E+235</v>
      </c>
      <c r="AG39" s="139">
        <f t="shared" si="7"/>
        <v>5.1154862725897919E+243</v>
      </c>
    </row>
    <row r="40" spans="2:33" ht="15" customHeight="1" x14ac:dyDescent="0.3">
      <c r="B40" s="57" t="s">
        <v>97</v>
      </c>
      <c r="C40" s="130">
        <v>0.45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2"/>
    </row>
    <row r="41" spans="2:33" ht="16.2" thickBot="1" x14ac:dyDescent="0.35">
      <c r="B41" s="13" t="s">
        <v>84</v>
      </c>
      <c r="C41" s="20"/>
      <c r="D41" s="129">
        <f>D38*$C$40</f>
        <v>50982355.713000007</v>
      </c>
      <c r="E41" s="129">
        <f>E38*$C$40</f>
        <v>51704513.744250007</v>
      </c>
      <c r="F41" s="129">
        <f>F38*$C$40</f>
        <v>52426650.816750012</v>
      </c>
      <c r="G41" s="129">
        <f>G38*$C$40</f>
        <v>53148766.720912509</v>
      </c>
      <c r="H41" s="129">
        <f>H38*$C$40</f>
        <v>53870861.245054133</v>
      </c>
      <c r="I41" s="129">
        <f>I38*$C$40</f>
        <v>54592934.175374679</v>
      </c>
      <c r="J41" s="129">
        <f>J38*$C$40</f>
        <v>55314985.295935921</v>
      </c>
      <c r="K41" s="129">
        <f>K38*$C$40</f>
        <v>55979639.388640277</v>
      </c>
      <c r="L41" s="129">
        <f>L38*$C$40</f>
        <v>56759021.233209178</v>
      </c>
      <c r="M41" s="129">
        <f>M38*$C$40</f>
        <v>57481005.607161269</v>
      </c>
      <c r="N41" s="129">
        <f>N38*$C$40</f>
        <v>58202967.285790376</v>
      </c>
      <c r="O41" s="129">
        <f>O38*$C$40</f>
        <v>58924906.042143293</v>
      </c>
      <c r="P41" s="129">
        <f>P38*$C$40</f>
        <v>59646821.646997221</v>
      </c>
      <c r="Q41" s="129">
        <f>Q38*$C$40</f>
        <v>60368713.868837193</v>
      </c>
      <c r="R41" s="129">
        <f>R38*$C$40</f>
        <v>61090582.473833054</v>
      </c>
      <c r="S41" s="129">
        <f>S38*$C$40</f>
        <v>61755052.225816391</v>
      </c>
      <c r="T41" s="129">
        <f>T38*$C$40</f>
        <v>62534247.886257067</v>
      </c>
      <c r="U41" s="129">
        <f>U38*$C$40</f>
        <v>63256044.21423962</v>
      </c>
      <c r="V41" s="129">
        <f>V38*$C$40</f>
        <v>63977815.966439523</v>
      </c>
      <c r="W41" s="129">
        <f>W38*$C$40</f>
        <v>64699562.897098914</v>
      </c>
      <c r="X41" s="129">
        <f>X38*$C$40</f>
        <v>72574409.7580024</v>
      </c>
      <c r="Y41" s="129">
        <f>Y38*$C$40</f>
        <v>72571852.392202422</v>
      </c>
      <c r="Z41" s="129">
        <f>Z38*$C$40</f>
        <v>72569269.452744439</v>
      </c>
      <c r="AA41" s="129">
        <f>AA38*$C$40</f>
        <v>72509285.683891892</v>
      </c>
      <c r="AB41" s="129">
        <f>AB38*$C$40</f>
        <v>72564025.827350825</v>
      </c>
      <c r="AC41" s="129">
        <f>AC38*$C$40</f>
        <v>72561364.622244313</v>
      </c>
      <c r="AD41" s="129">
        <f>AD38*$C$40</f>
        <v>72558676.805086762</v>
      </c>
      <c r="AE41" s="129">
        <f>AE38*$C$40</f>
        <v>72555962.109757632</v>
      </c>
      <c r="AF41" s="129">
        <f>AF38*$C$40</f>
        <v>72553220.267475203</v>
      </c>
      <c r="AG41" s="129">
        <f>AG38*$C$40</f>
        <v>72550451.00676997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7D37-1F8A-4549-88B3-22D4ACB3999E}">
  <dimension ref="A2:S47"/>
  <sheetViews>
    <sheetView showGridLines="0" zoomScale="66" zoomScaleNormal="66" workbookViewId="0">
      <selection activeCell="A4" sqref="A4:E35"/>
    </sheetView>
  </sheetViews>
  <sheetFormatPr defaultRowHeight="15.6" x14ac:dyDescent="0.3"/>
  <cols>
    <col min="1" max="1" width="8.23046875" bestFit="1" customWidth="1"/>
    <col min="2" max="2" width="5.4609375" customWidth="1"/>
    <col min="3" max="3" width="22.07421875" bestFit="1" customWidth="1"/>
    <col min="4" max="5" width="13.3828125" bestFit="1" customWidth="1"/>
    <col min="7" max="7" width="13.53515625" bestFit="1" customWidth="1"/>
    <col min="8" max="8" width="12.23046875" bestFit="1" customWidth="1"/>
  </cols>
  <sheetData>
    <row r="2" spans="1:19" ht="16.2" thickBot="1" x14ac:dyDescent="0.35">
      <c r="S2" s="163"/>
    </row>
    <row r="3" spans="1:19" ht="16.2" thickBot="1" x14ac:dyDescent="0.35">
      <c r="A3" s="1"/>
      <c r="B3" s="160"/>
      <c r="C3" s="161"/>
      <c r="D3" s="160"/>
      <c r="E3" s="162"/>
      <c r="H3" s="137"/>
    </row>
    <row r="4" spans="1:19" x14ac:dyDescent="0.3">
      <c r="A4" s="180"/>
      <c r="B4" s="181" t="s">
        <v>104</v>
      </c>
      <c r="C4" s="181" t="s">
        <v>107</v>
      </c>
      <c r="D4" s="181" t="s">
        <v>89</v>
      </c>
      <c r="E4" s="182" t="s">
        <v>108</v>
      </c>
    </row>
    <row r="5" spans="1:19" x14ac:dyDescent="0.3">
      <c r="A5" s="166" t="s">
        <v>91</v>
      </c>
      <c r="B5" s="167">
        <v>-0.4</v>
      </c>
      <c r="C5" s="168">
        <f>$C$9*(1+$B5)</f>
        <v>75</v>
      </c>
      <c r="D5" s="169">
        <v>592657818.82879448</v>
      </c>
      <c r="E5" s="170">
        <f>(D5-$D$9)/$D$9*100</f>
        <v>0.17710022670294395</v>
      </c>
    </row>
    <row r="6" spans="1:19" x14ac:dyDescent="0.3">
      <c r="A6" s="171"/>
      <c r="B6" s="167">
        <v>-0.3</v>
      </c>
      <c r="C6" s="168">
        <f>$C$9*(1+$B6)</f>
        <v>87.5</v>
      </c>
      <c r="D6" s="169">
        <v>592395883.13232708</v>
      </c>
      <c r="E6" s="170">
        <f>(D6-$D$9)/$D$9*100</f>
        <v>0.1328251700272029</v>
      </c>
    </row>
    <row r="7" spans="1:19" x14ac:dyDescent="0.3">
      <c r="A7" s="171"/>
      <c r="B7" s="167">
        <v>-0.2</v>
      </c>
      <c r="C7" s="168">
        <f>$C$9*(1+$B7)</f>
        <v>100</v>
      </c>
      <c r="D7" s="169">
        <v>592133947.43585968</v>
      </c>
      <c r="E7" s="170">
        <f>(D7-$D$9)/$D$9*100</f>
        <v>8.8550113351461901E-2</v>
      </c>
    </row>
    <row r="8" spans="1:19" x14ac:dyDescent="0.3">
      <c r="A8" s="171"/>
      <c r="B8" s="167">
        <v>-0.1</v>
      </c>
      <c r="C8" s="168">
        <f>$C$9*(1+$B8)</f>
        <v>112.5</v>
      </c>
      <c r="D8" s="169">
        <v>591872011.73939216</v>
      </c>
      <c r="E8" s="170">
        <f>(D8-$D$9)/$D$9*100</f>
        <v>4.4275056675700725E-2</v>
      </c>
    </row>
    <row r="9" spans="1:19" x14ac:dyDescent="0.3">
      <c r="A9" s="171"/>
      <c r="B9" s="167">
        <v>0</v>
      </c>
      <c r="C9" s="168">
        <v>125</v>
      </c>
      <c r="D9" s="169">
        <v>591610076.042925</v>
      </c>
      <c r="E9" s="170">
        <f>(D9-$D$9)/$D$9*100</f>
        <v>0</v>
      </c>
    </row>
    <row r="10" spans="1:19" x14ac:dyDescent="0.3">
      <c r="A10" s="171"/>
      <c r="B10" s="167">
        <v>0.1</v>
      </c>
      <c r="C10" s="168">
        <f>$C$9*(1+$B10)</f>
        <v>137.5</v>
      </c>
      <c r="D10" s="169">
        <v>591348140.3464576</v>
      </c>
      <c r="E10" s="170">
        <f>(D10-$D$9)/$D$9*100</f>
        <v>-4.4275056675741019E-2</v>
      </c>
    </row>
    <row r="11" spans="1:19" x14ac:dyDescent="0.3">
      <c r="A11" s="171"/>
      <c r="B11" s="167">
        <v>0.2</v>
      </c>
      <c r="C11" s="168">
        <f>$C$9*(1+$B11)</f>
        <v>150</v>
      </c>
      <c r="D11" s="169">
        <v>591086204.64999032</v>
      </c>
      <c r="E11" s="170">
        <f>(D11-$D$9)/$D$9*100</f>
        <v>-8.8550113351461901E-2</v>
      </c>
    </row>
    <row r="12" spans="1:19" x14ac:dyDescent="0.3">
      <c r="A12" s="171"/>
      <c r="B12" s="167">
        <v>0.3</v>
      </c>
      <c r="C12" s="168">
        <f>$C$9*(1+$B12)</f>
        <v>162.5</v>
      </c>
      <c r="D12" s="169">
        <v>590824268.95352256</v>
      </c>
      <c r="E12" s="170">
        <f>(D12-$D$9)/$D$9*100</f>
        <v>-0.13282517002726335</v>
      </c>
    </row>
    <row r="13" spans="1:19" x14ac:dyDescent="0.3">
      <c r="A13" s="166" t="s">
        <v>92</v>
      </c>
      <c r="B13" s="167">
        <v>0.4</v>
      </c>
      <c r="C13" s="168">
        <f>$C$9*(1+$B13)</f>
        <v>175</v>
      </c>
      <c r="D13" s="169">
        <v>590562333.2570554</v>
      </c>
      <c r="E13" s="170">
        <f>(D13-$D$9)/$D$9*100</f>
        <v>-0.17710022670296408</v>
      </c>
    </row>
    <row r="14" spans="1:19" x14ac:dyDescent="0.3">
      <c r="A14" s="171"/>
      <c r="B14" s="168"/>
      <c r="C14" s="168"/>
      <c r="D14" s="169"/>
      <c r="E14" s="170"/>
    </row>
    <row r="15" spans="1:19" x14ac:dyDescent="0.3">
      <c r="A15" s="171"/>
      <c r="B15" s="168"/>
      <c r="C15" s="172" t="s">
        <v>106</v>
      </c>
      <c r="D15" s="173" t="s">
        <v>89</v>
      </c>
      <c r="E15" s="174" t="s">
        <v>108</v>
      </c>
    </row>
    <row r="16" spans="1:19" x14ac:dyDescent="0.3">
      <c r="A16" s="171"/>
      <c r="B16" s="168"/>
      <c r="C16" s="168">
        <f>$C$20*(1+$B5)</f>
        <v>30</v>
      </c>
      <c r="D16" s="169">
        <v>754326949.34123075</v>
      </c>
      <c r="E16" s="170">
        <f>-(D16-$D$20)/$D$20*100</f>
        <v>-27.50407403245438</v>
      </c>
    </row>
    <row r="17" spans="1:13" x14ac:dyDescent="0.3">
      <c r="A17" s="171"/>
      <c r="B17" s="168"/>
      <c r="C17" s="168">
        <f>$C$20*(1+$B6)</f>
        <v>35</v>
      </c>
      <c r="D17" s="169">
        <v>713647731.01665413</v>
      </c>
      <c r="E17" s="170">
        <f t="shared" ref="E17:E19" si="0">-(D17-$D$20)/$D$20*100</f>
        <v>-20.628055524340756</v>
      </c>
    </row>
    <row r="18" spans="1:13" x14ac:dyDescent="0.3">
      <c r="A18" s="171"/>
      <c r="B18" s="168"/>
      <c r="C18" s="168">
        <f>$C$20*(1+$B7)</f>
        <v>40</v>
      </c>
      <c r="D18" s="175">
        <v>672968512.69207799</v>
      </c>
      <c r="E18" s="170">
        <f t="shared" si="0"/>
        <v>-13.752037016227211</v>
      </c>
      <c r="M18" s="163"/>
    </row>
    <row r="19" spans="1:13" x14ac:dyDescent="0.3">
      <c r="A19" s="171"/>
      <c r="B19" s="168"/>
      <c r="C19" s="168">
        <f>$C$20*(1+$B8)</f>
        <v>45</v>
      </c>
      <c r="D19" s="169">
        <v>632289294.36750138</v>
      </c>
      <c r="E19" s="170">
        <f t="shared" si="0"/>
        <v>-6.8760185081135852</v>
      </c>
    </row>
    <row r="20" spans="1:13" x14ac:dyDescent="0.3">
      <c r="A20" s="171"/>
      <c r="B20" s="168"/>
      <c r="C20" s="168">
        <v>50</v>
      </c>
      <c r="D20" s="169">
        <v>591610076.042925</v>
      </c>
      <c r="E20" s="170">
        <f>(D20-$D$20)/$D$20*100</f>
        <v>0</v>
      </c>
    </row>
    <row r="21" spans="1:13" x14ac:dyDescent="0.3">
      <c r="A21" s="171"/>
      <c r="B21" s="168"/>
      <c r="C21" s="168">
        <f>$C$20*(1+$B10)</f>
        <v>55.000000000000007</v>
      </c>
      <c r="D21" s="169">
        <v>550930857.71834862</v>
      </c>
      <c r="E21" s="170">
        <f>-(D21-$D$20)/$D$20*100</f>
        <v>6.8760185081135852</v>
      </c>
      <c r="H21" s="159"/>
    </row>
    <row r="22" spans="1:13" x14ac:dyDescent="0.3">
      <c r="A22" s="171"/>
      <c r="B22" s="168"/>
      <c r="C22" s="168">
        <f>$C$20*(1+$B11)</f>
        <v>60</v>
      </c>
      <c r="D22" s="169">
        <v>510251639.39377189</v>
      </c>
      <c r="E22" s="170">
        <f t="shared" ref="E22:E24" si="1">-(D22-$D$20)/$D$20*100</f>
        <v>13.752037016227231</v>
      </c>
    </row>
    <row r="23" spans="1:13" x14ac:dyDescent="0.3">
      <c r="A23" s="171"/>
      <c r="B23" s="168"/>
      <c r="C23" s="168">
        <f>$C$20*(1+$B12)</f>
        <v>65</v>
      </c>
      <c r="D23" s="169">
        <v>469572421.06919569</v>
      </c>
      <c r="E23" s="170">
        <f t="shared" si="1"/>
        <v>20.628055524340784</v>
      </c>
    </row>
    <row r="24" spans="1:13" x14ac:dyDescent="0.3">
      <c r="A24" s="171"/>
      <c r="B24" s="168"/>
      <c r="C24" s="168">
        <f>$C$20*(1+$B13)</f>
        <v>70</v>
      </c>
      <c r="D24" s="169">
        <v>428893202.74461871</v>
      </c>
      <c r="E24" s="170">
        <f t="shared" si="1"/>
        <v>27.504074032454472</v>
      </c>
    </row>
    <row r="25" spans="1:13" x14ac:dyDescent="0.3">
      <c r="A25" s="171"/>
      <c r="B25" s="168"/>
      <c r="C25" s="168"/>
      <c r="D25" s="169"/>
      <c r="E25" s="170"/>
    </row>
    <row r="26" spans="1:13" x14ac:dyDescent="0.3">
      <c r="A26" s="171"/>
      <c r="B26" s="168"/>
      <c r="C26" s="172" t="s">
        <v>105</v>
      </c>
      <c r="D26" s="173" t="s">
        <v>89</v>
      </c>
      <c r="E26" s="174" t="s">
        <v>108</v>
      </c>
    </row>
    <row r="27" spans="1:13" x14ac:dyDescent="0.3">
      <c r="A27" s="171"/>
      <c r="B27" s="168"/>
      <c r="C27" s="168">
        <f>$C$31*(1+$B5)</f>
        <v>6</v>
      </c>
      <c r="D27" s="169">
        <v>173990253.36871669</v>
      </c>
      <c r="E27" s="170">
        <f>(D27-$D$31)/$D$31*100</f>
        <v>-70.590383697911761</v>
      </c>
    </row>
    <row r="28" spans="1:13" x14ac:dyDescent="0.3">
      <c r="A28" s="171"/>
      <c r="B28" s="168"/>
      <c r="C28" s="168">
        <f>$C$31*(1+$B6)</f>
        <v>7</v>
      </c>
      <c r="D28" s="169">
        <v>278395209.03726882</v>
      </c>
      <c r="E28" s="170">
        <f>(D28-$D$31)/$D$31*100</f>
        <v>-52.942787773433807</v>
      </c>
    </row>
    <row r="29" spans="1:13" x14ac:dyDescent="0.3">
      <c r="A29" s="171"/>
      <c r="B29" s="168"/>
      <c r="C29" s="168">
        <f>$C$31*(1+$B7)</f>
        <v>8</v>
      </c>
      <c r="D29" s="169">
        <v>382800164.70582074</v>
      </c>
      <c r="E29" s="170">
        <f>(D29-$D$31)/$D$31*100</f>
        <v>-35.295191848955895</v>
      </c>
    </row>
    <row r="30" spans="1:13" x14ac:dyDescent="0.3">
      <c r="A30" s="171"/>
      <c r="B30" s="168"/>
      <c r="C30" s="168">
        <f>$C$31*(1+$B8)</f>
        <v>9</v>
      </c>
      <c r="D30" s="169">
        <v>487205120.37437308</v>
      </c>
      <c r="E30" s="170">
        <f>(D30-$D$31)/$D$31*100</f>
        <v>-17.647595924477912</v>
      </c>
    </row>
    <row r="31" spans="1:13" x14ac:dyDescent="0.3">
      <c r="A31" s="171"/>
      <c r="B31" s="168"/>
      <c r="C31" s="168">
        <v>10</v>
      </c>
      <c r="D31" s="169">
        <v>591610076.042925</v>
      </c>
      <c r="E31" s="170">
        <f>(D31-$D$31)/$D$31*100</f>
        <v>0</v>
      </c>
    </row>
    <row r="32" spans="1:13" x14ac:dyDescent="0.3">
      <c r="A32" s="171"/>
      <c r="B32" s="168"/>
      <c r="C32" s="168">
        <f>$C$31*(1+$B10)</f>
        <v>11</v>
      </c>
      <c r="D32" s="169">
        <v>696015031.71147716</v>
      </c>
      <c r="E32" s="170">
        <f>(D32-$D$31)/$D$31*100</f>
        <v>17.647595924477955</v>
      </c>
    </row>
    <row r="33" spans="1:5" x14ac:dyDescent="0.3">
      <c r="A33" s="171"/>
      <c r="B33" s="168"/>
      <c r="C33" s="168">
        <f>$C$31*(1+$B11)</f>
        <v>12</v>
      </c>
      <c r="D33" s="169">
        <v>800419987.38002908</v>
      </c>
      <c r="E33" s="170">
        <f>(D33-$D$31)/$D$31*100</f>
        <v>35.295191848955874</v>
      </c>
    </row>
    <row r="34" spans="1:5" x14ac:dyDescent="0.3">
      <c r="A34" s="171"/>
      <c r="B34" s="168"/>
      <c r="C34" s="168">
        <f>$C$31*(1+$B12)</f>
        <v>13</v>
      </c>
      <c r="D34" s="169">
        <v>904824943.04858136</v>
      </c>
      <c r="E34" s="170">
        <f>(D34-$D$31)/$D$31*100</f>
        <v>52.942787773433842</v>
      </c>
    </row>
    <row r="35" spans="1:5" ht="16.2" thickBot="1" x14ac:dyDescent="0.35">
      <c r="A35" s="176"/>
      <c r="B35" s="177"/>
      <c r="C35" s="177">
        <f>$C$31*(1+$B13)</f>
        <v>14</v>
      </c>
      <c r="D35" s="178">
        <v>1009229898.7171332</v>
      </c>
      <c r="E35" s="179">
        <f>(D35-$D$31)/$D$31*100</f>
        <v>70.590383697911747</v>
      </c>
    </row>
    <row r="38" spans="1:5" x14ac:dyDescent="0.3">
      <c r="C38" s="137"/>
      <c r="D38" s="137"/>
      <c r="E38" s="137"/>
    </row>
    <row r="39" spans="1:5" x14ac:dyDescent="0.3">
      <c r="C39" s="159"/>
    </row>
    <row r="40" spans="1:5" x14ac:dyDescent="0.3">
      <c r="C40" s="159"/>
    </row>
    <row r="41" spans="1:5" x14ac:dyDescent="0.3">
      <c r="C41" s="159"/>
    </row>
    <row r="42" spans="1:5" x14ac:dyDescent="0.3">
      <c r="C42" s="159"/>
    </row>
    <row r="43" spans="1:5" x14ac:dyDescent="0.3">
      <c r="C43" s="159"/>
    </row>
    <row r="44" spans="1:5" x14ac:dyDescent="0.3">
      <c r="C44" s="159"/>
    </row>
    <row r="45" spans="1:5" x14ac:dyDescent="0.3">
      <c r="C45" s="159"/>
    </row>
    <row r="46" spans="1:5" x14ac:dyDescent="0.3">
      <c r="C46" s="159"/>
    </row>
    <row r="47" spans="1:5" x14ac:dyDescent="0.3">
      <c r="C47" s="15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8:AG32"/>
  <sheetViews>
    <sheetView showGridLines="0" tabSelected="1" zoomScale="78" zoomScaleNormal="78" workbookViewId="0">
      <selection activeCell="H21" sqref="H21"/>
    </sheetView>
  </sheetViews>
  <sheetFormatPr defaultColWidth="11.23046875" defaultRowHeight="15" customHeight="1" x14ac:dyDescent="0.3"/>
  <cols>
    <col min="1" max="1" width="11.23046875" style="63"/>
    <col min="2" max="2" width="13" style="63" bestFit="1" customWidth="1"/>
    <col min="3" max="3" width="6.07421875" style="63" bestFit="1" customWidth="1"/>
    <col min="4" max="4" width="13.61328125" style="63" bestFit="1" customWidth="1"/>
    <col min="5" max="5" width="11.61328125" style="63" bestFit="1" customWidth="1"/>
    <col min="6" max="6" width="11.84375" style="63" bestFit="1" customWidth="1"/>
    <col min="7" max="7" width="11.69140625" style="63" bestFit="1" customWidth="1"/>
    <col min="8" max="9" width="11.53515625" style="63" bestFit="1" customWidth="1"/>
    <col min="10" max="10" width="11.69140625" style="63" bestFit="1" customWidth="1"/>
    <col min="11" max="11" width="11.921875" style="63" bestFit="1" customWidth="1"/>
    <col min="12" max="12" width="11.3828125" style="63" bestFit="1" customWidth="1"/>
    <col min="13" max="13" width="11.23046875" style="63" bestFit="1" customWidth="1"/>
    <col min="14" max="14" width="11.69140625" style="63" bestFit="1" customWidth="1"/>
    <col min="15" max="15" width="12" style="63" bestFit="1" customWidth="1"/>
    <col min="16" max="16" width="11.53515625" style="63" bestFit="1" customWidth="1"/>
    <col min="17" max="17" width="11.61328125" style="63" bestFit="1" customWidth="1"/>
    <col min="18" max="18" width="11.53515625" style="63" bestFit="1" customWidth="1"/>
    <col min="19" max="19" width="11.3828125" style="63" bestFit="1" customWidth="1"/>
    <col min="20" max="20" width="11.53515625" style="63" bestFit="1" customWidth="1"/>
    <col min="21" max="21" width="11.3828125" style="63" bestFit="1" customWidth="1"/>
    <col min="22" max="22" width="11.23046875" style="63" bestFit="1" customWidth="1"/>
    <col min="23" max="23" width="12" style="63" bestFit="1" customWidth="1"/>
    <col min="24" max="24" width="11.84375" style="63" bestFit="1" customWidth="1"/>
    <col min="25" max="25" width="12.07421875" style="63" bestFit="1" customWidth="1"/>
    <col min="26" max="26" width="11.61328125" style="63" bestFit="1" customWidth="1"/>
    <col min="27" max="27" width="11.84375" style="63" bestFit="1" customWidth="1"/>
    <col min="28" max="28" width="12.07421875" style="63" bestFit="1" customWidth="1"/>
    <col min="29" max="30" width="11.23046875" style="63" bestFit="1" customWidth="1"/>
    <col min="31" max="31" width="11.921875" style="63" bestFit="1" customWidth="1"/>
    <col min="32" max="32" width="11.3828125" style="63" bestFit="1" customWidth="1"/>
    <col min="33" max="33" width="11.3046875" style="63" bestFit="1" customWidth="1"/>
    <col min="34" max="16384" width="11.23046875" style="63"/>
  </cols>
  <sheetData>
    <row r="8" spans="1:33" ht="15" customHeight="1" thickBot="1" x14ac:dyDescent="0.35"/>
    <row r="9" spans="1:33" ht="15" customHeight="1" x14ac:dyDescent="0.3">
      <c r="B9" s="141"/>
      <c r="C9" s="142"/>
      <c r="D9" s="143">
        <v>45658</v>
      </c>
      <c r="E9" s="143">
        <v>46023</v>
      </c>
      <c r="F9" s="143">
        <v>46388</v>
      </c>
      <c r="G9" s="143">
        <v>46753</v>
      </c>
      <c r="H9" s="143">
        <v>47119</v>
      </c>
      <c r="I9" s="143">
        <v>47484</v>
      </c>
      <c r="J9" s="143">
        <v>47849</v>
      </c>
      <c r="K9" s="143">
        <v>48214</v>
      </c>
      <c r="L9" s="143">
        <v>48580</v>
      </c>
      <c r="M9" s="143">
        <v>48945</v>
      </c>
      <c r="N9" s="143">
        <v>49310</v>
      </c>
      <c r="O9" s="143">
        <v>49675</v>
      </c>
      <c r="P9" s="143">
        <v>50041</v>
      </c>
      <c r="Q9" s="143">
        <v>50406</v>
      </c>
      <c r="R9" s="143">
        <v>50771</v>
      </c>
      <c r="S9" s="143">
        <v>51136</v>
      </c>
      <c r="T9" s="143">
        <v>51502</v>
      </c>
      <c r="U9" s="143">
        <v>51867</v>
      </c>
      <c r="V9" s="143">
        <v>52232</v>
      </c>
      <c r="W9" s="143">
        <v>52597</v>
      </c>
      <c r="X9" s="143">
        <v>52963</v>
      </c>
      <c r="Y9" s="143">
        <v>53328</v>
      </c>
      <c r="Z9" s="143">
        <v>53693</v>
      </c>
      <c r="AA9" s="143">
        <v>54058</v>
      </c>
      <c r="AB9" s="143">
        <v>54424</v>
      </c>
      <c r="AC9" s="143">
        <v>54789</v>
      </c>
      <c r="AD9" s="143">
        <v>55154</v>
      </c>
      <c r="AE9" s="143">
        <v>55519</v>
      </c>
      <c r="AF9" s="143">
        <v>55885</v>
      </c>
      <c r="AG9" s="144">
        <v>56250</v>
      </c>
    </row>
    <row r="10" spans="1:33" ht="15" customHeight="1" x14ac:dyDescent="0.3">
      <c r="B10" s="145"/>
      <c r="C10" s="146" t="s">
        <v>99</v>
      </c>
      <c r="D10" s="147">
        <v>1</v>
      </c>
      <c r="E10" s="147">
        <v>2</v>
      </c>
      <c r="F10" s="147">
        <v>3</v>
      </c>
      <c r="G10" s="147">
        <v>4</v>
      </c>
      <c r="H10" s="147">
        <v>5</v>
      </c>
      <c r="I10" s="147">
        <v>6</v>
      </c>
      <c r="J10" s="147">
        <v>7</v>
      </c>
      <c r="K10" s="147">
        <v>8</v>
      </c>
      <c r="L10" s="147">
        <v>9</v>
      </c>
      <c r="M10" s="147">
        <v>10</v>
      </c>
      <c r="N10" s="147">
        <v>11</v>
      </c>
      <c r="O10" s="147">
        <v>12</v>
      </c>
      <c r="P10" s="147">
        <v>13</v>
      </c>
      <c r="Q10" s="147">
        <v>14</v>
      </c>
      <c r="R10" s="147">
        <v>15</v>
      </c>
      <c r="S10" s="147">
        <v>16</v>
      </c>
      <c r="T10" s="147">
        <v>17</v>
      </c>
      <c r="U10" s="147">
        <v>18</v>
      </c>
      <c r="V10" s="147">
        <v>19</v>
      </c>
      <c r="W10" s="147">
        <v>20</v>
      </c>
      <c r="X10" s="147">
        <v>21</v>
      </c>
      <c r="Y10" s="147">
        <v>22</v>
      </c>
      <c r="Z10" s="147">
        <v>23</v>
      </c>
      <c r="AA10" s="147">
        <v>24</v>
      </c>
      <c r="AB10" s="147">
        <v>25</v>
      </c>
      <c r="AC10" s="147">
        <v>26</v>
      </c>
      <c r="AD10" s="147">
        <v>27</v>
      </c>
      <c r="AE10" s="147">
        <v>28</v>
      </c>
      <c r="AF10" s="147">
        <v>29</v>
      </c>
      <c r="AG10" s="148">
        <v>30</v>
      </c>
    </row>
    <row r="11" spans="1:33" ht="15" customHeight="1" x14ac:dyDescent="0.3">
      <c r="B11" s="72"/>
      <c r="C11" s="73"/>
      <c r="AG11" s="7"/>
    </row>
    <row r="12" spans="1:33" ht="15" customHeight="1" x14ac:dyDescent="0.3">
      <c r="B12" s="64" t="s">
        <v>85</v>
      </c>
      <c r="C12" s="73"/>
      <c r="D12" s="59">
        <f>-Assumption!I24</f>
        <v>-54499999.999999985</v>
      </c>
      <c r="AG12" s="7"/>
    </row>
    <row r="13" spans="1:33" ht="15" customHeight="1" x14ac:dyDescent="0.3">
      <c r="B13" s="74" t="s">
        <v>86</v>
      </c>
      <c r="C13" s="75"/>
      <c r="D13" s="56">
        <f>'Income Statement'!D41</f>
        <v>50982355.713000007</v>
      </c>
      <c r="E13" s="56">
        <f>'Income Statement'!E41</f>
        <v>51704513.744250007</v>
      </c>
      <c r="F13" s="56">
        <f>'Income Statement'!F41</f>
        <v>52426650.816750012</v>
      </c>
      <c r="G13" s="56">
        <f>'Income Statement'!G41</f>
        <v>53148766.720912509</v>
      </c>
      <c r="H13" s="56">
        <f>'Income Statement'!H41</f>
        <v>53870861.245054133</v>
      </c>
      <c r="I13" s="56">
        <f>'Income Statement'!I41</f>
        <v>54592934.175374679</v>
      </c>
      <c r="J13" s="56">
        <f>'Income Statement'!J41</f>
        <v>55314985.295935921</v>
      </c>
      <c r="K13" s="56">
        <f>'Income Statement'!K41</f>
        <v>55979639.388640277</v>
      </c>
      <c r="L13" s="56">
        <f>'Income Statement'!L41</f>
        <v>56759021.233209178</v>
      </c>
      <c r="M13" s="56">
        <f>'Income Statement'!M41</f>
        <v>57481005.607161269</v>
      </c>
      <c r="N13" s="56">
        <f>'Income Statement'!N41</f>
        <v>58202967.285790376</v>
      </c>
      <c r="O13" s="56">
        <f>'Income Statement'!O41</f>
        <v>58924906.042143293</v>
      </c>
      <c r="P13" s="56">
        <f>'Income Statement'!P41</f>
        <v>59646821.646997221</v>
      </c>
      <c r="Q13" s="56">
        <f>'Income Statement'!Q41</f>
        <v>60368713.868837193</v>
      </c>
      <c r="R13" s="56">
        <f>'Income Statement'!R41</f>
        <v>61090582.473833054</v>
      </c>
      <c r="S13" s="56">
        <f>'Income Statement'!S41</f>
        <v>61755052.225816391</v>
      </c>
      <c r="T13" s="56">
        <f>'Income Statement'!T41</f>
        <v>62534247.886257067</v>
      </c>
      <c r="U13" s="56">
        <f>'Income Statement'!U41</f>
        <v>63256044.21423962</v>
      </c>
      <c r="V13" s="56">
        <f>'Income Statement'!V41</f>
        <v>63977815.966439523</v>
      </c>
      <c r="W13" s="56">
        <f>'Income Statement'!W41</f>
        <v>64699562.897098914</v>
      </c>
      <c r="X13" s="56">
        <f>'Income Statement'!X41</f>
        <v>72574409.7580024</v>
      </c>
      <c r="Y13" s="56">
        <f>'Income Statement'!Y41</f>
        <v>72571852.392202422</v>
      </c>
      <c r="Z13" s="56">
        <f>'Income Statement'!Z41</f>
        <v>72569269.452744439</v>
      </c>
      <c r="AA13" s="56">
        <f>'Income Statement'!AA41</f>
        <v>72509285.683891892</v>
      </c>
      <c r="AB13" s="56">
        <f>'Income Statement'!AB41</f>
        <v>72564025.827350825</v>
      </c>
      <c r="AC13" s="56">
        <f>'Income Statement'!AC41</f>
        <v>72561364.622244313</v>
      </c>
      <c r="AD13" s="56">
        <f>'Income Statement'!AD41</f>
        <v>72558676.805086762</v>
      </c>
      <c r="AE13" s="56">
        <f>'Income Statement'!AE41</f>
        <v>72555962.109757632</v>
      </c>
      <c r="AF13" s="56">
        <f>'Income Statement'!AF41</f>
        <v>72553220.267475203</v>
      </c>
      <c r="AG13" s="56">
        <f>'Income Statement'!AG41</f>
        <v>72550451.00676997</v>
      </c>
    </row>
    <row r="14" spans="1:33" ht="15" customHeight="1" x14ac:dyDescent="0.3">
      <c r="B14" s="77" t="s">
        <v>100</v>
      </c>
      <c r="C14" s="73"/>
      <c r="D14" s="59">
        <f>'Income Statement'!D38-'Income Statement'!D41</f>
        <v>62311768.09366668</v>
      </c>
      <c r="E14" s="59">
        <f>'Income Statement'!E38-'Income Statement'!E41</f>
        <v>63194405.68741668</v>
      </c>
      <c r="F14" s="59">
        <f>'Income Statement'!F38-'Income Statement'!F41</f>
        <v>64077017.664916672</v>
      </c>
      <c r="G14" s="59">
        <f>'Income Statement'!G38-'Income Statement'!G41</f>
        <v>64959603.770004176</v>
      </c>
      <c r="H14" s="59">
        <f>'Income Statement'!H38-'Income Statement'!H41</f>
        <v>65842163.743955053</v>
      </c>
      <c r="I14" s="59">
        <f>'Income Statement'!I38-'Income Statement'!I41</f>
        <v>66724697.325457938</v>
      </c>
      <c r="J14" s="59">
        <f>'Income Statement'!J38-'Income Statement'!J41</f>
        <v>67607204.250588357</v>
      </c>
      <c r="K14" s="59">
        <f>'Income Statement'!K38-'Income Statement'!K41</f>
        <v>68419559.252782553</v>
      </c>
      <c r="L14" s="59">
        <f>'Income Statement'!L38-'Income Statement'!L41</f>
        <v>69372137.062811211</v>
      </c>
      <c r="M14" s="59">
        <f>'Income Statement'!M38-'Income Statement'!M41</f>
        <v>70254562.408752665</v>
      </c>
      <c r="N14" s="59">
        <f>'Income Statement'!N38-'Income Statement'!N41</f>
        <v>71136960.015966028</v>
      </c>
      <c r="O14" s="59">
        <f>'Income Statement'!O38-'Income Statement'!O41</f>
        <v>72019329.607064009</v>
      </c>
      <c r="P14" s="59">
        <f>'Income Statement'!P38-'Income Statement'!P41</f>
        <v>72901670.90188548</v>
      </c>
      <c r="Q14" s="59">
        <f>'Income Statement'!Q38-'Income Statement'!Q41</f>
        <v>73783983.617467672</v>
      </c>
      <c r="R14" s="59">
        <f>'Income Statement'!R38-'Income Statement'!R41</f>
        <v>74666267.468018174</v>
      </c>
      <c r="S14" s="59">
        <f>'Income Statement'!S38-'Income Statement'!S41</f>
        <v>75478397.164886683</v>
      </c>
      <c r="T14" s="59">
        <f>'Income Statement'!T38-'Income Statement'!T41</f>
        <v>76430747.416536406</v>
      </c>
      <c r="U14" s="59">
        <f>'Income Statement'!U38-'Income Statement'!U41</f>
        <v>77312942.928515077</v>
      </c>
      <c r="V14" s="59">
        <f>'Income Statement'!V38-'Income Statement'!V41</f>
        <v>78195108.403426081</v>
      </c>
      <c r="W14" s="59">
        <f>'Income Statement'!W38-'Income Statement'!W41</f>
        <v>79077243.540898666</v>
      </c>
      <c r="X14" s="59">
        <f>'Income Statement'!X38-'Income Statement'!X41</f>
        <v>88702056.370891809</v>
      </c>
      <c r="Y14" s="59">
        <f>'Income Statement'!Y38-'Income Statement'!Y41</f>
        <v>88698930.701580748</v>
      </c>
      <c r="Z14" s="59">
        <f>'Income Statement'!Z38-'Income Statement'!Z41</f>
        <v>88695773.775576547</v>
      </c>
      <c r="AA14" s="59">
        <f>'Income Statement'!AA38-'Income Statement'!AA41</f>
        <v>88622460.2803123</v>
      </c>
      <c r="AB14" s="59">
        <f>'Income Statement'!AB38-'Income Statement'!AB41</f>
        <v>88689364.900095433</v>
      </c>
      <c r="AC14" s="59">
        <f>'Income Statement'!AC38-'Income Statement'!AC41</f>
        <v>88686112.316076383</v>
      </c>
      <c r="AD14" s="59">
        <f>'Income Statement'!AD38-'Income Statement'!AD41</f>
        <v>88682827.20621714</v>
      </c>
      <c r="AE14" s="59">
        <f>'Income Statement'!AE38-'Income Statement'!AE41</f>
        <v>88679509.245259315</v>
      </c>
      <c r="AF14" s="59">
        <f>'Income Statement'!AF38-'Income Statement'!AF41</f>
        <v>88676158.104691908</v>
      </c>
      <c r="AG14" s="59">
        <f>'Income Statement'!AG38-'Income Statement'!AG41</f>
        <v>88672773.452718839</v>
      </c>
    </row>
    <row r="15" spans="1:33" ht="15" customHeight="1" x14ac:dyDescent="0.3">
      <c r="B15" s="74" t="s">
        <v>87</v>
      </c>
      <c r="C15" s="75"/>
      <c r="D15" s="56">
        <f>SUM(D12:D13)</f>
        <v>-3517644.2869999781</v>
      </c>
      <c r="E15" s="56">
        <f t="shared" ref="E15:AG15" si="0">SUM(E12:E13)</f>
        <v>51704513.744250007</v>
      </c>
      <c r="F15" s="56">
        <f t="shared" si="0"/>
        <v>52426650.816750012</v>
      </c>
      <c r="G15" s="56">
        <f t="shared" si="0"/>
        <v>53148766.720912509</v>
      </c>
      <c r="H15" s="56">
        <f t="shared" si="0"/>
        <v>53870861.245054133</v>
      </c>
      <c r="I15" s="56">
        <f t="shared" si="0"/>
        <v>54592934.175374679</v>
      </c>
      <c r="J15" s="56">
        <f t="shared" si="0"/>
        <v>55314985.295935921</v>
      </c>
      <c r="K15" s="56">
        <f t="shared" si="0"/>
        <v>55979639.388640277</v>
      </c>
      <c r="L15" s="56">
        <f t="shared" si="0"/>
        <v>56759021.233209178</v>
      </c>
      <c r="M15" s="56">
        <f t="shared" si="0"/>
        <v>57481005.607161269</v>
      </c>
      <c r="N15" s="56">
        <f t="shared" si="0"/>
        <v>58202967.285790376</v>
      </c>
      <c r="O15" s="56">
        <f t="shared" si="0"/>
        <v>58924906.042143293</v>
      </c>
      <c r="P15" s="56">
        <f t="shared" si="0"/>
        <v>59646821.646997221</v>
      </c>
      <c r="Q15" s="56">
        <f t="shared" si="0"/>
        <v>60368713.868837193</v>
      </c>
      <c r="R15" s="56">
        <f t="shared" si="0"/>
        <v>61090582.473833054</v>
      </c>
      <c r="S15" s="56">
        <f t="shared" si="0"/>
        <v>61755052.225816391</v>
      </c>
      <c r="T15" s="56">
        <f t="shared" si="0"/>
        <v>62534247.886257067</v>
      </c>
      <c r="U15" s="56">
        <f t="shared" si="0"/>
        <v>63256044.21423962</v>
      </c>
      <c r="V15" s="56">
        <f t="shared" si="0"/>
        <v>63977815.966439523</v>
      </c>
      <c r="W15" s="56">
        <f t="shared" si="0"/>
        <v>64699562.897098914</v>
      </c>
      <c r="X15" s="56">
        <f t="shared" si="0"/>
        <v>72574409.7580024</v>
      </c>
      <c r="Y15" s="56">
        <f t="shared" si="0"/>
        <v>72571852.392202422</v>
      </c>
      <c r="Z15" s="56">
        <f t="shared" si="0"/>
        <v>72569269.452744439</v>
      </c>
      <c r="AA15" s="56">
        <f t="shared" si="0"/>
        <v>72509285.683891892</v>
      </c>
      <c r="AB15" s="56">
        <f t="shared" si="0"/>
        <v>72564025.827350825</v>
      </c>
      <c r="AC15" s="56">
        <f t="shared" si="0"/>
        <v>72561364.622244313</v>
      </c>
      <c r="AD15" s="56">
        <f t="shared" si="0"/>
        <v>72558676.805086762</v>
      </c>
      <c r="AE15" s="56">
        <f t="shared" si="0"/>
        <v>72555962.109757632</v>
      </c>
      <c r="AF15" s="56">
        <f t="shared" si="0"/>
        <v>72553220.267475203</v>
      </c>
      <c r="AG15" s="56">
        <f t="shared" si="0"/>
        <v>72550451.00676997</v>
      </c>
    </row>
    <row r="16" spans="1:33" ht="15" customHeight="1" x14ac:dyDescent="0.3">
      <c r="A16" s="76"/>
      <c r="B16" s="149" t="s">
        <v>88</v>
      </c>
      <c r="C16" s="150"/>
      <c r="D16" s="158">
        <f>XIRR(D15:AG15,D9:AG9)%</f>
        <v>0.14712542819976807</v>
      </c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2"/>
    </row>
    <row r="17" spans="1:33" ht="15" customHeight="1" thickBot="1" x14ac:dyDescent="0.35">
      <c r="A17" s="76"/>
      <c r="B17" s="153" t="s">
        <v>89</v>
      </c>
      <c r="C17" s="157">
        <v>0.09</v>
      </c>
      <c r="D17" s="154">
        <f>XNPV(C17,D15:AG15,D9:AG9)</f>
        <v>591610076.042925</v>
      </c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6"/>
    </row>
    <row r="19" spans="1:33" ht="15" customHeight="1" x14ac:dyDescent="0.3">
      <c r="B19" s="76"/>
    </row>
    <row r="24" spans="1:33" ht="15" customHeight="1" x14ac:dyDescent="0.3">
      <c r="C24" s="59"/>
    </row>
    <row r="32" spans="1:33" ht="15.6" x14ac:dyDescent="0.3">
      <c r="C32" s="5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</vt:lpstr>
      <vt:lpstr>Debt Schedule</vt:lpstr>
      <vt:lpstr>Levelised Cost</vt:lpstr>
      <vt:lpstr>Income Statement</vt:lpstr>
      <vt:lpstr>Sensitivity Analysis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Shorya Govil</dc:creator>
  <cp:lastModifiedBy>shorya govil</cp:lastModifiedBy>
  <dcterms:modified xsi:type="dcterms:W3CDTF">2024-08-25T18:24:00Z</dcterms:modified>
</cp:coreProperties>
</file>