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80" windowWidth="8595" windowHeight="4620" activeTab="3"/>
  </bookViews>
  <sheets>
    <sheet name="Thermal" sheetId="1" r:id="rId1"/>
    <sheet name="Stationkeeping" sheetId="2" r:id="rId2"/>
    <sheet name="AttitudeControl" sheetId="3" r:id="rId3"/>
    <sheet name="Power" sheetId="4" r:id="rId4"/>
    <sheet name="GNC" sheetId="5" r:id="rId5"/>
    <sheet name="SUMMARY" sheetId="6" r:id="rId6"/>
  </sheets>
  <calcPr calcId="145621"/>
</workbook>
</file>

<file path=xl/calcChain.xml><?xml version="1.0" encoding="utf-8"?>
<calcChain xmlns="http://schemas.openxmlformats.org/spreadsheetml/2006/main">
  <c r="C8" i="4" l="1"/>
  <c r="C4" i="4"/>
  <c r="C3" i="4"/>
  <c r="C5" i="4" l="1"/>
  <c r="C7" i="4" s="1"/>
  <c r="C6" i="6" s="1"/>
  <c r="C9" i="6" s="1"/>
  <c r="E4" i="6"/>
  <c r="E5" i="6"/>
  <c r="E9" i="6"/>
  <c r="E3" i="6"/>
  <c r="L21" i="3"/>
  <c r="K25" i="3" s="1"/>
  <c r="D9" i="6"/>
  <c r="D7" i="6"/>
  <c r="D6" i="6"/>
  <c r="D5" i="6"/>
  <c r="D4" i="6"/>
  <c r="D3" i="6"/>
  <c r="C7" i="6"/>
  <c r="C5" i="6"/>
  <c r="J24" i="3"/>
  <c r="C3" i="6"/>
  <c r="C4" i="6"/>
  <c r="C22" i="1"/>
  <c r="C20" i="1"/>
  <c r="C18" i="1"/>
  <c r="J25" i="3"/>
  <c r="F5" i="2"/>
  <c r="I25" i="3"/>
  <c r="I24" i="3"/>
  <c r="L18" i="3"/>
  <c r="D17" i="3"/>
  <c r="D20" i="3" s="1"/>
  <c r="D15" i="3"/>
  <c r="C18" i="3"/>
  <c r="C17" i="3"/>
  <c r="C15" i="3"/>
  <c r="L17" i="3"/>
  <c r="L16" i="3"/>
  <c r="G20" i="3"/>
  <c r="G18" i="3"/>
  <c r="E5" i="2"/>
  <c r="C11" i="1"/>
  <c r="K24" i="3" l="1"/>
  <c r="G25" i="3"/>
  <c r="C20" i="3"/>
  <c r="G24" i="3" s="1"/>
  <c r="C9" i="1"/>
  <c r="C8" i="1"/>
  <c r="C6" i="1"/>
  <c r="C7" i="1" s="1"/>
  <c r="C5" i="1"/>
  <c r="C2" i="1"/>
</calcChain>
</file>

<file path=xl/sharedStrings.xml><?xml version="1.0" encoding="utf-8"?>
<sst xmlns="http://schemas.openxmlformats.org/spreadsheetml/2006/main" count="85" uniqueCount="81">
  <si>
    <t>Solar Panel Radius (m)</t>
  </si>
  <si>
    <t>Number of Panels</t>
  </si>
  <si>
    <t>Incident Solar Energy (W/m^2)</t>
  </si>
  <si>
    <t>Energy to be Harvested (W)</t>
  </si>
  <si>
    <t>Wasted Energy (Heat) (W)</t>
  </si>
  <si>
    <t>Solar Panels' Area (m^2)</t>
  </si>
  <si>
    <t>Max Solar Panel Operating Temp (K)</t>
  </si>
  <si>
    <t>Stefan-Boltzmann Constant (W/m^2*K^4)</t>
  </si>
  <si>
    <t>Emissivity (backside of panels)</t>
  </si>
  <si>
    <t xml:space="preserve">Conclusion - solar panels only have to have rear coated with surface finish with high IR emissivity </t>
  </si>
  <si>
    <t>Radiated Heat at max operating temps (Stefan-Boltzmann Eq - pg 439 of SMAD)</t>
  </si>
  <si>
    <t>Heat Pipes density (kg/m)</t>
  </si>
  <si>
    <t>Multilayer insulation density (kg/m^2)</t>
  </si>
  <si>
    <t>LEO/Borealis</t>
  </si>
  <si>
    <t>worst</t>
  </si>
  <si>
    <t>best</t>
  </si>
  <si>
    <t>Stationkeeping (dV)[m/s]</t>
  </si>
  <si>
    <t>Stationkeeping (mass)[kg]</t>
  </si>
  <si>
    <t>Notes</t>
  </si>
  <si>
    <t>Constants</t>
  </si>
  <si>
    <t>Spacecraft mass (kg)</t>
  </si>
  <si>
    <t>Isp (s^-1)</t>
  </si>
  <si>
    <t>LEO worst based on max/yr at 600 km altitude</t>
  </si>
  <si>
    <t>LEO best based on avg/yr at 600 km altitude</t>
  </si>
  <si>
    <t>Stationkeeping calculated as annual cost</t>
  </si>
  <si>
    <t>http://en.wikipedia.org/wiki/Delta-v_budget#Stationkeeping</t>
  </si>
  <si>
    <t>For solar panels, only need to account for perturbation as orbit is sun-synchronous</t>
  </si>
  <si>
    <t xml:space="preserve">For transmitter dish and main satellite body, must rotate on central track to allow for pointing at Earth (totally novel design) and must have </t>
  </si>
  <si>
    <t>No conventional attitude control will account for large size</t>
  </si>
  <si>
    <t>Use multiple ion thrusters placed at multiple locations on solar panel rear side</t>
  </si>
  <si>
    <t>To minimize solar radiation torque, place center of solar pressure as close as possible to center of mass (relatively easy)</t>
  </si>
  <si>
    <t>Gravity gradient (N*m)</t>
  </si>
  <si>
    <t>Solar radiation (N*m)</t>
  </si>
  <si>
    <t>Magnetic field (N*m)</t>
  </si>
  <si>
    <t>Aerodynamics (N*m)</t>
  </si>
  <si>
    <t>Ion thruster force (N)</t>
  </si>
  <si>
    <t>Moment arm (avg)(m)</t>
  </si>
  <si>
    <t>Total torque (N*m)</t>
  </si>
  <si>
    <t>See page 366 in SMAD for below calculations</t>
  </si>
  <si>
    <t>In calculating moments of inertia, assume rectangular plate with dimensions 2.66 km x 5.32 km (dimensions to give area of 2 circles each of diameter 3 km)</t>
  </si>
  <si>
    <t>Iz (rotation axis perp to solar panel plane) (kg*m^2)</t>
  </si>
  <si>
    <t>Iy (rotation axis along to solar panel plane)(kg*m^2)</t>
  </si>
  <si>
    <t>best case</t>
  </si>
  <si>
    <t>worst case</t>
  </si>
  <si>
    <t>Number of thrusters needed (worst)</t>
  </si>
  <si>
    <t>Number of thrusters needed (best)</t>
  </si>
  <si>
    <t>Necessary Power (W)</t>
  </si>
  <si>
    <t>Magnetoplasmadynamic (MPD) thrusters? At 25-200 N thrust, place as far out as possible to maximize torque (see pg 692 and 703 of SMAD)</t>
  </si>
  <si>
    <t>Power per MPD thruster (W)</t>
  </si>
  <si>
    <t>Isp for MPD thruster (s)</t>
  </si>
  <si>
    <t>g (m/s^2)</t>
  </si>
  <si>
    <t>Necessary fuel (kg/yr)</t>
  </si>
  <si>
    <t>Area to cover with insulation (m^2)</t>
  </si>
  <si>
    <t>Heat piping length (m)</t>
  </si>
  <si>
    <t>INACCURATE</t>
  </si>
  <si>
    <t>Total satellite main body thermal submass (kg)</t>
  </si>
  <si>
    <t>No batteries (never in shade)</t>
  </si>
  <si>
    <t>No GNC necessary (remains in constant orbit, minor stationkeeping)</t>
  </si>
  <si>
    <t>Will use combination of sensors (sun sensors for solar panels and star trackers for main dish/body) for attitude determination</t>
  </si>
  <si>
    <t>Thermal</t>
  </si>
  <si>
    <t>Mass (kg)</t>
  </si>
  <si>
    <t>Stationkeeping</t>
  </si>
  <si>
    <t>Attitude Control</t>
  </si>
  <si>
    <t>Power</t>
  </si>
  <si>
    <t>GNC</t>
  </si>
  <si>
    <t>TOTAL</t>
  </si>
  <si>
    <t>Power (W)</t>
  </si>
  <si>
    <t>Cost ($)</t>
  </si>
  <si>
    <t>Cost per MPD thruster ($)</t>
  </si>
  <si>
    <t>Solar panels</t>
  </si>
  <si>
    <t>Necessary power (W)</t>
  </si>
  <si>
    <t>Notes:</t>
  </si>
  <si>
    <t xml:space="preserve">Main satellite powered with bled power from solar panels </t>
  </si>
  <si>
    <t>Largest additional contribution to power to transmit to ground is ADACs</t>
  </si>
  <si>
    <t>Thin film mass effic (W/kg)</t>
  </si>
  <si>
    <t>Necessary mass (kg)</t>
  </si>
  <si>
    <t>Degradation (%/5 years)</t>
  </si>
  <si>
    <t>Mass (w/ degradation)(kg)</t>
  </si>
  <si>
    <t>Best way to deal with degradation is to replace panels as frequently as possible</t>
  </si>
  <si>
    <t>(SOLAR PANEL COST NOT INCLUDED HERE)</t>
  </si>
  <si>
    <t>Additional mass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</si>
</sst>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6" formatCode="0.0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11" fontId="0" fillId="0" borderId="0" xfId="0" applyNumberFormat="1"/>
    <xf numFmtId="4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11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/>
    <xf numFmtId="166" fontId="0" fillId="0" borderId="3" xfId="0" applyNumberFormat="1" applyBorder="1"/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6" fontId="0" fillId="0" borderId="12" xfId="0" applyNumberFormat="1" applyBorder="1"/>
    <xf numFmtId="0" fontId="1" fillId="0" borderId="1" xfId="0" applyFont="1" applyBorder="1"/>
    <xf numFmtId="0" fontId="0" fillId="0" borderId="0" xfId="0" applyBorder="1"/>
    <xf numFmtId="0" fontId="0" fillId="0" borderId="5" xfId="0" applyBorder="1"/>
    <xf numFmtId="0" fontId="0" fillId="0" borderId="7" xfId="0" applyFill="1" applyBorder="1"/>
    <xf numFmtId="166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workbookViewId="0">
      <selection activeCell="H21" sqref="H21"/>
    </sheetView>
  </sheetViews>
  <sheetFormatPr defaultRowHeight="15" x14ac:dyDescent="0.25"/>
  <cols>
    <col min="2" max="2" width="42.42578125" customWidth="1"/>
    <col min="3" max="3" width="16.5703125" customWidth="1"/>
  </cols>
  <sheetData>
    <row r="2" spans="2:3" x14ac:dyDescent="0.25">
      <c r="B2" t="s">
        <v>0</v>
      </c>
      <c r="C2">
        <f>1.5*10^3</f>
        <v>1500</v>
      </c>
    </row>
    <row r="3" spans="2:3" x14ac:dyDescent="0.25">
      <c r="B3" t="s">
        <v>1</v>
      </c>
      <c r="C3">
        <v>2</v>
      </c>
    </row>
    <row r="4" spans="2:3" x14ac:dyDescent="0.25">
      <c r="B4" t="s">
        <v>2</v>
      </c>
      <c r="C4">
        <v>1370</v>
      </c>
    </row>
    <row r="5" spans="2:3" x14ac:dyDescent="0.25">
      <c r="B5" t="s">
        <v>3</v>
      </c>
      <c r="C5" s="1">
        <f>10*10^9</f>
        <v>10000000000</v>
      </c>
    </row>
    <row r="6" spans="2:3" x14ac:dyDescent="0.25">
      <c r="B6" t="s">
        <v>5</v>
      </c>
      <c r="C6" s="1">
        <f>C3*PI()*C2^2</f>
        <v>14137166.941154068</v>
      </c>
    </row>
    <row r="7" spans="2:3" x14ac:dyDescent="0.25">
      <c r="B7" t="s">
        <v>4</v>
      </c>
      <c r="C7" s="1">
        <f>C6*C4-C5</f>
        <v>9367918709.381073</v>
      </c>
    </row>
    <row r="8" spans="2:3" x14ac:dyDescent="0.25">
      <c r="B8" t="s">
        <v>6</v>
      </c>
      <c r="C8">
        <f>110+273</f>
        <v>383</v>
      </c>
    </row>
    <row r="9" spans="2:3" x14ac:dyDescent="0.25">
      <c r="B9" t="s">
        <v>7</v>
      </c>
      <c r="C9">
        <f>5.67051*10^-8</f>
        <v>5.6705100000000003E-8</v>
      </c>
    </row>
    <row r="10" spans="2:3" x14ac:dyDescent="0.25">
      <c r="B10" t="s">
        <v>8</v>
      </c>
      <c r="C10">
        <v>0.8</v>
      </c>
    </row>
    <row r="11" spans="2:3" ht="29.25" customHeight="1" x14ac:dyDescent="0.25">
      <c r="B11" s="2" t="s">
        <v>10</v>
      </c>
      <c r="C11" s="1">
        <f>C9*C10*C6*C8^4</f>
        <v>13799698248.64887</v>
      </c>
    </row>
    <row r="13" spans="2:3" x14ac:dyDescent="0.25">
      <c r="B13" t="s">
        <v>9</v>
      </c>
    </row>
    <row r="17" spans="2:5" x14ac:dyDescent="0.25">
      <c r="B17" t="s">
        <v>12</v>
      </c>
      <c r="C17">
        <v>0.73</v>
      </c>
    </row>
    <row r="18" spans="2:5" x14ac:dyDescent="0.25">
      <c r="B18" t="s">
        <v>52</v>
      </c>
      <c r="C18">
        <f>6*10*10</f>
        <v>600</v>
      </c>
      <c r="E18" t="s">
        <v>54</v>
      </c>
    </row>
    <row r="19" spans="2:5" x14ac:dyDescent="0.25">
      <c r="B19" t="s">
        <v>11</v>
      </c>
      <c r="C19">
        <v>0.15</v>
      </c>
    </row>
    <row r="20" spans="2:5" x14ac:dyDescent="0.25">
      <c r="B20" t="s">
        <v>53</v>
      </c>
      <c r="C20">
        <f>50</f>
        <v>50</v>
      </c>
      <c r="E20" t="s">
        <v>54</v>
      </c>
    </row>
    <row r="22" spans="2:5" x14ac:dyDescent="0.25">
      <c r="B22" t="s">
        <v>55</v>
      </c>
      <c r="C22">
        <f>C17*C18+C19*C20</f>
        <v>445.5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8"/>
  <sheetViews>
    <sheetView workbookViewId="0">
      <selection activeCell="F6" sqref="F6"/>
    </sheetView>
  </sheetViews>
  <sheetFormatPr defaultRowHeight="15" x14ac:dyDescent="0.25"/>
  <cols>
    <col min="9" max="9" width="32.85546875" customWidth="1"/>
    <col min="10" max="10" width="19.85546875" customWidth="1"/>
    <col min="11" max="11" width="20" customWidth="1"/>
  </cols>
  <sheetData>
    <row r="2" spans="2:11" x14ac:dyDescent="0.25">
      <c r="C2" s="3"/>
      <c r="D2" s="3"/>
      <c r="E2" s="11" t="s">
        <v>13</v>
      </c>
      <c r="F2" s="11"/>
    </row>
    <row r="3" spans="2:11" x14ac:dyDescent="0.25">
      <c r="C3" s="3"/>
      <c r="D3" s="3"/>
      <c r="E3" s="3" t="s">
        <v>14</v>
      </c>
      <c r="F3" s="3" t="s">
        <v>15</v>
      </c>
    </row>
    <row r="4" spans="2:11" x14ac:dyDescent="0.25">
      <c r="B4" t="s">
        <v>16</v>
      </c>
      <c r="E4">
        <v>25</v>
      </c>
      <c r="F4">
        <v>5</v>
      </c>
    </row>
    <row r="5" spans="2:11" x14ac:dyDescent="0.25">
      <c r="B5" t="s">
        <v>17</v>
      </c>
      <c r="E5">
        <f t="shared" ref="E5" si="0">$K$10*(EXP(E4/($K$11*9.8))-1)</f>
        <v>51237.947839233297</v>
      </c>
      <c r="F5">
        <f>$K$10*(EXP(F4/($K$11*9.8))-1)</f>
        <v>10212.76349380873</v>
      </c>
    </row>
    <row r="9" spans="2:11" x14ac:dyDescent="0.25">
      <c r="B9" s="4" t="s">
        <v>18</v>
      </c>
      <c r="J9" s="4" t="s">
        <v>19</v>
      </c>
    </row>
    <row r="10" spans="2:11" x14ac:dyDescent="0.25">
      <c r="B10" t="s">
        <v>22</v>
      </c>
      <c r="J10" t="s">
        <v>20</v>
      </c>
      <c r="K10">
        <v>6000000</v>
      </c>
    </row>
    <row r="11" spans="2:11" x14ac:dyDescent="0.25">
      <c r="B11" t="s">
        <v>23</v>
      </c>
      <c r="J11" t="s">
        <v>21</v>
      </c>
      <c r="K11">
        <v>300</v>
      </c>
    </row>
    <row r="12" spans="2:11" x14ac:dyDescent="0.25">
      <c r="B12" t="s">
        <v>24</v>
      </c>
    </row>
    <row r="13" spans="2:11" x14ac:dyDescent="0.25">
      <c r="B13" t="s">
        <v>25</v>
      </c>
    </row>
    <row r="17" spans="10:11" x14ac:dyDescent="0.25">
      <c r="J17" s="5"/>
      <c r="K17" s="6"/>
    </row>
    <row r="18" spans="10:11" x14ac:dyDescent="0.25">
      <c r="J18" s="5"/>
    </row>
  </sheetData>
  <mergeCells count="1">
    <mergeCell ref="E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5"/>
  <sheetViews>
    <sheetView topLeftCell="C2" workbookViewId="0">
      <selection activeCell="I25" sqref="I25"/>
    </sheetView>
  </sheetViews>
  <sheetFormatPr defaultRowHeight="15" x14ac:dyDescent="0.25"/>
  <cols>
    <col min="2" max="2" width="23" customWidth="1"/>
    <col min="3" max="3" width="11.85546875" customWidth="1"/>
    <col min="4" max="4" width="11.7109375" customWidth="1"/>
    <col min="6" max="6" width="33.5703125" customWidth="1"/>
    <col min="9" max="9" width="19.7109375" customWidth="1"/>
    <col min="10" max="10" width="21" customWidth="1"/>
    <col min="11" max="11" width="47.7109375" customWidth="1"/>
    <col min="12" max="12" width="12" bestFit="1" customWidth="1"/>
  </cols>
  <sheetData>
    <row r="2" spans="2:12" x14ac:dyDescent="0.25">
      <c r="B2" t="s">
        <v>26</v>
      </c>
    </row>
    <row r="3" spans="2:12" x14ac:dyDescent="0.25">
      <c r="B3" t="s">
        <v>27</v>
      </c>
    </row>
    <row r="4" spans="2:12" x14ac:dyDescent="0.25">
      <c r="B4" t="s">
        <v>28</v>
      </c>
    </row>
    <row r="5" spans="2:12" x14ac:dyDescent="0.25">
      <c r="B5" t="s">
        <v>29</v>
      </c>
    </row>
    <row r="6" spans="2:12" x14ac:dyDescent="0.25">
      <c r="B6" t="s">
        <v>30</v>
      </c>
    </row>
    <row r="7" spans="2:12" x14ac:dyDescent="0.25">
      <c r="B7" t="s">
        <v>39</v>
      </c>
    </row>
    <row r="8" spans="2:12" x14ac:dyDescent="0.25">
      <c r="B8" t="s">
        <v>58</v>
      </c>
    </row>
    <row r="10" spans="2:12" x14ac:dyDescent="0.25">
      <c r="B10" t="s">
        <v>47</v>
      </c>
    </row>
    <row r="12" spans="2:12" x14ac:dyDescent="0.25">
      <c r="B12" t="s">
        <v>38</v>
      </c>
    </row>
    <row r="14" spans="2:12" x14ac:dyDescent="0.25">
      <c r="C14" t="s">
        <v>43</v>
      </c>
      <c r="D14" t="s">
        <v>42</v>
      </c>
    </row>
    <row r="15" spans="2:12" x14ac:dyDescent="0.25">
      <c r="B15" t="s">
        <v>31</v>
      </c>
      <c r="C15">
        <f>3*3.986*10^14*(L16-L17)/(2*7000000^3)</f>
        <v>616691.14285714284</v>
      </c>
      <c r="D15">
        <f>3*3.986*10^14*(L16-L17)/(2*14000000^3)</f>
        <v>77086.392857142855</v>
      </c>
      <c r="K15" s="4" t="s">
        <v>19</v>
      </c>
    </row>
    <row r="16" spans="2:12" x14ac:dyDescent="0.25">
      <c r="B16" t="s">
        <v>32</v>
      </c>
      <c r="C16">
        <v>0</v>
      </c>
      <c r="D16">
        <v>0</v>
      </c>
      <c r="K16" t="s">
        <v>40</v>
      </c>
      <c r="L16">
        <f>600000*(2660^2+5320^2)/12</f>
        <v>1768900000000</v>
      </c>
    </row>
    <row r="17" spans="2:12" x14ac:dyDescent="0.25">
      <c r="B17" t="s">
        <v>33</v>
      </c>
      <c r="C17">
        <f>10000*2*7.96*10^15/(7000000^3)</f>
        <v>0.46413994169096212</v>
      </c>
      <c r="D17">
        <f>10000*2*7.96*10^15/(14000000^3)</f>
        <v>5.8017492711370265E-2</v>
      </c>
      <c r="F17" t="s">
        <v>35</v>
      </c>
      <c r="G17">
        <v>100</v>
      </c>
      <c r="K17" t="s">
        <v>41</v>
      </c>
      <c r="L17">
        <f>600000*5320^2/12</f>
        <v>1415120000000</v>
      </c>
    </row>
    <row r="18" spans="2:12" x14ac:dyDescent="0.25">
      <c r="B18" t="s">
        <v>34</v>
      </c>
      <c r="C18">
        <f>0.5*10^-13*2*2*PI()*1500^2*8000^2*1500</f>
        <v>135716.80263507908</v>
      </c>
      <c r="D18">
        <v>0</v>
      </c>
      <c r="F18" t="s">
        <v>36</v>
      </c>
      <c r="G18">
        <f>3*1000/2</f>
        <v>1500</v>
      </c>
      <c r="K18" t="s">
        <v>48</v>
      </c>
      <c r="L18">
        <f>10^6</f>
        <v>1000000</v>
      </c>
    </row>
    <row r="19" spans="2:12" x14ac:dyDescent="0.25">
      <c r="K19" t="s">
        <v>49</v>
      </c>
      <c r="L19">
        <v>3000</v>
      </c>
    </row>
    <row r="20" spans="2:12" x14ac:dyDescent="0.25">
      <c r="B20" t="s">
        <v>37</v>
      </c>
      <c r="C20">
        <f>SUM(C15:C18)</f>
        <v>752408.40963216359</v>
      </c>
      <c r="D20">
        <f>SUM(D15:D18)</f>
        <v>77086.450874635571</v>
      </c>
      <c r="F20" t="s">
        <v>37</v>
      </c>
      <c r="G20">
        <f>G18*G17</f>
        <v>150000</v>
      </c>
      <c r="K20" t="s">
        <v>50</v>
      </c>
      <c r="L20">
        <v>9.8000000000000007</v>
      </c>
    </row>
    <row r="21" spans="2:12" x14ac:dyDescent="0.25">
      <c r="K21" t="s">
        <v>68</v>
      </c>
      <c r="L21" s="5">
        <f>10*10^6</f>
        <v>10000000</v>
      </c>
    </row>
    <row r="23" spans="2:12" x14ac:dyDescent="0.25">
      <c r="I23" t="s">
        <v>46</v>
      </c>
      <c r="J23" t="s">
        <v>51</v>
      </c>
      <c r="K23" t="s">
        <v>67</v>
      </c>
    </row>
    <row r="24" spans="2:12" x14ac:dyDescent="0.25">
      <c r="F24" t="s">
        <v>44</v>
      </c>
      <c r="G24">
        <f>C20/G20</f>
        <v>5.0160560642144238</v>
      </c>
      <c r="I24" s="5">
        <f>G24*L18</f>
        <v>5016056.0642144242</v>
      </c>
      <c r="J24">
        <f>(C20/G18)*3600*24*365/(L19*L20)</f>
        <v>538048.78925532673</v>
      </c>
      <c r="K24" s="5">
        <f>G24*L21</f>
        <v>50160560.64214424</v>
      </c>
    </row>
    <row r="25" spans="2:12" x14ac:dyDescent="0.25">
      <c r="F25" t="s">
        <v>45</v>
      </c>
      <c r="G25">
        <f>D20/G20</f>
        <v>0.51390967249757047</v>
      </c>
      <c r="I25" s="5">
        <f>G25*L18</f>
        <v>513909.67249757046</v>
      </c>
      <c r="J25">
        <f>(D20/G18)*3600*24*365/(L19*L20)</f>
        <v>55124.678339739381</v>
      </c>
      <c r="K25" s="5">
        <f>G25*L21</f>
        <v>5139096.7249757051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5"/>
  <sheetViews>
    <sheetView tabSelected="1" workbookViewId="0">
      <selection activeCell="E20" sqref="E20"/>
    </sheetView>
  </sheetViews>
  <sheetFormatPr defaultRowHeight="15" x14ac:dyDescent="0.25"/>
  <cols>
    <col min="2" max="2" width="26.7109375" customWidth="1"/>
    <col min="3" max="3" width="23" bestFit="1" customWidth="1"/>
  </cols>
  <sheetData>
    <row r="1" spans="2:3" ht="15.75" thickBot="1" x14ac:dyDescent="0.3"/>
    <row r="2" spans="2:3" ht="16.5" thickTop="1" thickBot="1" x14ac:dyDescent="0.3">
      <c r="B2" s="21" t="s">
        <v>69</v>
      </c>
      <c r="C2" s="18"/>
    </row>
    <row r="3" spans="2:3" ht="15.75" thickTop="1" x14ac:dyDescent="0.25">
      <c r="B3" s="19" t="s">
        <v>70</v>
      </c>
      <c r="C3" s="20">
        <f>10*10^9+AttitudeControl!I25</f>
        <v>10000513909.672497</v>
      </c>
    </row>
    <row r="4" spans="2:3" x14ac:dyDescent="0.25">
      <c r="B4" s="15" t="s">
        <v>74</v>
      </c>
      <c r="C4" s="14">
        <f>16.8*10^3</f>
        <v>16800</v>
      </c>
    </row>
    <row r="5" spans="2:3" x14ac:dyDescent="0.25">
      <c r="B5" s="15" t="s">
        <v>75</v>
      </c>
      <c r="C5" s="13">
        <f>C3/C4</f>
        <v>595268.68509955343</v>
      </c>
    </row>
    <row r="6" spans="2:3" ht="15.75" thickBot="1" x14ac:dyDescent="0.3">
      <c r="B6" s="16" t="s">
        <v>76</v>
      </c>
      <c r="C6" s="17">
        <v>0.15</v>
      </c>
    </row>
    <row r="7" spans="2:3" ht="15.75" thickTop="1" x14ac:dyDescent="0.25">
      <c r="B7" s="23" t="s">
        <v>77</v>
      </c>
      <c r="C7" s="12">
        <f>C5/(1-C6)</f>
        <v>700316.10011712171</v>
      </c>
    </row>
    <row r="8" spans="2:3" ht="15.75" thickBot="1" x14ac:dyDescent="0.3">
      <c r="B8" s="24" t="s">
        <v>80</v>
      </c>
      <c r="C8" s="25">
        <f>C7-C5</f>
        <v>105047.41501756827</v>
      </c>
    </row>
    <row r="9" spans="2:3" ht="15.75" thickTop="1" x14ac:dyDescent="0.25">
      <c r="B9" s="22"/>
      <c r="C9" s="22"/>
    </row>
    <row r="10" spans="2:3" ht="14.25" customHeight="1" x14ac:dyDescent="0.25"/>
    <row r="11" spans="2:3" x14ac:dyDescent="0.25">
      <c r="B11" s="4" t="s">
        <v>71</v>
      </c>
    </row>
    <row r="12" spans="2:3" x14ac:dyDescent="0.25">
      <c r="B12" t="s">
        <v>72</v>
      </c>
    </row>
    <row r="13" spans="2:3" x14ac:dyDescent="0.25">
      <c r="B13" t="s">
        <v>56</v>
      </c>
    </row>
    <row r="14" spans="2:3" x14ac:dyDescent="0.25">
      <c r="B14" t="s">
        <v>73</v>
      </c>
    </row>
    <row r="15" spans="2:3" x14ac:dyDescent="0.25">
      <c r="B15" t="s">
        <v>78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3" sqref="B3"/>
    </sheetView>
  </sheetViews>
  <sheetFormatPr defaultRowHeight="15" x14ac:dyDescent="0.25"/>
  <sheetData>
    <row r="2" spans="2:2" x14ac:dyDescent="0.25">
      <c r="B2" t="s">
        <v>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F11" sqref="F11"/>
    </sheetView>
  </sheetViews>
  <sheetFormatPr defaultRowHeight="15" x14ac:dyDescent="0.25"/>
  <cols>
    <col min="2" max="2" width="18.5703125" customWidth="1"/>
    <col min="3" max="3" width="14" customWidth="1"/>
    <col min="4" max="4" width="15.7109375" customWidth="1"/>
    <col min="5" max="5" width="12.28515625" customWidth="1"/>
  </cols>
  <sheetData>
    <row r="2" spans="2:6" x14ac:dyDescent="0.25">
      <c r="B2" s="4"/>
      <c r="C2" s="7" t="s">
        <v>60</v>
      </c>
      <c r="D2" s="7" t="s">
        <v>66</v>
      </c>
      <c r="E2" s="7" t="s">
        <v>67</v>
      </c>
    </row>
    <row r="3" spans="2:6" x14ac:dyDescent="0.25">
      <c r="B3" s="4" t="s">
        <v>59</v>
      </c>
      <c r="C3" s="8">
        <f>Thermal!C22</f>
        <v>445.5</v>
      </c>
      <c r="D3" s="8">
        <f>0</f>
        <v>0</v>
      </c>
      <c r="E3" s="9">
        <f>500*10^3+500*10^3</f>
        <v>1000000</v>
      </c>
    </row>
    <row r="4" spans="2:6" x14ac:dyDescent="0.25">
      <c r="B4" s="4" t="s">
        <v>61</v>
      </c>
      <c r="C4" s="8">
        <f>Stationkeeping!F5</f>
        <v>10212.76349380873</v>
      </c>
      <c r="D4" s="8">
        <f>0</f>
        <v>0</v>
      </c>
      <c r="E4" s="9">
        <f>10^6</f>
        <v>1000000</v>
      </c>
    </row>
    <row r="5" spans="2:6" x14ac:dyDescent="0.25">
      <c r="B5" s="4" t="s">
        <v>62</v>
      </c>
      <c r="C5" s="8">
        <f>AttitudeControl!J25</f>
        <v>55124.678339739381</v>
      </c>
      <c r="D5" s="9">
        <f>AttitudeControl!I24</f>
        <v>5016056.0642144242</v>
      </c>
      <c r="E5" s="9">
        <f>AttitudeControl!K24</f>
        <v>50160560.64214424</v>
      </c>
    </row>
    <row r="6" spans="2:6" x14ac:dyDescent="0.25">
      <c r="B6" s="4" t="s">
        <v>63</v>
      </c>
      <c r="C6" s="8">
        <f>Power!C7</f>
        <v>700316.10011712171</v>
      </c>
      <c r="D6" s="8">
        <f>0</f>
        <v>0</v>
      </c>
      <c r="E6" s="9">
        <v>0</v>
      </c>
      <c r="F6" t="s">
        <v>79</v>
      </c>
    </row>
    <row r="7" spans="2:6" x14ac:dyDescent="0.25">
      <c r="B7" s="4" t="s">
        <v>64</v>
      </c>
      <c r="C7" s="8">
        <f>0</f>
        <v>0</v>
      </c>
      <c r="D7" s="8">
        <f>0</f>
        <v>0</v>
      </c>
      <c r="E7" s="9">
        <v>0</v>
      </c>
    </row>
    <row r="8" spans="2:6" x14ac:dyDescent="0.25">
      <c r="C8" s="8"/>
      <c r="D8" s="8"/>
      <c r="E8" s="9"/>
    </row>
    <row r="9" spans="2:6" x14ac:dyDescent="0.25">
      <c r="B9" s="4" t="s">
        <v>65</v>
      </c>
      <c r="C9" s="10">
        <f>SUM(C3:C7)</f>
        <v>766099.04195066984</v>
      </c>
      <c r="D9" s="10">
        <f>SUM(D3:D7)</f>
        <v>5016056.0642144242</v>
      </c>
      <c r="E9" s="10">
        <f>SUM(E3:E7)</f>
        <v>52160560.64214424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Thermal</vt:lpstr>
      <vt:lpstr>Stationkeeping</vt:lpstr>
      <vt:lpstr>AttitudeControl</vt:lpstr>
      <vt:lpstr>Power</vt:lpstr>
      <vt:lpstr>GNC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Punnoose</dc:creator>
  <cp:lastModifiedBy>Andrew Punnoose</cp:lastModifiedBy>
  <dcterms:created xsi:type="dcterms:W3CDTF">2011-12-01T08:05:07Z</dcterms:created>
  <dcterms:modified xsi:type="dcterms:W3CDTF">2011-12-08T07:19:04Z</dcterms:modified>
</cp:coreProperties>
</file>