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5596" windowHeight="16056"/>
  </bookViews>
  <sheets>
    <sheet name="ReadMe" sheetId="17" r:id="rId1"/>
    <sheet name="F2.1" sheetId="11" r:id="rId2"/>
    <sheet name="F2.2" sheetId="8" r:id="rId3"/>
    <sheet name="F2.3" sheetId="16" r:id="rId4"/>
    <sheet name="T2.1" sheetId="10" r:id="rId5"/>
    <sheet name="T2.2" sheetId="12" r:id="rId6"/>
    <sheet name="DataF2.2" sheetId="7" r:id="rId7"/>
    <sheet name="DataF2.3" sheetId="15" r:id="rId8"/>
    <sheet name="DataFR1" sheetId="3" r:id="rId9"/>
    <sheet name="DataFR2" sheetId="6" r:id="rId10"/>
    <sheet name="DataFR3" sheetId="14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10000" localSheetId="10">[1]Регион!#REF!</definedName>
    <definedName name="_10000" localSheetId="4">[1]Регион!#REF!</definedName>
    <definedName name="_10000" localSheetId="5">[1]Регион!#REF!</definedName>
    <definedName name="_10000">[1]Регион!#REF!</definedName>
    <definedName name="_1080" localSheetId="10">[2]Регион!#REF!</definedName>
    <definedName name="_1080" localSheetId="4">[2]Регион!#REF!</definedName>
    <definedName name="_1080" localSheetId="5">[2]Регион!#REF!</definedName>
    <definedName name="_1080">[2]Регион!#REF!</definedName>
    <definedName name="_1090" localSheetId="10">[2]Регион!#REF!</definedName>
    <definedName name="_1090" localSheetId="4">[2]Регион!#REF!</definedName>
    <definedName name="_1090" localSheetId="5">[2]Регион!#REF!</definedName>
    <definedName name="_1090">[2]Регион!#REF!</definedName>
    <definedName name="_1100" localSheetId="10">[2]Регион!#REF!</definedName>
    <definedName name="_1100" localSheetId="4">[2]Регион!#REF!</definedName>
    <definedName name="_1100" localSheetId="5">[2]Регион!#REF!</definedName>
    <definedName name="_1100">[2]Регион!#REF!</definedName>
    <definedName name="_1110" localSheetId="10">[2]Регион!#REF!</definedName>
    <definedName name="_1110" localSheetId="4">[2]Регион!#REF!</definedName>
    <definedName name="_1110" localSheetId="5">[2]Регион!#REF!</definedName>
    <definedName name="_1110">[2]Регион!#REF!</definedName>
    <definedName name="_2" localSheetId="10">[1]Регион!#REF!</definedName>
    <definedName name="_2" localSheetId="4">[1]Регион!#REF!</definedName>
    <definedName name="_2" localSheetId="5">[1]Регион!#REF!</definedName>
    <definedName name="_2">[1]Регион!#REF!</definedName>
    <definedName name="_2010" localSheetId="10">#REF!</definedName>
    <definedName name="_2010" localSheetId="0">#REF!</definedName>
    <definedName name="_2010" localSheetId="4">#REF!</definedName>
    <definedName name="_2010" localSheetId="5">#REF!</definedName>
    <definedName name="_2010">#REF!</definedName>
    <definedName name="_2080" localSheetId="10">[2]Регион!#REF!</definedName>
    <definedName name="_2080" localSheetId="0">[2]Регион!#REF!</definedName>
    <definedName name="_2080" localSheetId="4">[2]Регион!#REF!</definedName>
    <definedName name="_2080" localSheetId="5">[2]Регион!#REF!</definedName>
    <definedName name="_2080">[2]Регион!#REF!</definedName>
    <definedName name="_2090" localSheetId="10">[2]Регион!#REF!</definedName>
    <definedName name="_2090" localSheetId="4">[2]Регион!#REF!</definedName>
    <definedName name="_2090" localSheetId="5">[2]Регион!#REF!</definedName>
    <definedName name="_2090">[2]Регион!#REF!</definedName>
    <definedName name="_2100" localSheetId="10">[2]Регион!#REF!</definedName>
    <definedName name="_2100" localSheetId="4">[2]Регион!#REF!</definedName>
    <definedName name="_2100" localSheetId="5">[2]Регион!#REF!</definedName>
    <definedName name="_2100">[2]Регион!#REF!</definedName>
    <definedName name="_2110" localSheetId="10">[2]Регион!#REF!</definedName>
    <definedName name="_2110" localSheetId="4">[2]Регион!#REF!</definedName>
    <definedName name="_2110" localSheetId="5">[2]Регион!#REF!</definedName>
    <definedName name="_2110">[2]Регион!#REF!</definedName>
    <definedName name="_3080" localSheetId="10">[2]Регион!#REF!</definedName>
    <definedName name="_3080" localSheetId="4">[2]Регион!#REF!</definedName>
    <definedName name="_3080" localSheetId="5">[2]Регион!#REF!</definedName>
    <definedName name="_3080">[2]Регион!#REF!</definedName>
    <definedName name="_3090" localSheetId="10">[2]Регион!#REF!</definedName>
    <definedName name="_3090" localSheetId="4">[2]Регион!#REF!</definedName>
    <definedName name="_3090" localSheetId="5">[2]Регион!#REF!</definedName>
    <definedName name="_3090">[2]Регион!#REF!</definedName>
    <definedName name="_3100" localSheetId="10">[2]Регион!#REF!</definedName>
    <definedName name="_3100" localSheetId="4">[2]Регион!#REF!</definedName>
    <definedName name="_3100" localSheetId="5">[2]Регион!#REF!</definedName>
    <definedName name="_3100">[2]Регион!#REF!</definedName>
    <definedName name="_3110" localSheetId="10">[2]Регион!#REF!</definedName>
    <definedName name="_3110" localSheetId="4">[2]Регион!#REF!</definedName>
    <definedName name="_3110" localSheetId="5">[2]Регион!#REF!</definedName>
    <definedName name="_3110">[2]Регион!#REF!</definedName>
    <definedName name="_4080" localSheetId="10">[2]Регион!#REF!</definedName>
    <definedName name="_4080" localSheetId="4">[2]Регион!#REF!</definedName>
    <definedName name="_4080" localSheetId="5">[2]Регион!#REF!</definedName>
    <definedName name="_4080">[2]Регион!#REF!</definedName>
    <definedName name="_4090" localSheetId="10">[2]Регион!#REF!</definedName>
    <definedName name="_4090" localSheetId="4">[2]Регион!#REF!</definedName>
    <definedName name="_4090" localSheetId="5">[2]Регион!#REF!</definedName>
    <definedName name="_4090">[2]Регион!#REF!</definedName>
    <definedName name="_4100" localSheetId="10">[2]Регион!#REF!</definedName>
    <definedName name="_4100" localSheetId="4">[2]Регион!#REF!</definedName>
    <definedName name="_4100" localSheetId="5">[2]Регион!#REF!</definedName>
    <definedName name="_4100">[2]Регион!#REF!</definedName>
    <definedName name="_4110" localSheetId="10">[2]Регион!#REF!</definedName>
    <definedName name="_4110" localSheetId="4">[2]Регион!#REF!</definedName>
    <definedName name="_4110" localSheetId="5">[2]Регион!#REF!</definedName>
    <definedName name="_4110">[2]Регион!#REF!</definedName>
    <definedName name="_5080" localSheetId="10">[2]Регион!#REF!</definedName>
    <definedName name="_5080" localSheetId="4">[2]Регион!#REF!</definedName>
    <definedName name="_5080" localSheetId="5">[2]Регион!#REF!</definedName>
    <definedName name="_5080">[2]Регион!#REF!</definedName>
    <definedName name="_5090" localSheetId="10">[2]Регион!#REF!</definedName>
    <definedName name="_5090" localSheetId="4">[2]Регион!#REF!</definedName>
    <definedName name="_5090" localSheetId="5">[2]Регион!#REF!</definedName>
    <definedName name="_5090">[2]Регион!#REF!</definedName>
    <definedName name="_5100" localSheetId="10">[2]Регион!#REF!</definedName>
    <definedName name="_5100" localSheetId="4">[2]Регион!#REF!</definedName>
    <definedName name="_5100" localSheetId="5">[2]Регион!#REF!</definedName>
    <definedName name="_5100">[2]Регион!#REF!</definedName>
    <definedName name="_5110" localSheetId="10">[2]Регион!#REF!</definedName>
    <definedName name="_5110" localSheetId="4">[2]Регион!#REF!</definedName>
    <definedName name="_5110" localSheetId="5">[2]Регион!#REF!</definedName>
    <definedName name="_5110">[2]Регион!#REF!</definedName>
    <definedName name="_6080" localSheetId="10">[2]Регион!#REF!</definedName>
    <definedName name="_6080" localSheetId="4">[2]Регион!#REF!</definedName>
    <definedName name="_6080" localSheetId="5">[2]Регион!#REF!</definedName>
    <definedName name="_6080">[2]Регион!#REF!</definedName>
    <definedName name="_6090" localSheetId="10">[2]Регион!#REF!</definedName>
    <definedName name="_6090" localSheetId="4">[2]Регион!#REF!</definedName>
    <definedName name="_6090" localSheetId="5">[2]Регион!#REF!</definedName>
    <definedName name="_6090">[2]Регион!#REF!</definedName>
    <definedName name="_6100" localSheetId="10">[2]Регион!#REF!</definedName>
    <definedName name="_6100" localSheetId="4">[2]Регион!#REF!</definedName>
    <definedName name="_6100" localSheetId="5">[2]Регион!#REF!</definedName>
    <definedName name="_6100">[2]Регион!#REF!</definedName>
    <definedName name="_6110" localSheetId="10">[2]Регион!#REF!</definedName>
    <definedName name="_6110" localSheetId="4">[2]Регион!#REF!</definedName>
    <definedName name="_6110" localSheetId="5">[2]Регион!#REF!</definedName>
    <definedName name="_6110">[2]Регион!#REF!</definedName>
    <definedName name="_7031_1" localSheetId="10">[2]Регион!#REF!</definedName>
    <definedName name="_7031_1" localSheetId="4">[2]Регион!#REF!</definedName>
    <definedName name="_7031_1" localSheetId="5">[2]Регион!#REF!</definedName>
    <definedName name="_7031_1">[2]Регион!#REF!</definedName>
    <definedName name="_7031_2" localSheetId="10">[2]Регион!#REF!</definedName>
    <definedName name="_7031_2" localSheetId="4">[2]Регион!#REF!</definedName>
    <definedName name="_7031_2" localSheetId="5">[2]Регион!#REF!</definedName>
    <definedName name="_7031_2">[2]Регион!#REF!</definedName>
    <definedName name="_7032_1" localSheetId="10">[2]Регион!#REF!</definedName>
    <definedName name="_7032_1" localSheetId="4">[2]Регион!#REF!</definedName>
    <definedName name="_7032_1" localSheetId="5">[2]Регион!#REF!</definedName>
    <definedName name="_7032_1">[2]Регион!#REF!</definedName>
    <definedName name="_7032_2" localSheetId="10">[2]Регион!#REF!</definedName>
    <definedName name="_7032_2" localSheetId="4">[2]Регион!#REF!</definedName>
    <definedName name="_7032_2" localSheetId="5">[2]Регион!#REF!</definedName>
    <definedName name="_7032_2">[2]Регион!#REF!</definedName>
    <definedName name="_7033_1" localSheetId="10">[2]Регион!#REF!</definedName>
    <definedName name="_7033_1" localSheetId="4">[2]Регион!#REF!</definedName>
    <definedName name="_7033_1" localSheetId="5">[2]Регион!#REF!</definedName>
    <definedName name="_7033_1">[2]Регион!#REF!</definedName>
    <definedName name="_7033_2" localSheetId="10">[2]Регион!#REF!</definedName>
    <definedName name="_7033_2" localSheetId="4">[2]Регион!#REF!</definedName>
    <definedName name="_7033_2" localSheetId="5">[2]Регион!#REF!</definedName>
    <definedName name="_7033_2">[2]Регион!#REF!</definedName>
    <definedName name="_7034_1" localSheetId="10">[2]Регион!#REF!</definedName>
    <definedName name="_7034_1" localSheetId="4">[2]Регион!#REF!</definedName>
    <definedName name="_7034_1" localSheetId="5">[2]Регион!#REF!</definedName>
    <definedName name="_7034_1">[2]Регион!#REF!</definedName>
    <definedName name="_7034_2" localSheetId="10">[2]Регион!#REF!</definedName>
    <definedName name="_7034_2" localSheetId="4">[2]Регион!#REF!</definedName>
    <definedName name="_7034_2" localSheetId="5">[2]Регион!#REF!</definedName>
    <definedName name="_7034_2">[2]Регион!#REF!</definedName>
    <definedName name="column_head" localSheetId="10">#REF!</definedName>
    <definedName name="column_head" localSheetId="0">#REF!</definedName>
    <definedName name="column_head" localSheetId="4">#REF!</definedName>
    <definedName name="column_head" localSheetId="5">#REF!</definedName>
    <definedName name="column_head">#REF!</definedName>
    <definedName name="column_headings" localSheetId="10">#REF!</definedName>
    <definedName name="column_headings">#REF!</definedName>
    <definedName name="column_numbers" localSheetId="10">#REF!</definedName>
    <definedName name="column_numbers">#REF!</definedName>
    <definedName name="data" localSheetId="10">#REF!</definedName>
    <definedName name="data">#REF!</definedName>
    <definedName name="data2" localSheetId="10">#REF!</definedName>
    <definedName name="data2" localSheetId="4">#REF!</definedName>
    <definedName name="data2" localSheetId="5">#REF!</definedName>
    <definedName name="data2">#REF!</definedName>
    <definedName name="Diag" localSheetId="10">#REF!,#REF!</definedName>
    <definedName name="Diag" localSheetId="0">#REF!,#REF!</definedName>
    <definedName name="Diag" localSheetId="4">#REF!,#REF!</definedName>
    <definedName name="Diag" localSheetId="5">#REF!,#REF!</definedName>
    <definedName name="Diag">#REF!,#REF!</definedName>
    <definedName name="ea_flux" localSheetId="10">#REF!</definedName>
    <definedName name="ea_flux" localSheetId="0">#REF!</definedName>
    <definedName name="ea_flux" localSheetId="4">#REF!</definedName>
    <definedName name="ea_flux" localSheetId="5">#REF!</definedName>
    <definedName name="ea_flux">#REF!</definedName>
    <definedName name="Equilibre" localSheetId="10">#REF!</definedName>
    <definedName name="Equilibre" localSheetId="4">#REF!</definedName>
    <definedName name="Equilibre" localSheetId="5">#REF!</definedName>
    <definedName name="Equilibre">#REF!</definedName>
    <definedName name="females">'[3]rba table'!$I$10:$I$49</definedName>
    <definedName name="fig4b" localSheetId="10">#REF!</definedName>
    <definedName name="fig4b" localSheetId="0">#REF!</definedName>
    <definedName name="fig4b" localSheetId="4">#REF!</definedName>
    <definedName name="fig4b" localSheetId="5">#REF!</definedName>
    <definedName name="fig4b">#REF!</definedName>
    <definedName name="fmtr" localSheetId="10">#REF!</definedName>
    <definedName name="fmtr" localSheetId="4">#REF!</definedName>
    <definedName name="fmtr" localSheetId="5">#REF!</definedName>
    <definedName name="fmtr">#REF!</definedName>
    <definedName name="footno" localSheetId="10">#REF!</definedName>
    <definedName name="footno" localSheetId="4">#REF!</definedName>
    <definedName name="footno" localSheetId="5">#REF!</definedName>
    <definedName name="footno">#REF!</definedName>
    <definedName name="footnotes" localSheetId="10">#REF!</definedName>
    <definedName name="footnotes" localSheetId="4">#REF!</definedName>
    <definedName name="footnotes" localSheetId="5">#REF!</definedName>
    <definedName name="footnotes">#REF!</definedName>
    <definedName name="footnotes2" localSheetId="10">#REF!</definedName>
    <definedName name="footnotes2" localSheetId="4">#REF!</definedName>
    <definedName name="footnotes2" localSheetId="5">#REF!</definedName>
    <definedName name="footnotes2">#REF!</definedName>
    <definedName name="GEOG9703" localSheetId="10">#REF!</definedName>
    <definedName name="GEOG9703" localSheetId="4">#REF!</definedName>
    <definedName name="GEOG9703" localSheetId="5">#REF!</definedName>
    <definedName name="GEOG9703">#REF!</definedName>
    <definedName name="HTML_CodePage" hidden="1">1252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'[3]rba table'!$C$10:$C$49</definedName>
    <definedName name="PIB" localSheetId="10">#REF!</definedName>
    <definedName name="PIB" localSheetId="0">#REF!</definedName>
    <definedName name="PIB" localSheetId="4">#REF!</definedName>
    <definedName name="PIB" localSheetId="5">#REF!</definedName>
    <definedName name="PIB">#REF!</definedName>
    <definedName name="Rentflag">IF([4]Comparison!$B$7,"","not ")</definedName>
    <definedName name="ressources" localSheetId="10">#REF!</definedName>
    <definedName name="ressources" localSheetId="0">#REF!</definedName>
    <definedName name="ressources" localSheetId="4">#REF!</definedName>
    <definedName name="ressources" localSheetId="5">#REF!</definedName>
    <definedName name="ressources">#REF!</definedName>
    <definedName name="rpflux" localSheetId="10">#REF!</definedName>
    <definedName name="rpflux" localSheetId="4">#REF!</definedName>
    <definedName name="rpflux" localSheetId="5">#REF!</definedName>
    <definedName name="rpflux">#REF!</definedName>
    <definedName name="rptof" localSheetId="10">#REF!</definedName>
    <definedName name="rptof" localSheetId="4">#REF!</definedName>
    <definedName name="rptof" localSheetId="5">#REF!</definedName>
    <definedName name="rptof">#REF!</definedName>
    <definedName name="rq" localSheetId="10">#REF!</definedName>
    <definedName name="rq" localSheetId="4">#REF!</definedName>
    <definedName name="rq" localSheetId="5">#REF!</definedName>
    <definedName name="rq">#REF!</definedName>
    <definedName name="spanners_level1" localSheetId="10">#REF!</definedName>
    <definedName name="spanners_level1" localSheetId="4">#REF!</definedName>
    <definedName name="spanners_level1" localSheetId="5">#REF!</definedName>
    <definedName name="spanners_level1">#REF!</definedName>
    <definedName name="spanners_level2" localSheetId="10">#REF!</definedName>
    <definedName name="spanners_level2" localSheetId="4">#REF!</definedName>
    <definedName name="spanners_level2" localSheetId="5">#REF!</definedName>
    <definedName name="spanners_level2">#REF!</definedName>
    <definedName name="spanners_level3" localSheetId="10">#REF!</definedName>
    <definedName name="spanners_level3" localSheetId="4">#REF!</definedName>
    <definedName name="spanners_level3" localSheetId="5">#REF!</definedName>
    <definedName name="spanners_level3">#REF!</definedName>
    <definedName name="spanners_level4" localSheetId="10">#REF!</definedName>
    <definedName name="spanners_level4" localSheetId="4">#REF!</definedName>
    <definedName name="spanners_level4" localSheetId="5">#REF!</definedName>
    <definedName name="spanners_level4">#REF!</definedName>
    <definedName name="spanners_level5" localSheetId="10">#REF!</definedName>
    <definedName name="spanners_level5" localSheetId="4">#REF!</definedName>
    <definedName name="spanners_level5" localSheetId="5">#REF!</definedName>
    <definedName name="spanners_level5">#REF!</definedName>
    <definedName name="spanners_levelV" localSheetId="10">#REF!</definedName>
    <definedName name="spanners_levelV" localSheetId="4">#REF!</definedName>
    <definedName name="spanners_levelV" localSheetId="5">#REF!</definedName>
    <definedName name="spanners_levelV">#REF!</definedName>
    <definedName name="spanners_levelX" localSheetId="10">#REF!</definedName>
    <definedName name="spanners_levelX" localSheetId="4">#REF!</definedName>
    <definedName name="spanners_levelX" localSheetId="5">#REF!</definedName>
    <definedName name="spanners_levelX">#REF!</definedName>
    <definedName name="spanners_levelY" localSheetId="10">#REF!</definedName>
    <definedName name="spanners_levelY" localSheetId="4">#REF!</definedName>
    <definedName name="spanners_levelY" localSheetId="5">#REF!</definedName>
    <definedName name="spanners_levelY">#REF!</definedName>
    <definedName name="spanners_levelZ" localSheetId="10">#REF!</definedName>
    <definedName name="spanners_levelZ" localSheetId="4">#REF!</definedName>
    <definedName name="spanners_levelZ" localSheetId="5">#REF!</definedName>
    <definedName name="spanners_levelZ">#REF!</definedName>
    <definedName name="stub_lines" localSheetId="10">#REF!</definedName>
    <definedName name="stub_lines">#REF!</definedName>
    <definedName name="Table_DE.4b__Sources_of_private_wealth_accumulation_in_Germany__1870_2010___Multiplicative_decomposition">[5]TableDE4b!$A$3</definedName>
    <definedName name="temp" localSheetId="10">#REF!</definedName>
    <definedName name="temp" localSheetId="0">#REF!</definedName>
    <definedName name="temp" localSheetId="4">#REF!</definedName>
    <definedName name="temp" localSheetId="5">#REF!</definedName>
    <definedName name="temp">#REF!</definedName>
    <definedName name="test" localSheetId="10">[1]Регион!#REF!</definedName>
    <definedName name="test" localSheetId="0">[1]Регион!#REF!</definedName>
    <definedName name="test" localSheetId="4">[1]Регион!#REF!</definedName>
    <definedName name="test" localSheetId="5">[1]Регион!#REF!</definedName>
    <definedName name="test">[1]Регион!#REF!</definedName>
    <definedName name="titles" localSheetId="10">#REF!</definedName>
    <definedName name="titles" localSheetId="0">#REF!</definedName>
    <definedName name="titles">#REF!</definedName>
    <definedName name="totals" localSheetId="10">#REF!</definedName>
    <definedName name="totals">#REF!</definedName>
    <definedName name="tt" localSheetId="10">#REF!</definedName>
    <definedName name="tt" localSheetId="4">#REF!</definedName>
    <definedName name="tt" localSheetId="5">#REF!</definedName>
    <definedName name="tt">#REF!</definedName>
    <definedName name="xxx" localSheetId="10">#REF!</definedName>
    <definedName name="xxx" localSheetId="4">#REF!</definedName>
    <definedName name="xxx" localSheetId="5">#REF!</definedName>
    <definedName name="xxx">#REF!</definedName>
    <definedName name="Year">[4]Output!$C$4:$C$38</definedName>
    <definedName name="YearLabel">[4]Output!$B$15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4" l="1"/>
  <c r="AG9" i="14"/>
  <c r="AE9" i="14"/>
  <c r="AG4" i="14"/>
  <c r="AG10" i="14"/>
  <c r="AE4" i="14"/>
  <c r="AE10" i="14"/>
  <c r="AC4" i="14"/>
  <c r="AC10" i="14"/>
  <c r="AA4" i="14"/>
  <c r="AA10" i="14"/>
  <c r="Y4" i="14"/>
  <c r="Y10" i="14"/>
  <c r="W4" i="14"/>
  <c r="W10" i="14"/>
  <c r="U4" i="14"/>
  <c r="U10" i="14"/>
  <c r="R6" i="14"/>
  <c r="R4" i="14"/>
  <c r="S9" i="14"/>
  <c r="S4" i="14"/>
  <c r="S10" i="14"/>
  <c r="P6" i="14"/>
  <c r="P4" i="14"/>
  <c r="Q9" i="14"/>
  <c r="Q4" i="14"/>
  <c r="Q10" i="14"/>
  <c r="N6" i="14"/>
  <c r="N4" i="14"/>
  <c r="O9" i="14"/>
  <c r="O4" i="14"/>
  <c r="O10" i="14"/>
  <c r="L6" i="14"/>
  <c r="L4" i="14"/>
  <c r="M9" i="14"/>
  <c r="M4" i="14"/>
  <c r="M10" i="14"/>
  <c r="J6" i="14"/>
  <c r="J4" i="14"/>
  <c r="K9" i="14"/>
  <c r="K4" i="14"/>
  <c r="K10" i="14"/>
  <c r="H6" i="14"/>
  <c r="H4" i="14"/>
  <c r="I9" i="14"/>
  <c r="I4" i="14"/>
  <c r="I10" i="14"/>
  <c r="F5" i="14"/>
  <c r="F6" i="14"/>
  <c r="F4" i="14"/>
  <c r="G9" i="14"/>
  <c r="G4" i="14"/>
  <c r="G10" i="14"/>
  <c r="D7" i="14"/>
  <c r="D6" i="14"/>
  <c r="D4" i="14"/>
  <c r="E9" i="14"/>
  <c r="E4" i="14"/>
  <c r="E10" i="14"/>
  <c r="B7" i="14"/>
  <c r="B6" i="14"/>
  <c r="B4" i="14"/>
  <c r="C9" i="14"/>
  <c r="C4" i="14"/>
  <c r="C10" i="14"/>
  <c r="N5" i="3"/>
  <c r="N5" i="6"/>
  <c r="N6" i="3"/>
  <c r="N6" i="6"/>
  <c r="N4" i="6"/>
  <c r="N11" i="3"/>
  <c r="N11" i="6"/>
  <c r="O4" i="6"/>
  <c r="G6" i="12"/>
  <c r="G9" i="12"/>
  <c r="G11" i="12"/>
  <c r="L5" i="3"/>
  <c r="L5" i="6"/>
  <c r="L6" i="3"/>
  <c r="L6" i="6"/>
  <c r="L4" i="6"/>
  <c r="L11" i="6"/>
  <c r="M4" i="6"/>
  <c r="F6" i="12"/>
  <c r="F9" i="12"/>
  <c r="F11" i="12"/>
  <c r="J5" i="3"/>
  <c r="J5" i="6"/>
  <c r="J6" i="3"/>
  <c r="J6" i="6"/>
  <c r="J4" i="6"/>
  <c r="H11" i="3"/>
  <c r="J11" i="3"/>
  <c r="J11" i="6"/>
  <c r="K4" i="6"/>
  <c r="E6" i="12"/>
  <c r="E9" i="12"/>
  <c r="E11" i="12"/>
  <c r="H5" i="3"/>
  <c r="H5" i="6"/>
  <c r="H6" i="3"/>
  <c r="H6" i="6"/>
  <c r="H4" i="6"/>
  <c r="H11" i="6"/>
  <c r="I4" i="6"/>
  <c r="D6" i="12"/>
  <c r="D9" i="12"/>
  <c r="D11" i="12"/>
  <c r="D5" i="3"/>
  <c r="D5" i="6"/>
  <c r="D6" i="3"/>
  <c r="D6" i="6"/>
  <c r="D4" i="6"/>
  <c r="D11" i="3"/>
  <c r="D11" i="6"/>
  <c r="E4" i="6"/>
  <c r="C6" i="12"/>
  <c r="C9" i="12"/>
  <c r="C11" i="12"/>
  <c r="B5" i="3"/>
  <c r="B5" i="6"/>
  <c r="B6" i="3"/>
  <c r="B6" i="6"/>
  <c r="B4" i="6"/>
  <c r="B11" i="3"/>
  <c r="B11" i="6"/>
  <c r="C4" i="6"/>
  <c r="B6" i="12"/>
  <c r="B9" i="12"/>
  <c r="B11" i="12"/>
  <c r="N8" i="3"/>
  <c r="N8" i="6"/>
  <c r="N7" i="6"/>
  <c r="O7" i="6"/>
  <c r="G5" i="12"/>
  <c r="G10" i="12"/>
  <c r="L8" i="3"/>
  <c r="L8" i="6"/>
  <c r="L7" i="6"/>
  <c r="M7" i="6"/>
  <c r="F5" i="12"/>
  <c r="F10" i="12"/>
  <c r="J8" i="3"/>
  <c r="J8" i="6"/>
  <c r="J7" i="6"/>
  <c r="K7" i="6"/>
  <c r="E5" i="12"/>
  <c r="E10" i="12"/>
  <c r="H8" i="3"/>
  <c r="H8" i="6"/>
  <c r="H7" i="6"/>
  <c r="I7" i="6"/>
  <c r="D5" i="12"/>
  <c r="D10" i="12"/>
  <c r="D8" i="3"/>
  <c r="D8" i="6"/>
  <c r="D7" i="6"/>
  <c r="E7" i="6"/>
  <c r="C5" i="12"/>
  <c r="C10" i="12"/>
  <c r="B8" i="3"/>
  <c r="B8" i="6"/>
  <c r="B7" i="6"/>
  <c r="C7" i="6"/>
  <c r="B5" i="12"/>
  <c r="B10" i="12"/>
  <c r="N4" i="3"/>
  <c r="O4" i="3"/>
  <c r="G6" i="10"/>
  <c r="G9" i="10"/>
  <c r="G11" i="10"/>
  <c r="L4" i="3"/>
  <c r="M4" i="3"/>
  <c r="F6" i="10"/>
  <c r="F9" i="10"/>
  <c r="F11" i="10"/>
  <c r="J4" i="3"/>
  <c r="K4" i="3"/>
  <c r="E6" i="10"/>
  <c r="E9" i="10"/>
  <c r="E11" i="10"/>
  <c r="H4" i="3"/>
  <c r="I4" i="3"/>
  <c r="D6" i="10"/>
  <c r="D9" i="10"/>
  <c r="D11" i="10"/>
  <c r="D4" i="3"/>
  <c r="E4" i="3"/>
  <c r="C6" i="10"/>
  <c r="C9" i="10"/>
  <c r="C11" i="10"/>
  <c r="B4" i="3"/>
  <c r="C4" i="3"/>
  <c r="B6" i="10"/>
  <c r="B9" i="10"/>
  <c r="B11" i="10"/>
  <c r="O7" i="3"/>
  <c r="G5" i="10"/>
  <c r="G10" i="10"/>
  <c r="M7" i="3"/>
  <c r="F5" i="10"/>
  <c r="F10" i="10"/>
  <c r="K7" i="3"/>
  <c r="E5" i="10"/>
  <c r="E10" i="10"/>
  <c r="I7" i="3"/>
  <c r="D5" i="10"/>
  <c r="D10" i="10"/>
  <c r="E7" i="3"/>
  <c r="C5" i="10"/>
  <c r="C10" i="10"/>
  <c r="C7" i="3"/>
  <c r="B5" i="10"/>
  <c r="B10" i="10"/>
  <c r="F7" i="12"/>
  <c r="C7" i="12"/>
  <c r="F7" i="10"/>
  <c r="A5" i="15"/>
  <c r="E36" i="15"/>
  <c r="C36" i="15"/>
  <c r="B12" i="15"/>
  <c r="E5" i="15"/>
  <c r="C12" i="15"/>
  <c r="F5" i="15"/>
  <c r="D12" i="15"/>
  <c r="D5" i="15"/>
  <c r="N9" i="3"/>
  <c r="O9" i="3"/>
  <c r="O8" i="3"/>
  <c r="L9" i="3"/>
  <c r="M9" i="3"/>
  <c r="J9" i="3"/>
  <c r="K9" i="3"/>
  <c r="H9" i="3"/>
  <c r="I9" i="3"/>
  <c r="M8" i="3"/>
  <c r="K8" i="3"/>
  <c r="I8" i="3"/>
  <c r="F9" i="3"/>
  <c r="F8" i="3"/>
  <c r="D9" i="3"/>
  <c r="B9" i="3"/>
  <c r="AG8" i="14"/>
  <c r="AG7" i="14"/>
  <c r="AG18" i="14"/>
  <c r="AG17" i="14"/>
  <c r="AG16" i="14"/>
  <c r="AG15" i="14"/>
  <c r="AG14" i="14"/>
  <c r="AG13" i="14"/>
  <c r="AG12" i="14"/>
  <c r="AG11" i="14"/>
  <c r="AG6" i="14"/>
  <c r="AG5" i="14"/>
  <c r="F5" i="3"/>
  <c r="R11" i="3"/>
  <c r="S11" i="3"/>
  <c r="R10" i="3"/>
  <c r="S10" i="3"/>
  <c r="S7" i="3"/>
  <c r="S4" i="3"/>
  <c r="S8" i="14"/>
  <c r="Q8" i="14"/>
  <c r="S7" i="14"/>
  <c r="Q7" i="14"/>
  <c r="O8" i="14"/>
  <c r="M8" i="14"/>
  <c r="O7" i="14"/>
  <c r="M7" i="14"/>
  <c r="K8" i="14"/>
  <c r="K7" i="14"/>
  <c r="I8" i="14"/>
  <c r="I7" i="14"/>
  <c r="G8" i="14"/>
  <c r="G7" i="14"/>
  <c r="E8" i="14"/>
  <c r="E7" i="14"/>
  <c r="C8" i="14"/>
  <c r="C7" i="14"/>
  <c r="M18" i="14"/>
  <c r="M17" i="14"/>
  <c r="M16" i="14"/>
  <c r="M15" i="14"/>
  <c r="M14" i="14"/>
  <c r="M13" i="14"/>
  <c r="M12" i="14"/>
  <c r="M11" i="14"/>
  <c r="M6" i="14"/>
  <c r="M5" i="14"/>
  <c r="K18" i="14"/>
  <c r="K17" i="14"/>
  <c r="K16" i="14"/>
  <c r="K15" i="14"/>
  <c r="K14" i="14"/>
  <c r="K13" i="14"/>
  <c r="K12" i="14"/>
  <c r="K11" i="14"/>
  <c r="K6" i="14"/>
  <c r="K5" i="14"/>
  <c r="O18" i="14"/>
  <c r="O17" i="14"/>
  <c r="O16" i="14"/>
  <c r="O15" i="14"/>
  <c r="O14" i="14"/>
  <c r="O13" i="14"/>
  <c r="O12" i="14"/>
  <c r="O11" i="14"/>
  <c r="O6" i="14"/>
  <c r="O5" i="14"/>
  <c r="Q18" i="14"/>
  <c r="Q17" i="14"/>
  <c r="Q16" i="14"/>
  <c r="Q15" i="14"/>
  <c r="Q14" i="14"/>
  <c r="Q13" i="14"/>
  <c r="Q12" i="14"/>
  <c r="Q11" i="14"/>
  <c r="Q6" i="14"/>
  <c r="Q5" i="14"/>
  <c r="AE18" i="14"/>
  <c r="AE17" i="14"/>
  <c r="AE16" i="14"/>
  <c r="AE15" i="14"/>
  <c r="AE14" i="14"/>
  <c r="AE13" i="14"/>
  <c r="AE12" i="14"/>
  <c r="AE11" i="14"/>
  <c r="AE6" i="14"/>
  <c r="AE5" i="14"/>
  <c r="AC18" i="14"/>
  <c r="AC17" i="14"/>
  <c r="AC16" i="14"/>
  <c r="AC15" i="14"/>
  <c r="AC14" i="14"/>
  <c r="AC13" i="14"/>
  <c r="AC12" i="14"/>
  <c r="AC11" i="14"/>
  <c r="AC6" i="14"/>
  <c r="AC5" i="14"/>
  <c r="AA18" i="14"/>
  <c r="AA17" i="14"/>
  <c r="AA16" i="14"/>
  <c r="AA15" i="14"/>
  <c r="AA14" i="14"/>
  <c r="AA13" i="14"/>
  <c r="AA12" i="14"/>
  <c r="AA11" i="14"/>
  <c r="AA6" i="14"/>
  <c r="AA5" i="14"/>
  <c r="Y18" i="14"/>
  <c r="Y17" i="14"/>
  <c r="Y16" i="14"/>
  <c r="Y15" i="14"/>
  <c r="Y14" i="14"/>
  <c r="Y13" i="14"/>
  <c r="Y12" i="14"/>
  <c r="Y11" i="14"/>
  <c r="Y6" i="14"/>
  <c r="Y5" i="14"/>
  <c r="W18" i="14"/>
  <c r="W17" i="14"/>
  <c r="W16" i="14"/>
  <c r="W15" i="14"/>
  <c r="W14" i="14"/>
  <c r="W13" i="14"/>
  <c r="W12" i="14"/>
  <c r="W11" i="14"/>
  <c r="W6" i="14"/>
  <c r="W5" i="14"/>
  <c r="U18" i="14"/>
  <c r="U17" i="14"/>
  <c r="U16" i="14"/>
  <c r="U15" i="14"/>
  <c r="U14" i="14"/>
  <c r="U13" i="14"/>
  <c r="U12" i="14"/>
  <c r="U11" i="14"/>
  <c r="U6" i="14"/>
  <c r="U5" i="14"/>
  <c r="S18" i="14"/>
  <c r="S17" i="14"/>
  <c r="S16" i="14"/>
  <c r="S15" i="14"/>
  <c r="S14" i="14"/>
  <c r="S13" i="14"/>
  <c r="S12" i="14"/>
  <c r="S11" i="14"/>
  <c r="S6" i="14"/>
  <c r="S5" i="14"/>
  <c r="I18" i="14"/>
  <c r="I17" i="14"/>
  <c r="I16" i="14"/>
  <c r="I15" i="14"/>
  <c r="I14" i="14"/>
  <c r="I13" i="14"/>
  <c r="I12" i="14"/>
  <c r="I11" i="14"/>
  <c r="I6" i="14"/>
  <c r="I5" i="14"/>
  <c r="G18" i="14"/>
  <c r="G17" i="14"/>
  <c r="G16" i="14"/>
  <c r="G15" i="14"/>
  <c r="G14" i="14"/>
  <c r="G13" i="14"/>
  <c r="G12" i="14"/>
  <c r="G11" i="14"/>
  <c r="G6" i="14"/>
  <c r="G5" i="14"/>
  <c r="D13" i="14"/>
  <c r="D12" i="14"/>
  <c r="E18" i="14"/>
  <c r="E17" i="14"/>
  <c r="E16" i="14"/>
  <c r="E15" i="14"/>
  <c r="E14" i="14"/>
  <c r="E13" i="14"/>
  <c r="E12" i="14"/>
  <c r="D11" i="14"/>
  <c r="E11" i="14"/>
  <c r="E6" i="14"/>
  <c r="E5" i="14"/>
  <c r="C17" i="14"/>
  <c r="C16" i="14"/>
  <c r="C15" i="14"/>
  <c r="B13" i="14"/>
  <c r="C13" i="14"/>
  <c r="B12" i="14"/>
  <c r="C12" i="14"/>
  <c r="B11" i="14"/>
  <c r="C11" i="14"/>
  <c r="B14" i="14"/>
  <c r="C6" i="14"/>
  <c r="C18" i="14"/>
  <c r="C14" i="14"/>
  <c r="C5" i="14"/>
  <c r="G7" i="12"/>
  <c r="G8" i="12"/>
  <c r="F8" i="12"/>
  <c r="E7" i="12"/>
  <c r="E8" i="12"/>
  <c r="D7" i="12"/>
  <c r="D8" i="12"/>
  <c r="C8" i="12"/>
  <c r="B7" i="12"/>
  <c r="B8" i="12"/>
  <c r="G7" i="10"/>
  <c r="G8" i="10"/>
  <c r="F8" i="10"/>
  <c r="E7" i="10"/>
  <c r="E8" i="10"/>
  <c r="D7" i="10"/>
  <c r="D8" i="10"/>
  <c r="G7" i="3"/>
  <c r="F6" i="3"/>
  <c r="F4" i="3"/>
  <c r="G4" i="3"/>
  <c r="C7" i="10"/>
  <c r="C8" i="10"/>
  <c r="B7" i="10"/>
  <c r="B8" i="10"/>
  <c r="E19" i="6"/>
  <c r="D18" i="6"/>
  <c r="E18" i="6"/>
  <c r="E17" i="6"/>
  <c r="E16" i="6"/>
  <c r="E15" i="6"/>
  <c r="E14" i="6"/>
  <c r="O6" i="6"/>
  <c r="O5" i="6"/>
  <c r="M6" i="6"/>
  <c r="M5" i="6"/>
  <c r="K6" i="6"/>
  <c r="K5" i="6"/>
  <c r="I6" i="6"/>
  <c r="I5" i="6"/>
  <c r="F6" i="6"/>
  <c r="F11" i="6"/>
  <c r="G6" i="6"/>
  <c r="F5" i="6"/>
  <c r="G5" i="6"/>
  <c r="E6" i="6"/>
  <c r="E5" i="6"/>
  <c r="C6" i="6"/>
  <c r="O8" i="6"/>
  <c r="M8" i="6"/>
  <c r="K8" i="6"/>
  <c r="I8" i="6"/>
  <c r="F8" i="6"/>
  <c r="G8" i="6"/>
  <c r="F7" i="6"/>
  <c r="G7" i="6"/>
  <c r="F4" i="6"/>
  <c r="G4" i="6"/>
  <c r="E8" i="6"/>
  <c r="O11" i="6"/>
  <c r="M11" i="6"/>
  <c r="K11" i="6"/>
  <c r="I11" i="6"/>
  <c r="G11" i="6"/>
  <c r="E11" i="6"/>
  <c r="C11" i="6"/>
  <c r="N10" i="6"/>
  <c r="O10" i="6"/>
  <c r="L10" i="6"/>
  <c r="M10" i="6"/>
  <c r="J10" i="6"/>
  <c r="K10" i="6"/>
  <c r="H10" i="6"/>
  <c r="I10" i="6"/>
  <c r="F10" i="6"/>
  <c r="G10" i="6"/>
  <c r="D10" i="6"/>
  <c r="E10" i="6"/>
  <c r="B10" i="6"/>
  <c r="C10" i="6"/>
  <c r="C8" i="6"/>
  <c r="C5" i="6"/>
  <c r="G8" i="3"/>
  <c r="G9" i="3"/>
  <c r="E9" i="3"/>
  <c r="E8" i="3"/>
  <c r="C9" i="3"/>
  <c r="C8" i="3"/>
  <c r="C5" i="3"/>
  <c r="C6" i="3"/>
  <c r="K5" i="3"/>
  <c r="K11" i="3"/>
  <c r="J10" i="3"/>
  <c r="K10" i="3"/>
  <c r="K6" i="3"/>
  <c r="P11" i="3"/>
  <c r="Q11" i="3"/>
  <c r="P10" i="3"/>
  <c r="Q10" i="3"/>
  <c r="Q7" i="3"/>
  <c r="Q4" i="3"/>
  <c r="E11" i="3"/>
  <c r="D10" i="3"/>
  <c r="E10" i="3"/>
  <c r="E6" i="3"/>
  <c r="E5" i="3"/>
  <c r="M11" i="3"/>
  <c r="L10" i="3"/>
  <c r="M10" i="3"/>
  <c r="M6" i="3"/>
  <c r="M5" i="3"/>
  <c r="I11" i="3"/>
  <c r="H10" i="3"/>
  <c r="I10" i="3"/>
  <c r="I6" i="3"/>
  <c r="I5" i="3"/>
  <c r="O11" i="3"/>
  <c r="N10" i="3"/>
  <c r="O10" i="3"/>
  <c r="O6" i="3"/>
  <c r="O5" i="3"/>
  <c r="G11" i="3"/>
  <c r="F10" i="3"/>
  <c r="G10" i="3"/>
  <c r="G6" i="3"/>
  <c r="G5" i="3"/>
  <c r="C11" i="3"/>
  <c r="B10" i="3"/>
  <c r="C10" i="3"/>
  <c r="Y11" i="3"/>
  <c r="X10" i="3"/>
  <c r="Y10" i="3"/>
  <c r="Y7" i="3"/>
  <c r="Y4" i="3"/>
  <c r="V10" i="3"/>
  <c r="T4" i="3"/>
  <c r="W11" i="3"/>
  <c r="U11" i="3"/>
  <c r="W10" i="3"/>
  <c r="T10" i="3"/>
  <c r="U10" i="3"/>
  <c r="W7" i="3"/>
  <c r="U7" i="3"/>
  <c r="U6" i="3"/>
  <c r="U5" i="3"/>
  <c r="W4" i="3"/>
  <c r="U4" i="3"/>
</calcChain>
</file>

<file path=xl/sharedStrings.xml><?xml version="1.0" encoding="utf-8"?>
<sst xmlns="http://schemas.openxmlformats.org/spreadsheetml/2006/main" count="212" uniqueCount="189">
  <si>
    <t>Noblesse</t>
  </si>
  <si>
    <t>Clergé</t>
  </si>
  <si>
    <t>Tiers Etat</t>
  </si>
  <si>
    <t>Morrison-Snyder 2000 p.66: 540m Nobles et clergé 1788, sur 28M ("mélange Braudel-Labrousse + Expilly", sans précision)</t>
  </si>
  <si>
    <t>Autres estimations</t>
  </si>
  <si>
    <t xml:space="preserve">Population totale </t>
  </si>
  <si>
    <t>Boiguillebert 1695 : analyse de la faible progression des impôts royaux, etc., mais rien sur les populations des différents ordres (sauf oubli de ma part)</t>
  </si>
  <si>
    <t xml:space="preserve">Loyseau 1610 : réflexion juridiques sur les offices, les seigneuries et les ordres, mais pas d’estimation sur la taille des différents ordres (sauf oubli de ma part)
</t>
  </si>
  <si>
    <t>Vauban 1707 propose des formulaires permettant de mettre en place un véritable dénombrement du pays mais ne donne pas d’estimation détaillée lui-même (sauf p.111 (pdf) : pop totale 19,1M 1698 ; mais rien sur noblesse vs clergé)</t>
  </si>
  <si>
    <t xml:space="preserve">Dauvergne 1973 p.183 montre clairement que la confusion famille lignagière vs ménage à conduit à sous -estimer les effectifs, typiquement Chéreau 1788 multiplie 17 000 noms </t>
  </si>
  <si>
    <t>de famille nobles par 5 et obtient 85000 nobles au total, "ce qui est bcp trop peu"; "il faut multiplier par 20, et dans ce cas on trouve 340 000"</t>
  </si>
  <si>
    <t>(de ce point de vue, les estimations de Nassiet paraissent faibles)</t>
  </si>
  <si>
    <t>Dauvergne 1973 p.186-188 défend l'idée que les estimations Exquilly-Sieyes &lt;100 000 nobles sont bcp trop faibles, et à l'inverse que l'estimation de 500 000 nobles</t>
  </si>
  <si>
    <t>des défenseurs de la noblesse sont beaucoup trop élevées (en particulier Gouy d'Arsy, député de Saint Domingue); Daumergue défend le chiffre médian de 340 000 nobles,</t>
  </si>
  <si>
    <t>à partir des 17 000 familles de Chéreau (qui ont le mérite d'être décomposées en différentes strates), qu'il multiplie par 20 (là est l'incertitude)</t>
  </si>
  <si>
    <t>Dauvergne 1973 p.190-192 conclut clairement que toutes les sources officielles (capitations, listes électorales, bans et arrières bans etc.) et qui aboutissent autour de 100 000 nobles sous-estiment le total, qui est plutôt entre 300 000 et 400 000, autour de 1,5% de la population</t>
  </si>
  <si>
    <t>(intéressant récit des batailles du 19e siècle à ce sujet: les ennemis de la noblesse veulent toujours en minimiser le nombre)</t>
  </si>
  <si>
    <t>Chefs de ménage</t>
  </si>
  <si>
    <t>Notes sur les estimations des effectifs de la noblesse</t>
  </si>
  <si>
    <t>Pour 1700 et 1788, il utilise les données de la capitation: impôt créé en 1695 n'épargnant pas les nobles, contrairement à la taille.</t>
  </si>
  <si>
    <t>A chaque fois il s'agit de données locales, extrapolées à l'échellon national; mais il est rassuré par le fait que les deux sources donnent des résultats cohérents.</t>
  </si>
  <si>
    <t>Nassiet insiste toujours sur les énormes variations régionales: en 1700 (et en excluant officiers et Paris), 1,0% de nobles en moyenne, mais 2,4% dans la gégion de Caen, vs 0,4% dans la région de Lyon; cf. Dewever 2017 p.25</t>
  </si>
  <si>
    <r>
      <rPr>
        <u/>
        <sz val="12"/>
        <color theme="1"/>
        <rFont val="Arial"/>
        <family val="2"/>
      </rPr>
      <t>Note 2</t>
    </r>
    <r>
      <rPr>
        <sz val="12"/>
        <color theme="1"/>
        <rFont val="Arial"/>
        <family val="2"/>
      </rPr>
      <t>. Nassiet utilise les listes du ban et de l'arrière-banc pour 1470-1560 (listes de nobles prêts à servir dans les armes))</t>
    </r>
  </si>
  <si>
    <r>
      <rPr>
        <u/>
        <sz val="12"/>
        <color theme="1"/>
        <rFont val="Arial"/>
        <family val="2"/>
      </rPr>
      <t>Note 1b</t>
    </r>
    <r>
      <rPr>
        <sz val="12"/>
        <color theme="1"/>
        <rFont val="Arial"/>
        <family val="2"/>
      </rPr>
      <t>. D'autre part, les nombre totaux de ménages nobles 1470-1500-1560 ont été ajustés au territoire actuel en utilisant le ratio de 1,13 estimé par Nassier 1999 p.214 pour 1470, soit 42415/37607=1,13.</t>
    </r>
  </si>
  <si>
    <t>Malheureusement Nassiet n'estime pas la correction à apporter, et dans quelle mesure cela peut expliquer les écarts entre les estimations basses et hautes des nombres de nobles en 1785 (environ 300 000 Dauvergne vs 130 000 Taine, en gros &gt;1% vs &lt;0.5%, voir Nassiet 2006 p.19-20)</t>
  </si>
  <si>
    <t>(ils citent simplement Braudel-Labrousse, Histoire économique et sociale de la France)</t>
  </si>
  <si>
    <t>Répartition moyenne des terres sur trois provinces en 1680-1700: noblesse 24% (23-23-26), clergé 14% (1-18-21)</t>
  </si>
  <si>
    <t>De fait, Labrousse in Braudel-Labrousse tome 2 (1660-1789), p.476 (pagination édition Quadrige, 1993; 1ère édition 1970) cite "500 000 nobles ou ecclésiastiques, selon les chiffres d'Albert Soboul, pas très différents au total de ceux de Georges Lefebvre"</t>
  </si>
  <si>
    <t>(rien de plus, à part p.606-607: 3% de nobles à Paris avec les contrats de mariage 1750, 6% à Grenoble avec un recensement 1725)</t>
  </si>
  <si>
    <r>
      <rPr>
        <u/>
        <sz val="12"/>
        <color theme="1"/>
        <rFont val="Arial"/>
        <family val="2"/>
      </rPr>
      <t>1380</t>
    </r>
    <r>
      <rPr>
        <sz val="12"/>
        <color theme="1"/>
        <rFont val="Arial"/>
        <family val="2"/>
      </rPr>
      <t>: Contamine 1997 p.48-49 (voir également Nassiet 1999 p.87)</t>
    </r>
  </si>
  <si>
    <r>
      <rPr>
        <u/>
        <sz val="12"/>
        <color theme="1"/>
        <rFont val="Arial"/>
        <family val="2"/>
      </rPr>
      <t>Note 1</t>
    </r>
    <r>
      <rPr>
        <sz val="12"/>
        <color theme="1"/>
        <rFont val="Arial"/>
        <family val="2"/>
      </rPr>
      <t xml:space="preserve">. Les estimations 1470-1780 de Nassiet ont été homogénéisées de deux façons. </t>
    </r>
  </si>
  <si>
    <t>Clergé masculin</t>
  </si>
  <si>
    <t>Mais il insiste également sur la tendance à la baisse à la fin du 17e et surtout au 18e siècle (vs hausse 15e-16e-début 17e siècles, tout du moins en valeur absolue). Voir Nassiet 2006 p.21 Graphique 1 sur tendance nb nobles/km2 Bayeux, Vire, etc.</t>
  </si>
  <si>
    <t>Clergé féminin</t>
  </si>
  <si>
    <r>
      <t>Détail des estimations sur la taille de la noblesse et du clergé en France</t>
    </r>
    <r>
      <rPr>
        <sz val="12"/>
        <color theme="1"/>
        <rFont val="Arial"/>
        <family val="2"/>
      </rPr>
      <t xml:space="preserve"> (résultats exprimés en % de la population totale)</t>
    </r>
  </si>
  <si>
    <r>
      <t>Détail des estimations sur la taille de la noblesse et du clergé en France</t>
    </r>
    <r>
      <rPr>
        <sz val="12"/>
        <color theme="1"/>
        <rFont val="Arial"/>
        <family val="2"/>
      </rPr>
      <t xml:space="preserve"> (memes résultats, exprimés en % de la population adulte masculine)</t>
    </r>
  </si>
  <si>
    <t xml:space="preserve">Population adulte masculine </t>
  </si>
  <si>
    <t>Autres hommes adultes</t>
  </si>
  <si>
    <t>Femmes, enfants, autres</t>
  </si>
  <si>
    <t>Hommes mariés</t>
  </si>
  <si>
    <t>Veufs</t>
  </si>
  <si>
    <t>Total</t>
  </si>
  <si>
    <t>Garçons célibataires au-dessus de l'âge de 16 ans</t>
  </si>
  <si>
    <t>Population totale</t>
  </si>
  <si>
    <t>Exquilly 1780 p.6:</t>
  </si>
  <si>
    <t>Données utilisées pour le graphique sur la noblesse et les successions parisiennes 1780-1910</t>
  </si>
  <si>
    <t>Part des noms nobles dans le montant total des successions</t>
  </si>
  <si>
    <t>Part des noms nobles dans nombre total de décès</t>
  </si>
  <si>
    <t>Part des noms nobles dans le top 0,1% des successions</t>
  </si>
  <si>
    <t>Part des noms nobles dans le top 1% des successions</t>
  </si>
  <si>
    <t>Sources: 1800-1910: estimations établies à partir des saisies réalisées dans les archives successorales parisiennes (voir Piketty, Postel-Vinay et Rosenthal, AER 2006)</t>
  </si>
  <si>
    <t>1780: estimation approximative établie à partir des données disponibles sur baisse de la part des patrimoines nobles entre 1780 et 1810 (voir discussion dans le texte du chapitre 1)</t>
  </si>
  <si>
    <t>France</t>
  </si>
  <si>
    <t>Total clergé catholique</t>
  </si>
  <si>
    <t>Clergé séculier</t>
  </si>
  <si>
    <t>Clergé régulier</t>
  </si>
  <si>
    <t>Pasteurs protestants</t>
  </si>
  <si>
    <t>Rabbins</t>
  </si>
  <si>
    <t>Total Domestiques/autres</t>
  </si>
  <si>
    <t>Domestiques/famille</t>
  </si>
  <si>
    <t>Domestiques/famille séc.</t>
  </si>
  <si>
    <t>Domestiques/familles rég.</t>
  </si>
  <si>
    <t>(famille = très faible pour clergé catholique (mères, pères, sœurs…), mais très important pour clergé protestant et juif)</t>
  </si>
  <si>
    <t>Recensement 1876: voir Desrosières 1977, p.204-205 (tous cultes mélangés)</t>
  </si>
  <si>
    <t>Recensement 1872: voir Desrosières 1977, p.202-203 (domestiques/famille = domestiques attachés au service de membres du clergé + parents à tous degrés dépendants)</t>
  </si>
  <si>
    <t>Recencements 1954-1990 (+EE 1998): voir Piketty 2001 p.727-728 (et p.722 pour population totale 1901-1998)</t>
  </si>
  <si>
    <t>(voir également Desrosières 1977 p.220-222 pour 1954-1962)</t>
  </si>
  <si>
    <t>Recensement 1931-1936: voir Résultats statistiques du Recensement général de la population effectué le 8 mars 1936, tome 1,  partie 3, p.98-99 (tous cultes confondus)</t>
  </si>
  <si>
    <t>Recensement 1921: voir Résultats statistiques du Recensement général de la population effectué le 6 mars 1921, tome 1,  partie 3, p.85 (tous cultes confondus)</t>
  </si>
  <si>
    <t>Recensement 1926: voir Résultats statistiques du Recensement général de la population effectué le 7 mars 1926, tome 1,  partie 3, p.92 (tous cultes confondus)</t>
  </si>
  <si>
    <t>Recensement 1911: voir Résultats statistiques du Recensement général de la population effectué le 5 mars 1911, tome 1,  partie 3, p.63 (tous cultes confondus)</t>
  </si>
  <si>
    <t>(Recensement 1906-1911: voir également Desrosières 1977, p.208-209 (tous cultes mélangés)) (le tableau Desrosières inclut les personnels; à reprendre pour 1906)</t>
  </si>
  <si>
    <t>(voir également Desrosières-Thévenot 1988 p.116 pour 1982)</t>
  </si>
  <si>
    <t>des différents statuts (une inspection préliminaire des résultats de 1851 montre que le découpage des statuts ecclésiastiques/séminaristes/communautés religieuses peut créer de gros écarts)</t>
  </si>
  <si>
    <r>
      <rPr>
        <b/>
        <sz val="12"/>
        <color theme="1"/>
        <rFont val="Arial"/>
        <family val="2"/>
      </rPr>
      <t>Notes. (1)</t>
    </r>
    <r>
      <rPr>
        <sz val="12"/>
        <color theme="1"/>
        <rFont val="Arial"/>
        <family val="2"/>
      </rPr>
      <t xml:space="preserve"> Il n'est pas certain que la remontée observée entre 1906-1911 et 1954-1962 (essentiellement les religieuses après les guerres) soit véritablement robuste; il faudrait vérifier dans les détails l'évolution du mode d'enregistrement</t>
    </r>
  </si>
  <si>
    <t>(par ailleurs seuls 1872-1876 décomposent clairement séculier/régulier hommes/femmes; à partir de 1906, seuls hommes/femmes, et il faut faire une hypothèse sur régulier hommes (10k))</t>
  </si>
  <si>
    <t>Détail des estimations sur la taille du clergé en France dans les recensements 19e-20e-21e siècles</t>
  </si>
  <si>
    <r>
      <rPr>
        <b/>
        <sz val="12"/>
        <color theme="1"/>
        <rFont val="Arial"/>
        <family val="2"/>
      </rPr>
      <t>Population totale</t>
    </r>
    <r>
      <rPr>
        <sz val="12"/>
        <color theme="1"/>
        <rFont val="Arial"/>
        <family val="2"/>
      </rPr>
      <t xml:space="preserve"> (territoire actuel): 1700-1780: Piketty-Zucman 2014 Table FR2; 1380-1470-1500-1560: estimations basées sur Maddison (1000:6,5M; 1500:15M; 1600:18,5M; 1700:21,5M)</t>
    </r>
  </si>
  <si>
    <t>USA</t>
  </si>
  <si>
    <t>Japon</t>
  </si>
  <si>
    <t>NPISH/private</t>
  </si>
  <si>
    <t>private/national</t>
  </si>
  <si>
    <t>NPISH/national</t>
  </si>
  <si>
    <t>(moyenne 1990-2010)</t>
  </si>
  <si>
    <t>Source: Piketty-Zucman 2013 Appendix Tables; net NPISH wealth/net private wealth (Table A65); net private wealth/net national wealth (Table A36)</t>
  </si>
  <si>
    <t xml:space="preserve">Voir Alvaredo 2017 slide 40 sur part de l'Eglise en 1933 à Cordoue (1,1mha/400m) et Seville (1,0/589m) </t>
  </si>
  <si>
    <t>(Inventaire des propriétés réalisé dans le cadre de la réforme agraire)</t>
  </si>
  <si>
    <t>(0,2% des terres, mais peut-être beaucoup plus en actifs immobiliers et financiers)</t>
  </si>
  <si>
    <t>(pagination édition Quadrige, 1993; 1ère édition 1976)</t>
  </si>
  <si>
    <t xml:space="preserve">Soboul in Braudel-Labrousse tome 3 (1789-1880), p.62 : dans le département du Nord la part des terres détenues </t>
  </si>
  <si>
    <t>dans 13 régions</t>
  </si>
  <si>
    <t>1780 (Dauvergne 1973)</t>
  </si>
  <si>
    <t>Suède 1775 (Exquilly 1780)</t>
  </si>
  <si>
    <t>1778 (Exquilly 1780)</t>
  </si>
  <si>
    <t>1789 (Siéyès 1789)</t>
  </si>
  <si>
    <t>1780 (Soboul 1962)</t>
  </si>
  <si>
    <t>Soboul 1982 La révolution française, p.59-60 : 350 000 noblesse, 120 000 clergé, sans précision</t>
  </si>
  <si>
    <t xml:space="preserve">Mounier 1974 p.121-122 se situe également à des niveaux plus élevés que Nassiet: type 1,5%-2% de la pop pour la noblesse vers 1700-1750 </t>
  </si>
  <si>
    <t>Les deux semblent sous-estimer la noblesse de robe (il suffirait d'ajouter une petite partie des officiers estimés par Exquilly pour faire coïncider l'ensemble)</t>
  </si>
  <si>
    <t xml:space="preserve">Exquilly 1780 p.6 (aucun détail, en particulier sur les 200 000 du clergé) </t>
  </si>
  <si>
    <t xml:space="preserve">Siéyès 1789, p.50-52: plus de détails mais pa très convaincant; en particulier le clergé (81 400) comprend seulement 17 000 pour les "moines et religieuses, qui ont beaucoup diminué depuis 30 ans" </t>
  </si>
  <si>
    <t>(ce qui semble complètement impossible, vu que les moines et religieuses sont plus de 90 000 aux recensements de 1872 et 1876)</t>
  </si>
  <si>
    <t>Isnard 1781: intéressant "Traité des richesses", mais sauf erreur de ma part rien sur les effectifs de la noblesse ou du clergé</t>
  </si>
  <si>
    <t>Lavoisier 1791 p.8 et p.23-26: également une estimation très basse ("je me suis aidé des travaux de Mohau et de la Michaudière, et j’en conclus que les nobles font environ 1/300e su Royaume : 18 300 nobles en état de porter les armes (contre 5,5M issus du Tiers Etat), et au total 83 000 en comptant les femmes et enfants (vs 25,0M) »  (rien sur le clergé, autant que je puisse voir)</t>
  </si>
  <si>
    <t>Autres auteurs 17e-18e consultés:</t>
  </si>
  <si>
    <r>
      <rPr>
        <u/>
        <sz val="12"/>
        <color theme="1"/>
        <rFont val="Arial"/>
        <family val="2"/>
      </rPr>
      <t>Note 1a</t>
    </r>
    <r>
      <rPr>
        <sz val="12"/>
        <color theme="1"/>
        <rFont val="Arial"/>
        <family val="2"/>
      </rPr>
      <t>. D'une part, les estimations de Nassiet pour le 18e siècle excluent les officiers nobles, ainsi que la noblesse parisienne. Voir Nassiet 2006 p.21-23, où ceci est expliqué très clairement.</t>
    </r>
  </si>
  <si>
    <t>La correction apportée ici (x1,4 pour 1700 et 1780, x1,3 pour 1660, x1,15 pour 1470-1500-1560) se justifie par la progression des offices et de la noblesse parisienne, et permet d'aboutir à une estimation relativement moyenne pour 1780 (par comparaison aux autres estimations globales); en tout était cause, il convient d'insister sur le fait que la tendance est plus significative que le niveau</t>
  </si>
  <si>
    <t>Recensement 2014: voir tableaux RP2014 obtenus sur le site INSEE le 31-5-2018 (&lt;20 000 clergé/religieux = quasiment inchangé depuis 1998; pas de décomposition par religion)</t>
  </si>
  <si>
    <r>
      <rPr>
        <b/>
        <sz val="12"/>
        <color theme="1"/>
        <rFont val="Arial"/>
        <family val="2"/>
      </rPr>
      <t>Noblesse.</t>
    </r>
    <r>
      <rPr>
        <sz val="12"/>
        <color theme="1"/>
        <rFont val="Arial"/>
        <family val="2"/>
      </rPr>
      <t xml:space="preserve"> Calculs réalisées en appliquant aux estimations Nassiet-Contamine 1380-1780 les corrections décrites dans les notes ci-après. </t>
    </r>
    <r>
      <rPr>
        <u/>
        <sz val="12"/>
        <color theme="1"/>
        <rFont val="Arial"/>
        <family val="2"/>
      </rPr>
      <t/>
    </r>
  </si>
  <si>
    <r>
      <rPr>
        <b/>
        <sz val="12"/>
        <color theme="1"/>
        <rFont val="Arial"/>
        <family val="2"/>
      </rPr>
      <t>Clergé.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1660</t>
    </r>
    <r>
      <rPr>
        <sz val="12"/>
        <color theme="1"/>
        <rFont val="Arial"/>
        <family val="2"/>
      </rPr>
      <t xml:space="preserve"> : estimation issue des enquêtes sur le clergé lancées sous Louis XIV et Colbert: 260 000 (100 000 séculier + 160 000 régulier dont 80 000 femmes). </t>
    </r>
  </si>
  <si>
    <t>Voir Cassan-Haddad-Muchnik-Tuttle 2007 p.154. Cette estimation fait état d'environ 30% de femmes (80000/260000=30,7%), proportion</t>
  </si>
  <si>
    <t>que l'on retrouve approximativement dans les recensements de 1906-1911 et 1999-2014 (par contre, jusque 50-60% de femmes dans les années 1860-1870 et 1950-1960 = peu de moines, beaucoup de religieuses)</t>
  </si>
  <si>
    <t>Dauvergne 1973 p.191 (pas d'estimation pour le clergé, j'indique ici cela d'Exquilly)</t>
  </si>
  <si>
    <r>
      <rPr>
        <u/>
        <sz val="12"/>
        <color theme="1"/>
        <rFont val="Arial"/>
        <family val="2"/>
      </rPr>
      <t>1780</t>
    </r>
    <r>
      <rPr>
        <sz val="12"/>
        <color theme="1"/>
        <rFont val="Arial"/>
        <family val="2"/>
      </rPr>
      <t xml:space="preserve">: estimation due à Exquilly 1780 p.6; pas de détail fourni (possible qu'il se soit inspiré de la proportion de 0,8% observée en Suède); </t>
    </r>
  </si>
  <si>
    <t>mais l'estimation paraît plus plausible que celles de Siéyès et Soboul (autour de 100 000), qui reposent sur des estimations beaucoup trop faibles</t>
  </si>
  <si>
    <t>pour les moines et religieuses, et qui ne sont pas cohérentes avec les estimations issues des recensements de 1872-1876 (autour de 150 000 au total pour le clergé séculier et régulier)</t>
  </si>
  <si>
    <r>
      <rPr>
        <u/>
        <sz val="12"/>
        <color theme="1"/>
        <rFont val="Arial"/>
        <family val="2"/>
      </rPr>
      <t>1380</t>
    </r>
    <r>
      <rPr>
        <sz val="12"/>
        <color theme="1"/>
        <rFont val="Arial"/>
        <family val="2"/>
      </rPr>
      <t xml:space="preserve">, </t>
    </r>
    <r>
      <rPr>
        <u/>
        <sz val="12"/>
        <color theme="1"/>
        <rFont val="Arial"/>
        <family val="2"/>
      </rPr>
      <t>1470</t>
    </r>
    <r>
      <rPr>
        <sz val="12"/>
        <color theme="1"/>
        <rFont val="Arial"/>
        <family val="2"/>
      </rPr>
      <t xml:space="preserve">, </t>
    </r>
    <r>
      <rPr>
        <u/>
        <sz val="12"/>
        <color theme="1"/>
        <rFont val="Arial"/>
        <family val="2"/>
      </rPr>
      <t>1500</t>
    </r>
    <r>
      <rPr>
        <sz val="12"/>
        <color theme="1"/>
        <rFont val="Arial"/>
        <family val="2"/>
      </rPr>
      <t xml:space="preserve">, </t>
    </r>
    <r>
      <rPr>
        <u/>
        <sz val="12"/>
        <color theme="1"/>
        <rFont val="Arial"/>
        <family val="2"/>
      </rPr>
      <t>1560</t>
    </r>
    <r>
      <rPr>
        <sz val="12"/>
        <color theme="1"/>
        <rFont val="Arial"/>
        <family val="2"/>
      </rPr>
      <t>: hypothèse d'une proportion approximativement similaire à 1660 (hypothèse de ressources ecclésiastiques stables)</t>
    </r>
  </si>
  <si>
    <r>
      <rPr>
        <u/>
        <sz val="12"/>
        <color theme="1"/>
        <rFont val="Arial"/>
        <family val="2"/>
      </rPr>
      <t>1700</t>
    </r>
    <r>
      <rPr>
        <sz val="12"/>
        <color theme="1"/>
        <rFont val="Arial"/>
        <family val="2"/>
      </rPr>
      <t>: hypothèse intermédiaire entre 1660 et 1760</t>
    </r>
  </si>
  <si>
    <t>Remarques sur quelques autres estimations sur les effectifs de la noblesse et du clergé</t>
  </si>
  <si>
    <t>France 1780</t>
  </si>
  <si>
    <t>France 2010</t>
  </si>
  <si>
    <t>Données utilisées pour le graphique sur le poids de l'Eglise comme organisation propriétaire, 1750-1780</t>
  </si>
  <si>
    <t>Part de l'Eglise dans le capital national</t>
  </si>
  <si>
    <t>Part des institutions à but non lucratif dans le capital national</t>
  </si>
  <si>
    <t>Voir feuilles DataFR1 et DataFR2 pour une description détaillées des sources et méthodes utilisées</t>
  </si>
  <si>
    <t>Sources:</t>
  </si>
  <si>
    <t>(l'estimation 1660 n'a pas fait l'objet d'un ajustement pour le territoire actuel et est donc peut-être sous-estimée)</t>
  </si>
  <si>
    <t xml:space="preserve">Sources et méthodes utilisées </t>
  </si>
  <si>
    <r>
      <rPr>
        <b/>
        <sz val="12"/>
        <color theme="1"/>
        <rFont val="Arial"/>
        <family val="2"/>
      </rPr>
      <t>Calculs à partir de la feuille précédente</t>
    </r>
    <r>
      <rPr>
        <sz val="12"/>
        <color theme="1"/>
        <rFont val="Arial"/>
        <family val="2"/>
      </rPr>
      <t xml:space="preserve"> (en supposant une population adulte masculine égale à 30% de la population totale)</t>
    </r>
  </si>
  <si>
    <t>Sources utilisées</t>
  </si>
  <si>
    <r>
      <rPr>
        <b/>
        <sz val="12"/>
        <color theme="1"/>
        <rFont val="Arial"/>
        <family val="2"/>
      </rPr>
      <t xml:space="preserve">(2) </t>
    </r>
    <r>
      <rPr>
        <sz val="12"/>
        <color theme="1"/>
        <rFont val="Arial"/>
        <family val="2"/>
      </rPr>
      <t>Mieux vaut donc se concentrer sur les tendances de long terme: en gros, clergé = 0,7% pop 1780, 0,4% 1872, &lt;0,1% 2014</t>
    </r>
  </si>
  <si>
    <t>Les résultats 1872 (reproduits très clairement par Desrosières 1977) indiquent un clergé de près de 150 000 membres</t>
  </si>
  <si>
    <t>(= deux fois plus faible que 1780 en % de la population, mais tout de même assez substantiel)</t>
  </si>
  <si>
    <t>Une analyse plus fine de la chronologie entre 1872 et 2014 demanderait un ré-examen détaillé des catégories utilisées dans les recensements depuis 1851</t>
  </si>
  <si>
    <t xml:space="preserve">l'estimation Colbert évalue les moines et religieuses à 50-50 (80 000 + 80 000), et au total la part des hommes à 70% du clergé; lors </t>
  </si>
  <si>
    <t>du recensement de 1872, on compte 13000 moines et 81000 religieuses, si bien qu'au total la part des hommes est passée à 45%.</t>
  </si>
  <si>
    <r>
      <rPr>
        <b/>
        <sz val="12"/>
        <color theme="1"/>
        <rFont val="Arial"/>
        <family val="2"/>
      </rPr>
      <t>(3)</t>
    </r>
    <r>
      <rPr>
        <sz val="12"/>
        <color theme="1"/>
        <rFont val="Arial"/>
        <family val="2"/>
      </rPr>
      <t xml:space="preserve"> Par ailleurs, l'autre point bien établi semble être la chute des moines masculins entre l'Ancien Régime et le 19e siècle: en 1660</t>
    </r>
  </si>
  <si>
    <t>Bertaud, Les origines de la Révolution française, 1971, pp.27-28: part des terres clergé noblesse 1780</t>
  </si>
  <si>
    <r>
      <t>Part des institutions à but non lucratif au 21</t>
    </r>
    <r>
      <rPr>
        <b/>
        <u/>
        <vertAlign val="superscript"/>
        <sz val="12"/>
        <color theme="1"/>
        <rFont val="Arial"/>
        <family val="2"/>
      </rPr>
      <t>e</t>
    </r>
    <r>
      <rPr>
        <b/>
        <u/>
        <sz val="12"/>
        <color theme="1"/>
        <rFont val="Arial"/>
        <family val="2"/>
      </rPr>
      <t xml:space="preserve"> siècle:</t>
    </r>
  </si>
  <si>
    <t>(voir également Milhaud 2018 p.26 pour des estimations concordantes sur clergé France 1660 et 1780: passage de 1,3% à 0,5% de la population totale)</t>
  </si>
  <si>
    <r>
      <t>Part de l'Eglise dans le capital national 18</t>
    </r>
    <r>
      <rPr>
        <b/>
        <u/>
        <vertAlign val="superscript"/>
        <sz val="12"/>
        <color theme="1"/>
        <rFont val="Arial"/>
        <family val="2"/>
      </rPr>
      <t>e</t>
    </r>
    <r>
      <rPr>
        <b/>
        <u/>
        <sz val="12"/>
        <color theme="1"/>
        <rFont val="Arial"/>
        <family val="2"/>
      </rPr>
      <t xml:space="preserve"> siècle</t>
    </r>
  </si>
  <si>
    <t>France.</t>
  </si>
  <si>
    <r>
      <rPr>
        <b/>
        <sz val="12"/>
        <color theme="1"/>
        <rFont val="Arial"/>
        <family val="2"/>
      </rPr>
      <t>Espagne</t>
    </r>
    <r>
      <rPr>
        <sz val="12"/>
        <color theme="1"/>
        <rFont val="Arial"/>
        <family val="2"/>
      </rPr>
      <t xml:space="preserve">. </t>
    </r>
  </si>
  <si>
    <t>Cette valeur moyenne de 14% pour le clergé dissimule de fortes disparités: plus de 20% dans certaines régions, moins de 5% dans d'autres</t>
  </si>
  <si>
    <t>soit 2,5% du revenu national (environ 4-4,5 milliards de livres dans les années 1780; voir Piketty-Zucman 2013 Table FR2); les terres agricoles représentent elles-mêmes</t>
  </si>
  <si>
    <t>environ 350% du revenu national vers 1780 (la moitié du capital national), et la rente foncière totale environ 18-20% du revenu national (la moitié du revenu du capital);</t>
  </si>
  <si>
    <t>la dîme représente donc environ 12% de la rente foncière totale, d'où une estimation équivalente à 12% de la valeur des terres agricoles pour la dîme capitalisée.</t>
  </si>
  <si>
    <r>
      <rPr>
        <u/>
        <sz val="12"/>
        <color theme="1"/>
        <rFont val="Arial"/>
        <family val="2"/>
      </rPr>
      <t>Sources et calculs pour la part de l'Eglise dans la propriété des terres agricoles</t>
    </r>
    <r>
      <rPr>
        <sz val="12"/>
        <color theme="1"/>
        <rFont val="Arial"/>
        <family val="2"/>
      </rPr>
      <t>:</t>
    </r>
  </si>
  <si>
    <t xml:space="preserve">Voir également Goubert in Braudel-Labrousse tome 2 (1660-1789), p.135-138 (pagination édition Quadrige, 1993; 1ère édition 1970): </t>
  </si>
  <si>
    <t xml:space="preserve">Voir la discussion dans Piketty 2013, Annexe technique p.33 indiquant des estimations issues notamment de Sargent-Velde JPE 1995 selon lesquelles les biens de l’Eglise </t>
  </si>
  <si>
    <t>représentaient entre 10% et 15% de l’ensemble des propriétés.</t>
  </si>
  <si>
    <t>et une valeur estimée à 12% de valeur des terres agricoles pour la capitalisation de la dîme ecclésiastique.</t>
  </si>
  <si>
    <t>On suppose implicitement une même part pour les autres biens (immobilier urbain, biens financiers, etc.), ce qui à en juger par le cas espagnol peut dans certains cas</t>
  </si>
  <si>
    <r>
      <rPr>
        <u/>
        <sz val="12"/>
        <color theme="1"/>
        <rFont val="Arial"/>
        <family val="2"/>
      </rPr>
      <t>Sources et calculs pour la dîme ecclésiastique</t>
    </r>
    <r>
      <rPr>
        <sz val="12"/>
        <color theme="1"/>
        <rFont val="Arial"/>
        <family val="2"/>
      </rPr>
      <t>: le total des dîmes ecclésiastiques abolies en 1789-1791 est estimé à 100-110 millions de livres annuels (voir Blaufarb 2014 p.58-60),</t>
    </r>
  </si>
  <si>
    <t xml:space="preserve">rapportent 24,1% des revenus agricoles (compte tenu de leur meilleure qualité; c'est donc le chiffre retenu, en y ajoutant une estimation équivalente à 4% pour la dîme capitalisée ) </t>
  </si>
  <si>
    <t>Voir Artola 2018 sur la part captée par l'Eglise dans les héritages: environ 1% autour de 1890-1900, moins de 0,5% dans les années 1920-1940</t>
  </si>
  <si>
    <t xml:space="preserve">Par ailleurs Milhaud 2018 p.17-19 montre également que la part des institutions ecclésiastiques dans le crédit hypothécaire est passé de 45% mi-17e </t>
  </si>
  <si>
    <t>à 70% mi-18e; ce n'est qu'au 19e que le poids de l'Eglise dans le capital national se met à diminuer</t>
  </si>
  <si>
    <t>Voir l'estimation Grupo'75, 1977, p.191-193 (Cadastre de la Ansedana réalisé entre 1750 et 1760) transmise par Milhaud: en 1750 le clergé possède 14,7% des terres, et ces dernières</t>
  </si>
  <si>
    <t>L'estimation de 24% du capital national détenu par l'Eglise donnée ici a été calculée en additionnant une part estimée à 12% dans la propriété des terres agricoles</t>
  </si>
  <si>
    <t>être une sous-estimation (auquel cas le total ecclésiastique serait plus proche de 25-30%), et dans le cas français est peut-être exagéré (le total ecclésiastique serait</t>
  </si>
  <si>
    <t>alors plus proche de 15-20% du capital national)</t>
  </si>
  <si>
    <r>
      <rPr>
        <u/>
        <sz val="12"/>
        <color theme="1"/>
        <rFont val="Arial"/>
        <family val="2"/>
      </rPr>
      <t>1470-1500-1560-1660-1700-1788</t>
    </r>
    <r>
      <rPr>
        <sz val="12"/>
        <color theme="1"/>
        <rFont val="Arial"/>
        <family val="2"/>
      </rPr>
      <t>: Nassiet (1995, 1999, 2006) (voir également Dewever 2017, tables 6-7, p.30)</t>
    </r>
  </si>
  <si>
    <t>% Clergé masculin/Clergé</t>
  </si>
  <si>
    <t>% Clergé masculine /Pop.masc.adulte</t>
  </si>
  <si>
    <t xml:space="preserve">par clergé-noblesse passe de 42% (20% clergé, 22% noblesse) à 12% (1%-11%) de 1788 à 1802 </t>
  </si>
  <si>
    <t>(4% = estimation minimale par comparaison à la France; en même temps la complexité des transferts versés à la Couronne espagnole fait qu'il est difficile d'être plus précis)</t>
  </si>
  <si>
    <t>Voir texte de l'annexe pour les références bibliographiques complètes liées à ces estimations</t>
  </si>
  <si>
    <t>T. Piketty, Capital and ideology, HUP 2020</t>
  </si>
  <si>
    <t>Beware: the estimates presented in this folder are fragile and ought to be interpreted with care</t>
  </si>
  <si>
    <t>See text of the chapter for an interpretative discussion</t>
  </si>
  <si>
    <t>See texte of the appendix for full biblographical references in relation to these estimates</t>
  </si>
  <si>
    <t>Spain 1750</t>
  </si>
  <si>
    <t>U.S. 2010</t>
  </si>
  <si>
    <t>Japan 2010</t>
  </si>
  <si>
    <t>Clergy</t>
  </si>
  <si>
    <t>Nobility</t>
  </si>
  <si>
    <t>Total Clergy + Nobility</t>
  </si>
  <si>
    <t>Third Estate</t>
  </si>
  <si>
    <r>
      <t xml:space="preserve">Total population  </t>
    </r>
    <r>
      <rPr>
        <sz val="12"/>
        <color theme="1"/>
        <rFont val="Arial Narrow"/>
        <family val="2"/>
      </rPr>
      <t>(millions)</t>
    </r>
  </si>
  <si>
    <r>
      <t xml:space="preserve">incl. Nobility  </t>
    </r>
    <r>
      <rPr>
        <sz val="12"/>
        <color theme="1"/>
        <rFont val="Arial Narrow"/>
        <family val="2"/>
      </rPr>
      <t>(thousands)</t>
    </r>
  </si>
  <si>
    <r>
      <t xml:space="preserve">incl. Clergy       </t>
    </r>
    <r>
      <rPr>
        <sz val="12"/>
        <color theme="1"/>
        <rFont val="Arial Narrow"/>
        <family val="2"/>
      </rPr>
      <t>(thousands)</t>
    </r>
  </si>
  <si>
    <r>
      <t xml:space="preserve">Table 2.1. Clergy and nobility in France 1380-1780                                     </t>
    </r>
    <r>
      <rPr>
        <sz val="14"/>
        <color theme="1"/>
        <rFont val="Arial"/>
        <family val="2"/>
      </rPr>
      <t>(% of total population)</t>
    </r>
  </si>
  <si>
    <r>
      <t xml:space="preserve">Table 2.2. Clergy and nobility in France 1380-1780                                     </t>
    </r>
    <r>
      <rPr>
        <sz val="14"/>
        <color theme="1"/>
        <rFont val="Arial"/>
        <family val="2"/>
      </rPr>
      <t>(% of adult male population)</t>
    </r>
  </si>
  <si>
    <r>
      <t xml:space="preserve">Adult male population </t>
    </r>
    <r>
      <rPr>
        <sz val="12"/>
        <color theme="1"/>
        <rFont val="Arial Narrow"/>
        <family val="2"/>
      </rPr>
      <t>(millions)</t>
    </r>
  </si>
  <si>
    <r>
      <rPr>
        <b/>
        <sz val="12"/>
        <color theme="1"/>
        <rFont val="Arial"/>
        <family val="2"/>
      </rPr>
      <t>Interpretation</t>
    </r>
    <r>
      <rPr>
        <sz val="12"/>
        <color theme="1"/>
        <rFont val="Arial"/>
        <family val="2"/>
      </rPr>
      <t xml:space="preserve">: in 1780, the clergy and the nobility included respectively about 0,7% and 0,8% of total population in France, hence a total of 1,5% for the two dominant orders (about 410 000 individuals out of 28 millions). </t>
    </r>
    <r>
      <rPr>
        <b/>
        <sz val="12"/>
        <color theme="1"/>
        <rFont val="Arial Narrow"/>
        <family val="2"/>
      </rPr>
      <t>Sources and series</t>
    </r>
    <r>
      <rPr>
        <sz val="12"/>
        <color theme="1"/>
        <rFont val="Arial Narrow"/>
        <family val="2"/>
      </rPr>
      <t>: see piketty.pse.ens.fr/ideology.</t>
    </r>
  </si>
  <si>
    <r>
      <rPr>
        <b/>
        <sz val="12"/>
        <color theme="1"/>
        <rFont val="Arial"/>
        <family val="2"/>
      </rPr>
      <t>Interpretation</t>
    </r>
    <r>
      <rPr>
        <sz val="12"/>
        <color theme="1"/>
        <rFont val="Arial"/>
        <family val="2"/>
      </rPr>
      <t xml:space="preserve">: in 1780, the clergy and the nobility included respectively about 1,7% and 0,7% of adult male population in France, hence a total of 2,4% for the two dominant orders (about 200 000 individuals out of 8,3 millions). </t>
    </r>
    <r>
      <rPr>
        <b/>
        <sz val="12"/>
        <color theme="1"/>
        <rFont val="Arial Narrow"/>
        <family val="2"/>
      </rPr>
      <t>Sources and series</t>
    </r>
    <r>
      <rPr>
        <sz val="12"/>
        <color theme="1"/>
        <rFont val="Arial Narrow"/>
        <family val="2"/>
      </rPr>
      <t>: see piketty.pse.ens.fr/ideology.</t>
    </r>
  </si>
  <si>
    <t>(last revised: 2/8/2019)</t>
  </si>
  <si>
    <t>Tables and figures from Chapter 2: European societies of orders: power and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</si>
</sst>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 Narrow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2"/>
    </font>
    <font>
      <i/>
      <sz val="12"/>
      <color theme="1"/>
      <name val="Arial"/>
      <family val="2"/>
    </font>
    <font>
      <b/>
      <u/>
      <vertAlign val="superscript"/>
      <sz val="12"/>
      <color theme="1"/>
      <name val="Arial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9" fillId="0" borderId="0"/>
  </cellStyleXfs>
  <cellXfs count="6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/>
    <xf numFmtId="46" fontId="8" fillId="0" borderId="0" xfId="0" applyNumberFormat="1" applyFont="1"/>
    <xf numFmtId="0" fontId="9" fillId="0" borderId="0" xfId="0" applyFont="1"/>
    <xf numFmtId="0" fontId="10" fillId="0" borderId="0" xfId="17"/>
    <xf numFmtId="0" fontId="11" fillId="0" borderId="0" xfId="17" applyFont="1"/>
    <xf numFmtId="9" fontId="11" fillId="0" borderId="0" xfId="17" applyNumberFormat="1" applyFont="1"/>
    <xf numFmtId="0" fontId="11" fillId="0" borderId="0" xfId="17" applyFont="1" applyAlignment="1">
      <alignment wrapText="1"/>
    </xf>
    <xf numFmtId="0" fontId="12" fillId="0" borderId="0" xfId="17" applyFont="1"/>
    <xf numFmtId="164" fontId="11" fillId="0" borderId="0" xfId="17" applyNumberFormat="1" applyFont="1" applyAlignment="1">
      <alignment horizontal="center"/>
    </xf>
    <xf numFmtId="164" fontId="10" fillId="0" borderId="0" xfId="17" applyNumberFormat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164" fontId="16" fillId="0" borderId="8" xfId="0" applyNumberFormat="1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0" fontId="4" fillId="0" borderId="0" xfId="0" applyNumberFormat="1" applyFont="1" applyAlignment="1">
      <alignment horizontal="center" vertical="center"/>
    </xf>
    <xf numFmtId="46" fontId="17" fillId="0" borderId="0" xfId="0" applyNumberFormat="1" applyFont="1"/>
    <xf numFmtId="0" fontId="17" fillId="0" borderId="0" xfId="0" applyFont="1"/>
    <xf numFmtId="3" fontId="4" fillId="0" borderId="0" xfId="0" applyNumberFormat="1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3" fontId="16" fillId="0" borderId="8" xfId="0" applyNumberFormat="1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/>
    </xf>
    <xf numFmtId="9" fontId="20" fillId="0" borderId="0" xfId="0" applyNumberFormat="1" applyFont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Normal 2" xfId="18"/>
    <cellStyle name="Normal_TabAnnexeH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700" b="1" baseline="0">
                <a:latin typeface="Arial" panose="020B0604020202020204" pitchFamily="34" charset="0"/>
                <a:cs typeface="Arial" panose="020B0604020202020204" pitchFamily="34" charset="0"/>
              </a:rPr>
              <a:t>Figure 2.1. Population shares in French ternary society (1380-1780)          </a:t>
            </a:r>
            <a:r>
              <a:rPr lang="fr-FR" sz="1700" b="0" baseline="0">
                <a:latin typeface="Arial" panose="020B0604020202020204" pitchFamily="34" charset="0"/>
                <a:cs typeface="Arial" panose="020B0604020202020204" pitchFamily="34" charset="0"/>
              </a:rPr>
              <a:t>(% total population)</a:t>
            </a:r>
          </a:p>
        </c:rich>
      </c:tx>
      <c:layout>
        <c:manualLayout>
          <c:xMode val="edge"/>
          <c:yMode val="edge"/>
          <c:x val="0.11977077865266841"/>
          <c:y val="2.20324989120410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60009086060713E-2"/>
          <c:y val="9.4990778378702789E-2"/>
          <c:w val="0.878932674591418"/>
          <c:h val="0.67209539820005815"/>
        </c:manualLayout>
      </c:layout>
      <c:lineChart>
        <c:grouping val="standard"/>
        <c:varyColors val="0"/>
        <c:ser>
          <c:idx val="2"/>
          <c:order val="0"/>
          <c:tx>
            <c:v>Total clergy + nobility</c:v>
          </c:tx>
          <c:spPr>
            <a:ln w="41275"/>
          </c:spPr>
          <c:marker>
            <c:symbol val="triangle"/>
            <c:size val="10"/>
          </c:marker>
          <c:cat>
            <c:numRef>
              <c:f>'T2.1'!$B$4:$G$4</c:f>
              <c:numCache>
                <c:formatCode>General</c:formatCode>
                <c:ptCount val="6"/>
                <c:pt idx="0">
                  <c:v>1380</c:v>
                </c:pt>
                <c:pt idx="1">
                  <c:v>1470</c:v>
                </c:pt>
                <c:pt idx="2">
                  <c:v>1560</c:v>
                </c:pt>
                <c:pt idx="3">
                  <c:v>1660</c:v>
                </c:pt>
                <c:pt idx="4">
                  <c:v>1700</c:v>
                </c:pt>
                <c:pt idx="5">
                  <c:v>1780</c:v>
                </c:pt>
              </c:numCache>
            </c:numRef>
          </c:cat>
          <c:val>
            <c:numRef>
              <c:f>'T2.1'!$B$7:$G$7</c:f>
              <c:numCache>
                <c:formatCode>0.0%</c:formatCode>
                <c:ptCount val="6"/>
                <c:pt idx="0">
                  <c:v>3.3815789473684216E-2</c:v>
                </c:pt>
                <c:pt idx="1">
                  <c:v>3.1272074468085109E-2</c:v>
                </c:pt>
                <c:pt idx="2">
                  <c:v>3.3282103326846113E-2</c:v>
                </c:pt>
                <c:pt idx="3">
                  <c:v>3.3772017483606816E-2</c:v>
                </c:pt>
                <c:pt idx="4">
                  <c:v>2.6577957384276266E-2</c:v>
                </c:pt>
                <c:pt idx="5">
                  <c:v>1.4980811621436056E-2</c:v>
                </c:pt>
              </c:numCache>
            </c:numRef>
          </c:val>
          <c:smooth val="0"/>
        </c:ser>
        <c:ser>
          <c:idx val="1"/>
          <c:order val="1"/>
          <c:tx>
            <c:v>Nobility</c:v>
          </c:tx>
          <c:spPr>
            <a:ln w="41275"/>
          </c:spPr>
          <c:marker>
            <c:symbol val="circle"/>
            <c:size val="10"/>
          </c:marker>
          <c:cat>
            <c:numRef>
              <c:f>'T2.1'!$B$4:$G$4</c:f>
              <c:numCache>
                <c:formatCode>General</c:formatCode>
                <c:ptCount val="6"/>
                <c:pt idx="0">
                  <c:v>1380</c:v>
                </c:pt>
                <c:pt idx="1">
                  <c:v>1470</c:v>
                </c:pt>
                <c:pt idx="2">
                  <c:v>1560</c:v>
                </c:pt>
                <c:pt idx="3">
                  <c:v>1660</c:v>
                </c:pt>
                <c:pt idx="4">
                  <c:v>1700</c:v>
                </c:pt>
                <c:pt idx="5">
                  <c:v>1780</c:v>
                </c:pt>
              </c:numCache>
            </c:numRef>
          </c:cat>
          <c:val>
            <c:numRef>
              <c:f>'T2.1'!$B$6:$G$6</c:f>
              <c:numCache>
                <c:formatCode>0.0%</c:formatCode>
                <c:ptCount val="6"/>
                <c:pt idx="0">
                  <c:v>1.9780701754385972E-2</c:v>
                </c:pt>
                <c:pt idx="1">
                  <c:v>1.7796897163120568E-2</c:v>
                </c:pt>
                <c:pt idx="2">
                  <c:v>1.9173900293252995E-2</c:v>
                </c:pt>
                <c:pt idx="3">
                  <c:v>1.9805961827999503E-2</c:v>
                </c:pt>
                <c:pt idx="4">
                  <c:v>1.5915870683321086E-2</c:v>
                </c:pt>
                <c:pt idx="5">
                  <c:v>7.7535503920789202E-3</c:v>
                </c:pt>
              </c:numCache>
            </c:numRef>
          </c:val>
          <c:smooth val="0"/>
        </c:ser>
        <c:ser>
          <c:idx val="0"/>
          <c:order val="2"/>
          <c:tx>
            <c:v>Clergy</c:v>
          </c:tx>
          <c:spPr>
            <a:ln w="34925"/>
          </c:spPr>
          <c:marker>
            <c:symbol val="circle"/>
            <c:size val="10"/>
          </c:marker>
          <c:cat>
            <c:numRef>
              <c:f>'T2.1'!$B$4:$G$4</c:f>
              <c:numCache>
                <c:formatCode>General</c:formatCode>
                <c:ptCount val="6"/>
                <c:pt idx="0">
                  <c:v>1380</c:v>
                </c:pt>
                <c:pt idx="1">
                  <c:v>1470</c:v>
                </c:pt>
                <c:pt idx="2">
                  <c:v>1560</c:v>
                </c:pt>
                <c:pt idx="3">
                  <c:v>1660</c:v>
                </c:pt>
                <c:pt idx="4">
                  <c:v>1700</c:v>
                </c:pt>
                <c:pt idx="5">
                  <c:v>1780</c:v>
                </c:pt>
              </c:numCache>
            </c:numRef>
          </c:cat>
          <c:val>
            <c:numRef>
              <c:f>'T2.1'!$B$5:$G$5</c:f>
              <c:numCache>
                <c:formatCode>0.0%</c:formatCode>
                <c:ptCount val="6"/>
                <c:pt idx="0">
                  <c:v>1.4035087719298248E-2</c:v>
                </c:pt>
                <c:pt idx="1">
                  <c:v>1.3475177304964541E-2</c:v>
                </c:pt>
                <c:pt idx="2">
                  <c:v>1.4108203033593118E-2</c:v>
                </c:pt>
                <c:pt idx="3">
                  <c:v>1.3966055655607311E-2</c:v>
                </c:pt>
                <c:pt idx="4">
                  <c:v>1.0562086700955179E-2</c:v>
                </c:pt>
                <c:pt idx="5">
                  <c:v>7.2272612293571353E-3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93456"/>
        <c:axId val="433893848"/>
      </c:lineChart>
      <c:catAx>
        <c:axId val="43389345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338938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33893848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33893456"/>
        <c:crosses val="autoZero"/>
        <c:crossBetween val="midCat"/>
        <c:majorUnit val="5.000000000000001E-3"/>
      </c:valAx>
      <c:spPr>
        <a:noFill/>
        <a:ln w="25400"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39579658827696973"/>
          <c:y val="0.25370846676951103"/>
          <c:w val="0.24818338575402882"/>
          <c:h val="0.1452728629327964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800" b="1" baseline="0">
                <a:latin typeface="Arial" panose="020B0604020202020204" pitchFamily="34" charset="0"/>
                <a:cs typeface="Arial" panose="020B0604020202020204" pitchFamily="34" charset="0"/>
              </a:rPr>
              <a:t>Figure 2.2. Share of nobility in Paris estates, 1780-1910</a:t>
            </a:r>
            <a:endParaRPr lang="fr-FR" sz="18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419446757317677"/>
          <c:y val="2.203213824220532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70044360242231E-2"/>
          <c:y val="5.2164523523694786E-2"/>
          <c:w val="0.878932674591418"/>
          <c:h val="0.71492157821838831"/>
        </c:manualLayout>
      </c:layout>
      <c:lineChart>
        <c:grouping val="standard"/>
        <c:varyColors val="0"/>
        <c:ser>
          <c:idx val="0"/>
          <c:order val="0"/>
          <c:tx>
            <c:v>Share of noble names in top 0,1% highest inheritances</c:v>
          </c:tx>
          <c:spPr>
            <a:ln w="41275"/>
          </c:spPr>
          <c:marker>
            <c:symbol val="circle"/>
            <c:size val="10"/>
          </c:marker>
          <c:cat>
            <c:numRef>
              <c:f>DataF2.2!$A$4:$A$17</c:f>
              <c:numCache>
                <c:formatCode>General</c:formatCode>
                <c:ptCount val="14"/>
                <c:pt idx="0">
                  <c:v>1780</c:v>
                </c:pt>
                <c:pt idx="1">
                  <c:v>1790</c:v>
                </c:pt>
                <c:pt idx="2">
                  <c:v>1800</c:v>
                </c:pt>
                <c:pt idx="3">
                  <c:v>1810</c:v>
                </c:pt>
                <c:pt idx="4">
                  <c:v>1820</c:v>
                </c:pt>
                <c:pt idx="5">
                  <c:v>1830</c:v>
                </c:pt>
                <c:pt idx="6">
                  <c:v>1840</c:v>
                </c:pt>
                <c:pt idx="7">
                  <c:v>1850</c:v>
                </c:pt>
                <c:pt idx="8">
                  <c:v>1860</c:v>
                </c:pt>
                <c:pt idx="9">
                  <c:v>1870</c:v>
                </c:pt>
                <c:pt idx="10">
                  <c:v>1880</c:v>
                </c:pt>
                <c:pt idx="11">
                  <c:v>1890</c:v>
                </c:pt>
                <c:pt idx="12">
                  <c:v>1900</c:v>
                </c:pt>
                <c:pt idx="13">
                  <c:v>1910</c:v>
                </c:pt>
              </c:numCache>
            </c:numRef>
          </c:cat>
          <c:val>
            <c:numRef>
              <c:f>DataF2.2!$B$4:$B$17</c:f>
              <c:numCache>
                <c:formatCode>0.0%</c:formatCode>
                <c:ptCount val="14"/>
                <c:pt idx="0">
                  <c:v>0.5</c:v>
                </c:pt>
                <c:pt idx="2">
                  <c:v>0.29164999999999996</c:v>
                </c:pt>
                <c:pt idx="3">
                  <c:v>0.25</c:v>
                </c:pt>
                <c:pt idx="4">
                  <c:v>0.33329999999999999</c:v>
                </c:pt>
                <c:pt idx="5">
                  <c:v>0.4</c:v>
                </c:pt>
                <c:pt idx="6">
                  <c:v>0.44</c:v>
                </c:pt>
                <c:pt idx="7">
                  <c:v>0.42109999999999997</c:v>
                </c:pt>
                <c:pt idx="8">
                  <c:v>0.28000000000000003</c:v>
                </c:pt>
                <c:pt idx="9">
                  <c:v>0.25219999999999998</c:v>
                </c:pt>
                <c:pt idx="10">
                  <c:v>0.13800000000000001</c:v>
                </c:pt>
                <c:pt idx="11">
                  <c:v>0.114</c:v>
                </c:pt>
                <c:pt idx="12">
                  <c:v>0.11</c:v>
                </c:pt>
                <c:pt idx="13">
                  <c:v>0.105</c:v>
                </c:pt>
              </c:numCache>
            </c:numRef>
          </c:val>
          <c:smooth val="0"/>
        </c:ser>
        <c:ser>
          <c:idx val="1"/>
          <c:order val="1"/>
          <c:tx>
            <c:v>Share of noble names in top 1% highest inheritances</c:v>
          </c:tx>
          <c:spPr>
            <a:ln w="41275"/>
          </c:spPr>
          <c:marker>
            <c:symbol val="circle"/>
            <c:size val="10"/>
          </c:marker>
          <c:cat>
            <c:numRef>
              <c:f>DataF2.2!$A$4:$A$17</c:f>
              <c:numCache>
                <c:formatCode>General</c:formatCode>
                <c:ptCount val="14"/>
                <c:pt idx="0">
                  <c:v>1780</c:v>
                </c:pt>
                <c:pt idx="1">
                  <c:v>1790</c:v>
                </c:pt>
                <c:pt idx="2">
                  <c:v>1800</c:v>
                </c:pt>
                <c:pt idx="3">
                  <c:v>1810</c:v>
                </c:pt>
                <c:pt idx="4">
                  <c:v>1820</c:v>
                </c:pt>
                <c:pt idx="5">
                  <c:v>1830</c:v>
                </c:pt>
                <c:pt idx="6">
                  <c:v>1840</c:v>
                </c:pt>
                <c:pt idx="7">
                  <c:v>1850</c:v>
                </c:pt>
                <c:pt idx="8">
                  <c:v>1860</c:v>
                </c:pt>
                <c:pt idx="9">
                  <c:v>1870</c:v>
                </c:pt>
                <c:pt idx="10">
                  <c:v>1880</c:v>
                </c:pt>
                <c:pt idx="11">
                  <c:v>1890</c:v>
                </c:pt>
                <c:pt idx="12">
                  <c:v>1900</c:v>
                </c:pt>
                <c:pt idx="13">
                  <c:v>1910</c:v>
                </c:pt>
              </c:numCache>
            </c:numRef>
          </c:cat>
          <c:val>
            <c:numRef>
              <c:f>DataF2.2!$C$4:$C$17</c:f>
              <c:numCache>
                <c:formatCode>0.0%</c:formatCode>
                <c:ptCount val="14"/>
                <c:pt idx="0">
                  <c:v>0.35</c:v>
                </c:pt>
                <c:pt idx="2">
                  <c:v>0.187</c:v>
                </c:pt>
                <c:pt idx="3">
                  <c:v>0.17699999999999999</c:v>
                </c:pt>
                <c:pt idx="4">
                  <c:v>0.14829999999999999</c:v>
                </c:pt>
                <c:pt idx="5">
                  <c:v>0.18309999999999998</c:v>
                </c:pt>
                <c:pt idx="6">
                  <c:v>0.21179999999999999</c:v>
                </c:pt>
                <c:pt idx="7">
                  <c:v>0.2757</c:v>
                </c:pt>
                <c:pt idx="8">
                  <c:v>0.1444</c:v>
                </c:pt>
                <c:pt idx="9">
                  <c:v>0.1338</c:v>
                </c:pt>
                <c:pt idx="10">
                  <c:v>0.11800000000000001</c:v>
                </c:pt>
                <c:pt idx="11">
                  <c:v>0.105</c:v>
                </c:pt>
                <c:pt idx="12">
                  <c:v>8.7899999999999992E-2</c:v>
                </c:pt>
                <c:pt idx="13">
                  <c:v>8.7899999999999992E-2</c:v>
                </c:pt>
              </c:numCache>
            </c:numRef>
          </c:val>
          <c:smooth val="0"/>
        </c:ser>
        <c:ser>
          <c:idx val="2"/>
          <c:order val="2"/>
          <c:tx>
            <c:v>Share of noble names in the aggregate value of inheritances</c:v>
          </c:tx>
          <c:spPr>
            <a:ln w="41275"/>
          </c:spPr>
          <c:marker>
            <c:symbol val="triangle"/>
            <c:size val="10"/>
          </c:marker>
          <c:cat>
            <c:numRef>
              <c:f>DataF2.2!$A$4:$A$17</c:f>
              <c:numCache>
                <c:formatCode>General</c:formatCode>
                <c:ptCount val="14"/>
                <c:pt idx="0">
                  <c:v>1780</c:v>
                </c:pt>
                <c:pt idx="1">
                  <c:v>1790</c:v>
                </c:pt>
                <c:pt idx="2">
                  <c:v>1800</c:v>
                </c:pt>
                <c:pt idx="3">
                  <c:v>1810</c:v>
                </c:pt>
                <c:pt idx="4">
                  <c:v>1820</c:v>
                </c:pt>
                <c:pt idx="5">
                  <c:v>1830</c:v>
                </c:pt>
                <c:pt idx="6">
                  <c:v>1840</c:v>
                </c:pt>
                <c:pt idx="7">
                  <c:v>1850</c:v>
                </c:pt>
                <c:pt idx="8">
                  <c:v>1860</c:v>
                </c:pt>
                <c:pt idx="9">
                  <c:v>1870</c:v>
                </c:pt>
                <c:pt idx="10">
                  <c:v>1880</c:v>
                </c:pt>
                <c:pt idx="11">
                  <c:v>1890</c:v>
                </c:pt>
                <c:pt idx="12">
                  <c:v>1900</c:v>
                </c:pt>
                <c:pt idx="13">
                  <c:v>1910</c:v>
                </c:pt>
              </c:numCache>
            </c:numRef>
          </c:cat>
          <c:val>
            <c:numRef>
              <c:f>DataF2.2!$D$4:$D$17</c:f>
              <c:numCache>
                <c:formatCode>0.0%</c:formatCode>
                <c:ptCount val="14"/>
                <c:pt idx="0">
                  <c:v>0.3</c:v>
                </c:pt>
                <c:pt idx="2">
                  <c:v>0.12202418070880844</c:v>
                </c:pt>
                <c:pt idx="3">
                  <c:v>0.11807554554309217</c:v>
                </c:pt>
                <c:pt idx="4">
                  <c:v>0.12597281587452469</c:v>
                </c:pt>
                <c:pt idx="5">
                  <c:v>0.16641665952095738</c:v>
                </c:pt>
                <c:pt idx="6">
                  <c:v>0.17764540079952934</c:v>
                </c:pt>
                <c:pt idx="7">
                  <c:v>0.25823192713758403</c:v>
                </c:pt>
                <c:pt idx="8">
                  <c:v>0.149730909203314</c:v>
                </c:pt>
                <c:pt idx="9">
                  <c:v>0.14147843969101681</c:v>
                </c:pt>
                <c:pt idx="10">
                  <c:v>0.10708093348336427</c:v>
                </c:pt>
                <c:pt idx="11">
                  <c:v>0.10674325665468562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v>Share of noble names in the total number of deceased individuals</c:v>
          </c:tx>
          <c:spPr>
            <a:ln w="41275"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DataF2.2!$E$4:$E$17</c:f>
              <c:numCache>
                <c:formatCode>0.0%</c:formatCode>
                <c:ptCount val="14"/>
                <c:pt idx="0">
                  <c:v>1.4999999999999999E-2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1.2E-2</c:v>
                </c:pt>
                <c:pt idx="9">
                  <c:v>0.01</c:v>
                </c:pt>
                <c:pt idx="10">
                  <c:v>0.01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94632"/>
        <c:axId val="415743152"/>
      </c:lineChart>
      <c:catAx>
        <c:axId val="43389463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1574315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1574315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33894632"/>
        <c:crosses val="autoZero"/>
        <c:crossBetween val="midCat"/>
        <c:majorUnit val="5.000000000000001E-2"/>
      </c:valAx>
      <c:spPr>
        <a:noFill/>
        <a:ln w="25400">
          <a:solidFill>
            <a:srgbClr val="000000"/>
          </a:solidFill>
        </a:ln>
      </c:spPr>
    </c:plotArea>
    <c:legend>
      <c:legendPos val="l"/>
      <c:layout>
        <c:manualLayout>
          <c:xMode val="edge"/>
          <c:yMode val="edge"/>
          <c:x val="0.63089557565240706"/>
          <c:y val="6.6625680373647328E-2"/>
          <c:w val="0.31666666666666665"/>
          <c:h val="0.2983286253523886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200" baseline="0"/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fr-FR" sz="1750" baseline="0"/>
              <a:t>Figure 2.3. The Church as a property-owning organization 1750-1780 </a:t>
            </a:r>
            <a:endParaRPr lang="fr-FR" sz="1750"/>
          </a:p>
        </c:rich>
      </c:tx>
      <c:layout>
        <c:manualLayout>
          <c:xMode val="edge"/>
          <c:yMode val="edge"/>
          <c:x val="0.123110221541026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34831945738637E-2"/>
          <c:y val="6.2283972537351517E-2"/>
          <c:w val="0.92222803795075603"/>
          <c:h val="0.69068511051287462"/>
        </c:manualLayout>
      </c:layout>
      <c:barChart>
        <c:barDir val="col"/>
        <c:grouping val="clustered"/>
        <c:varyColors val="0"/>
        <c:ser>
          <c:idx val="0"/>
          <c:order val="0"/>
          <c:tx>
            <c:v>Part dans patrimoine national</c:v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cat>
            <c:strRef>
              <c:f>DataF2.3!$A$4:$F$4</c:f>
              <c:strCache>
                <c:ptCount val="6"/>
                <c:pt idx="0">
                  <c:v>Spain 1750</c:v>
                </c:pt>
                <c:pt idx="1">
                  <c:v>France 1780</c:v>
                </c:pt>
                <c:pt idx="3">
                  <c:v>France 2010</c:v>
                </c:pt>
                <c:pt idx="4">
                  <c:v>U.S. 2010</c:v>
                </c:pt>
                <c:pt idx="5">
                  <c:v>Japan 2010</c:v>
                </c:pt>
              </c:strCache>
            </c:strRef>
          </c:cat>
          <c:val>
            <c:numRef>
              <c:f>DataF2.3!$A$5:$F$5</c:f>
              <c:numCache>
                <c:formatCode>0.0%</c:formatCode>
                <c:ptCount val="6"/>
                <c:pt idx="0">
                  <c:v>0.28100000000000003</c:v>
                </c:pt>
                <c:pt idx="1">
                  <c:v>0.24</c:v>
                </c:pt>
                <c:pt idx="3">
                  <c:v>8.2282417651049575E-3</c:v>
                </c:pt>
                <c:pt idx="4">
                  <c:v>5.9260993884296412E-2</c:v>
                </c:pt>
                <c:pt idx="5">
                  <c:v>3.1821835232316222E-2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15743936"/>
        <c:axId val="415744328"/>
      </c:barChart>
      <c:catAx>
        <c:axId val="41574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 i="0">
                <a:latin typeface="Arial"/>
              </a:defRPr>
            </a:pPr>
            <a:endParaRPr lang="fr-FR"/>
          </a:p>
        </c:txPr>
        <c:crossAx val="415744328"/>
        <c:crosses val="autoZero"/>
        <c:auto val="1"/>
        <c:lblAlgn val="ctr"/>
        <c:lblOffset val="100"/>
        <c:tickMarkSkip val="2"/>
        <c:noMultiLvlLbl val="0"/>
      </c:catAx>
      <c:valAx>
        <c:axId val="41574432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12700"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0" i="0">
                <a:latin typeface="Arial"/>
              </a:defRPr>
            </a:pPr>
            <a:endParaRPr lang="fr-FR"/>
          </a:p>
        </c:txPr>
        <c:crossAx val="415743936"/>
        <c:crosses val="autoZero"/>
        <c:crossBetween val="between"/>
        <c:majorUnit val="5.000000000000001E-2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6" workbookViewId="0" zoomToFit="1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6" workbookViewId="0" zoomToFit="1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6" workbookViewId="0" zoomToFit="1"/>
  </sheetViews>
  <pageMargins left="0.75" right="0.75" top="1" bottom="1" header="0.5" footer="0.5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063" cy="56276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0.02083</cdr:x>
      <cdr:y>0.82835</cdr:y>
    </cdr:from>
    <cdr:to>
      <cdr:x>0.98784</cdr:x>
      <cdr:y>0.96229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90304" y="4661695"/>
          <a:ext cx="8834634" cy="7537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In 1780, the nobility and the clergy accounted respectiviely for 0,8% and 0,7% of total French population, or a total of 1,5% for the two dominant orders and 98,5% for the third estate; in 1660, the nobility and the clergy accounted respectively for 2,0% and 1,4% of total population, or a total of 3,4% for the two dominant orders and 96,6% for the third estate. These proportions remained fairly stable between 1380 and 1660, followed by a sharp drop between 1660 and 1780. </a:t>
          </a:r>
          <a:r>
            <a:rPr lang="fr-FR" sz="1100" b="1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2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et </a:t>
          </a:r>
          <a:endParaRPr lang="fr-FR" sz="1200">
            <a:effectLst/>
            <a:latin typeface="Arial Narrow" panose="020B060602020203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6063" cy="56276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0.05004</cdr:x>
      <cdr:y>0.83745</cdr:y>
    </cdr:from>
    <cdr:to>
      <cdr:x>0.96437</cdr:x>
      <cdr:y>0.96229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57201" y="4716412"/>
          <a:ext cx="8354290" cy="7030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The share of noble names among the top 0,1% highest inheritances in Paris dropped from 50% to 25% between 1780 and 1810, before rising to about 40%-45% during the period of censitory monarchies (1815-1848), and finally declining to about 10% in the late 19th century and early 20th century. By comparison, noble names have always represented less than 2% of the total number of deceased individuals between 1780 and 1910.   </a:t>
          </a:r>
          <a:r>
            <a:rPr lang="fr-FR" sz="1100" b="1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2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et </a:t>
          </a:r>
          <a:endParaRPr lang="fr-FR" sz="1200">
            <a:effectLst/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0.52807</cdr:x>
      <cdr:y>0.39907</cdr:y>
    </cdr:from>
    <cdr:to>
      <cdr:x>0.6135</cdr:x>
      <cdr:y>0.81088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4857750" y="2238376"/>
          <a:ext cx="785813" cy="230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0.0175</cdr:x>
      <cdr:y>0.85248</cdr:y>
    </cdr:from>
    <cdr:to>
      <cdr:x>0.99605</cdr:x>
      <cdr:y>0.98172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161192" y="4784480"/>
          <a:ext cx="9012391" cy="7253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587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1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Around 1750-1780, the Church owned between 25% and 30% of total property in Spain and close to 25% in France (all assets combined: land, real estate, financial assets, including capitalisation of church tithes). By comparison, in 2010, the set of all non-profit institutions (including religious organizations, universities, museums, foundations, etc.) owned less than 1% of total property in France, 6% in the United States and 3% in Japan.    </a:t>
          </a:r>
          <a:r>
            <a:rPr lang="fr-FR" sz="1100" b="1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Sources and series</a:t>
          </a:r>
          <a:r>
            <a:rPr lang="fr-FR" sz="1100" b="0" i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: see piketty.pse.ens.fr/ideology.</a:t>
          </a:r>
          <a:r>
            <a:rPr lang="fr-FR" sz="1100" b="0" i="0" baseline="0">
              <a:solidFill>
                <a:schemeClr val="lt1"/>
              </a:solidFill>
              <a:effectLst/>
              <a:latin typeface="Arial Narrow" panose="020B0606020202030204" pitchFamily="34" charset="0"/>
              <a:ea typeface="+mn-ea"/>
              <a:cs typeface="Arial" panose="020B0604020202020204" pitchFamily="34" charset="0"/>
            </a:rPr>
            <a:t>012</a:t>
          </a:r>
          <a:r>
            <a:rPr lang="fr-FR" sz="1200" b="0" i="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le 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candidat de gauche (Hollande) obtient 47% des voix parmi les électeurs sans diplôme (en dehors du certificat d'études primaires), 50% parmi les diplômés du secondaire (Bac, Brevet, Bep, etc.), 53% parmi les diplômés du supérieur court (bac+2) en 2012, le candidat de gauche (Hollande) obtient 47% des voix parmi les électeurs sans diplôme (en dehors du certificat d'études primaires), 50% parmi les diplômés du secondaire (Bac, Brevet, Bep, etc.), 53% parmi les diplômés du supérieur court (bac+2) </a:t>
          </a:r>
          <a:endParaRPr lang="fr-FR" sz="1200" b="1" i="0" baseline="0">
            <a:solidFill>
              <a:sysClr val="windowText" lastClr="000000"/>
            </a:solidFill>
            <a:effectLst/>
            <a:latin typeface="Arial Narrow" panose="020B060602020203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calculs de l'auteur à partir des enquêtes post-électorales 1956-2017 (élections présidentielles et législatives). </a:t>
          </a:r>
          <a:endParaRPr lang="fr-FR">
            <a:effectLst/>
          </a:endParaRPr>
        </a:p>
        <a:p xmlns:a="http://schemas.openxmlformats.org/drawingml/2006/main">
          <a:pPr rtl="0"/>
          <a:r>
            <a:rPr lang="fr-F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Lecture</a:t>
          </a:r>
          <a:r>
            <a:rPr lang="fr-F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en 1956, les partis de gauche (SFIO-PS, PCF, MRG, divers gauche et écologistes, extrême-gauche) obtiennent un score 12 point</a:t>
          </a:r>
          <a:endParaRPr lang="fr-FR">
            <a:effectLst/>
          </a:endParaRPr>
        </a:p>
      </cdr:txBody>
    </cdr:sp>
  </cdr:relSizeAnchor>
  <cdr:relSizeAnchor xmlns:cdr="http://schemas.openxmlformats.org/drawingml/2006/chartDrawing">
    <cdr:from>
      <cdr:x>0.45505</cdr:x>
      <cdr:y>0.14621</cdr:y>
    </cdr:from>
    <cdr:to>
      <cdr:x>0.56245</cdr:x>
      <cdr:y>0.38642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90983" y="820592"/>
          <a:ext cx="989151" cy="13481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Share of Church in total property (all assets) (18</a:t>
          </a:r>
          <a:r>
            <a:rPr lang="fr-FR" sz="13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</a:t>
          </a:r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c.)</a:t>
          </a:r>
          <a:endParaRPr lang="fr-FR" sz="13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0.64678</cdr:x>
      <cdr:y>0.39926</cdr:y>
    </cdr:from>
    <cdr:to>
      <cdr:x>0.86874</cdr:x>
      <cdr:y>0.52994</cdr:y>
    </cdr:to>
    <cdr:sp macro="" textlink="">
      <cdr:nvSpPr>
        <cdr:cNvPr id="32" name="Rectangle 31"/>
        <cdr:cNvSpPr/>
      </cdr:nvSpPr>
      <cdr:spPr>
        <a:xfrm xmlns:a="http://schemas.openxmlformats.org/drawingml/2006/main">
          <a:off x="5956789" y="2240816"/>
          <a:ext cx="2044212" cy="7334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Share of non-profit institutions in total property (21</a:t>
          </a:r>
          <a:r>
            <a:rPr lang="fr-FR" sz="13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</a:t>
          </a:r>
          <a:r>
            <a:rPr lang="fr-FR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c.)</a:t>
          </a:r>
          <a:endParaRPr lang="fr-FR" sz="13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0.36356</cdr:x>
      <cdr:y>0.26893</cdr:y>
    </cdr:from>
    <cdr:to>
      <cdr:x>0.45426</cdr:x>
      <cdr:y>0.28329</cdr:y>
    </cdr:to>
    <cdr:cxnSp macro="">
      <cdr:nvCxnSpPr>
        <cdr:cNvPr id="11" name="Connecteur droit avec flèche 10"/>
        <cdr:cNvCxnSpPr/>
      </cdr:nvCxnSpPr>
      <cdr:spPr>
        <a:xfrm xmlns:a="http://schemas.openxmlformats.org/drawingml/2006/main" flipH="1">
          <a:off x="3348404" y="1509346"/>
          <a:ext cx="835269" cy="805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0.75412</cdr:x>
      <cdr:y>0.52733</cdr:y>
    </cdr:from>
    <cdr:to>
      <cdr:x>0.75418</cdr:x>
      <cdr:y>0.59922</cdr:y>
    </cdr:to>
    <cdr:cxnSp macro="">
      <cdr:nvCxnSpPr>
        <cdr:cNvPr id="33" name="Connecteur droit avec flèche 32"/>
        <cdr:cNvCxnSpPr/>
      </cdr:nvCxnSpPr>
      <cdr:spPr>
        <a:xfrm xmlns:a="http://schemas.openxmlformats.org/drawingml/2006/main">
          <a:off x="6945436" y="2959588"/>
          <a:ext cx="487" cy="40347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IDRussia/NPZ2017DistributionSeries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assouad/Desktop/Texte/IncomeTaxData/RawTaxData/WitheldTaxAgents/&#1042;&#1051;&#1040;&#1044;/5-&#1053;&#1044;&#1060;&#1051;/&#1057;&#1074;&#1086;&#1076;&#1099;/&#1079;&#1072;%202010%20&#1075;&#1086;&#1076;/&#1085;&#1072;%2014.02.12%20&#1091;&#1090;&#1086;&#1095;&#1085;/&#1054;&#1090;&#1095;&#1077;&#1090;%205&#1053;&#1044;&#1060;&#1051;%202011%20&#1087;&#1086;%20&#1088;&#1077;&#1075;&#1080;&#1086;&#1085;&#1072;&#1084;%20&#1080;%20&#1056;&#1060;%20&#1074;%20&#1094;&#1077;&#1083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PaperApril2017/minimum%20w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Piketty2018StructureOfPoliticalConflict/All%20couples%201970%20to%202004%20MFTTAWE%20comparis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  <sheetName val="religionlabcorr"/>
      <sheetName val="ethniclabc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8"/>
      <sheetName val="79"/>
      <sheetName val="86"/>
      <sheetName val="87"/>
      <sheetName val="89"/>
      <sheetName val="Регио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baseColWidth="10" defaultColWidth="8.77734375" defaultRowHeight="14.4" x14ac:dyDescent="0.3"/>
  <cols>
    <col min="1" max="1" width="15.33203125" customWidth="1"/>
  </cols>
  <sheetData>
    <row r="1" spans="1:1" ht="15.6" x14ac:dyDescent="0.3">
      <c r="A1" s="56" t="s">
        <v>187</v>
      </c>
    </row>
    <row r="2" spans="1:1" ht="15.6" x14ac:dyDescent="0.3">
      <c r="A2" s="2" t="s">
        <v>168</v>
      </c>
    </row>
    <row r="3" spans="1:1" ht="15.6" x14ac:dyDescent="0.3">
      <c r="A3" s="65" t="s">
        <v>188</v>
      </c>
    </row>
    <row r="5" spans="1:1" ht="15.6" x14ac:dyDescent="0.3">
      <c r="A5" s="2" t="s">
        <v>169</v>
      </c>
    </row>
    <row r="6" spans="1:1" ht="15.6" x14ac:dyDescent="0.3">
      <c r="A6" s="1" t="s">
        <v>170</v>
      </c>
    </row>
    <row r="7" spans="1:1" ht="15.6" x14ac:dyDescent="0.3">
      <c r="A7" s="1" t="s">
        <v>171</v>
      </c>
    </row>
    <row r="8" spans="1:1" ht="15.6" x14ac:dyDescent="0.3">
      <c r="A8" s="1"/>
    </row>
    <row r="9" spans="1:1" ht="15.6" x14ac:dyDescent="0.3">
      <c r="A9" s="2"/>
    </row>
    <row r="10" spans="1:1" ht="15.6" x14ac:dyDescent="0.3">
      <c r="A10" s="1"/>
    </row>
    <row r="11" spans="1:1" ht="15.6" x14ac:dyDescent="0.3">
      <c r="A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Normal="100" zoomScalePageLayoutView="13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A2" sqref="A2:G13"/>
    </sheetView>
  </sheetViews>
  <sheetFormatPr baseColWidth="10" defaultRowHeight="14.4" x14ac:dyDescent="0.3"/>
  <cols>
    <col min="1" max="1" width="22.77734375" customWidth="1"/>
    <col min="2" max="14" width="11.77734375" customWidth="1"/>
  </cols>
  <sheetData>
    <row r="1" spans="1:8" ht="16.2" thickBot="1" x14ac:dyDescent="0.35">
      <c r="A1" s="2"/>
    </row>
    <row r="2" spans="1:8" ht="47.4" customHeight="1" thickTop="1" thickBot="1" x14ac:dyDescent="0.35">
      <c r="A2" s="60" t="s">
        <v>182</v>
      </c>
      <c r="B2" s="61"/>
      <c r="C2" s="61"/>
      <c r="D2" s="61"/>
      <c r="E2" s="61"/>
      <c r="F2" s="61"/>
      <c r="G2" s="62"/>
    </row>
    <row r="3" spans="1:8" ht="16.8" thickTop="1" thickBot="1" x14ac:dyDescent="0.35">
      <c r="A3" s="1"/>
      <c r="B3" s="1"/>
      <c r="C3" s="1"/>
      <c r="D3" s="1"/>
      <c r="E3" s="1"/>
      <c r="F3" s="1"/>
      <c r="G3" s="1"/>
    </row>
    <row r="4" spans="1:8" ht="33" customHeight="1" thickTop="1" thickBot="1" x14ac:dyDescent="0.35">
      <c r="A4" s="22"/>
      <c r="B4" s="23">
        <v>1380</v>
      </c>
      <c r="C4" s="23">
        <v>1470</v>
      </c>
      <c r="D4" s="23">
        <v>1560</v>
      </c>
      <c r="E4" s="23">
        <v>1660</v>
      </c>
      <c r="F4" s="23">
        <v>1700</v>
      </c>
      <c r="G4" s="24">
        <v>1780</v>
      </c>
    </row>
    <row r="5" spans="1:8" ht="33" customHeight="1" thickBot="1" x14ac:dyDescent="0.35">
      <c r="A5" s="25" t="s">
        <v>175</v>
      </c>
      <c r="B5" s="26">
        <f>DataFR1!C7</f>
        <v>1.4035087719298248E-2</v>
      </c>
      <c r="C5" s="26">
        <f>DataFR1!E7</f>
        <v>1.3475177304964541E-2</v>
      </c>
      <c r="D5" s="26">
        <f>DataFR1!I7</f>
        <v>1.4108203033593118E-2</v>
      </c>
      <c r="E5" s="26">
        <f>DataFR1!K7</f>
        <v>1.3966055655607311E-2</v>
      </c>
      <c r="F5" s="26">
        <f>DataFR1!M7</f>
        <v>1.0562086700955179E-2</v>
      </c>
      <c r="G5" s="27">
        <f>DataFR1!O7</f>
        <v>7.2272612293571353E-3</v>
      </c>
    </row>
    <row r="6" spans="1:8" ht="33" customHeight="1" thickBot="1" x14ac:dyDescent="0.35">
      <c r="A6" s="25" t="s">
        <v>176</v>
      </c>
      <c r="B6" s="26">
        <f>DataFR1!C4</f>
        <v>1.9780701754385972E-2</v>
      </c>
      <c r="C6" s="26">
        <f>DataFR1!E4+0.0005</f>
        <v>1.7796897163120568E-2</v>
      </c>
      <c r="D6" s="26">
        <f>DataFR1!I4</f>
        <v>1.9173900293252995E-2</v>
      </c>
      <c r="E6" s="26">
        <f>DataFR1!K4</f>
        <v>1.9805961827999503E-2</v>
      </c>
      <c r="F6" s="26">
        <f>DataFR1!M4</f>
        <v>1.5915870683321086E-2</v>
      </c>
      <c r="G6" s="27">
        <f>DataFR1!O4</f>
        <v>7.7535503920789202E-3</v>
      </c>
    </row>
    <row r="7" spans="1:8" ht="33" customHeight="1" thickBot="1" x14ac:dyDescent="0.35">
      <c r="A7" s="25" t="s">
        <v>177</v>
      </c>
      <c r="B7" s="28">
        <f t="shared" ref="B7:G7" si="0">B5+B6</f>
        <v>3.3815789473684216E-2</v>
      </c>
      <c r="C7" s="28">
        <f t="shared" si="0"/>
        <v>3.1272074468085109E-2</v>
      </c>
      <c r="D7" s="28">
        <f t="shared" si="0"/>
        <v>3.3282103326846113E-2</v>
      </c>
      <c r="E7" s="28">
        <f t="shared" si="0"/>
        <v>3.3772017483606816E-2</v>
      </c>
      <c r="F7" s="28">
        <f>F5+F6+0.0001</f>
        <v>2.6577957384276266E-2</v>
      </c>
      <c r="G7" s="29">
        <f t="shared" si="0"/>
        <v>1.4980811621436056E-2</v>
      </c>
    </row>
    <row r="8" spans="1:8" ht="33" customHeight="1" thickBot="1" x14ac:dyDescent="0.35">
      <c r="A8" s="44" t="s">
        <v>178</v>
      </c>
      <c r="B8" s="49">
        <f t="shared" ref="B8:G8" si="1">1-B7</f>
        <v>0.96618421052631576</v>
      </c>
      <c r="C8" s="49">
        <f t="shared" si="1"/>
        <v>0.96872792553191489</v>
      </c>
      <c r="D8" s="49">
        <f t="shared" si="1"/>
        <v>0.96671789667315389</v>
      </c>
      <c r="E8" s="49">
        <f t="shared" si="1"/>
        <v>0.96622798251639319</v>
      </c>
      <c r="F8" s="49">
        <f t="shared" si="1"/>
        <v>0.97342204261572374</v>
      </c>
      <c r="G8" s="50">
        <f t="shared" si="1"/>
        <v>0.98501918837856395</v>
      </c>
    </row>
    <row r="9" spans="1:8" ht="33" customHeight="1" thickTop="1" thickBot="1" x14ac:dyDescent="0.35">
      <c r="A9" s="51" t="s">
        <v>179</v>
      </c>
      <c r="B9" s="54">
        <f>DataFR1!B11/1000000</f>
        <v>11.399999999999999</v>
      </c>
      <c r="C9" s="54">
        <f>DataFR1!D11/1000000</f>
        <v>14.099999999999998</v>
      </c>
      <c r="D9" s="54">
        <f>DataFR1!H11/1000000</f>
        <v>17.011379792914429</v>
      </c>
      <c r="E9" s="54">
        <f>DataFR1!J11/1000000</f>
        <v>18.616566223951079</v>
      </c>
      <c r="F9" s="54">
        <f>DataFR1!L11/1000000</f>
        <v>21.776</v>
      </c>
      <c r="G9" s="55">
        <f>DataFR1!N11/1000000</f>
        <v>27.672999999999998</v>
      </c>
      <c r="H9" s="6"/>
    </row>
    <row r="10" spans="1:8" ht="33" customHeight="1" thickBot="1" x14ac:dyDescent="0.35">
      <c r="A10" s="25" t="s">
        <v>181</v>
      </c>
      <c r="B10" s="45">
        <f>10*INT(B5*1000*B$9/10)</f>
        <v>160</v>
      </c>
      <c r="C10" s="45">
        <f t="shared" ref="C10:G10" si="2">10*INT(C5*1000*C$9/10)</f>
        <v>190</v>
      </c>
      <c r="D10" s="45">
        <f t="shared" si="2"/>
        <v>240</v>
      </c>
      <c r="E10" s="45">
        <f t="shared" si="2"/>
        <v>260</v>
      </c>
      <c r="F10" s="45">
        <f t="shared" si="2"/>
        <v>230</v>
      </c>
      <c r="G10" s="46">
        <f t="shared" si="2"/>
        <v>200</v>
      </c>
      <c r="H10" s="6"/>
    </row>
    <row r="11" spans="1:8" ht="33" customHeight="1" thickBot="1" x14ac:dyDescent="0.35">
      <c r="A11" s="30" t="s">
        <v>180</v>
      </c>
      <c r="B11" s="47">
        <f t="shared" ref="B11:G11" si="3">10*INT(B6*1000*B$9/10)</f>
        <v>220</v>
      </c>
      <c r="C11" s="47">
        <f t="shared" si="3"/>
        <v>250</v>
      </c>
      <c r="D11" s="47">
        <f t="shared" si="3"/>
        <v>320</v>
      </c>
      <c r="E11" s="47">
        <f t="shared" si="3"/>
        <v>360</v>
      </c>
      <c r="F11" s="47">
        <f t="shared" si="3"/>
        <v>340</v>
      </c>
      <c r="G11" s="48">
        <f t="shared" si="3"/>
        <v>210</v>
      </c>
      <c r="H11" s="6"/>
    </row>
    <row r="12" spans="1:8" ht="16.8" thickTop="1" thickBot="1" x14ac:dyDescent="0.35">
      <c r="A12" s="1"/>
      <c r="B12" s="1"/>
      <c r="C12" s="1"/>
      <c r="D12" s="1"/>
      <c r="E12" s="1"/>
      <c r="F12" s="1"/>
      <c r="G12" s="1"/>
    </row>
    <row r="13" spans="1:8" ht="49.95" customHeight="1" thickTop="1" thickBot="1" x14ac:dyDescent="0.35">
      <c r="A13" s="57" t="s">
        <v>185</v>
      </c>
      <c r="B13" s="58"/>
      <c r="C13" s="58"/>
      <c r="D13" s="58"/>
      <c r="E13" s="58"/>
      <c r="F13" s="58"/>
      <c r="G13" s="59"/>
    </row>
    <row r="14" spans="1:8" ht="15" thickTop="1" x14ac:dyDescent="0.3"/>
    <row r="16" spans="1:8" ht="15.6" x14ac:dyDescent="0.3">
      <c r="A16" s="1" t="s">
        <v>124</v>
      </c>
    </row>
  </sheetData>
  <mergeCells count="2">
    <mergeCell ref="A13:G13"/>
    <mergeCell ref="A2:G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zoomScalePageLayoutView="13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A2" sqref="A2:G13"/>
    </sheetView>
  </sheetViews>
  <sheetFormatPr baseColWidth="10" defaultRowHeight="14.4" x14ac:dyDescent="0.3"/>
  <cols>
    <col min="1" max="1" width="23.109375" customWidth="1"/>
    <col min="2" max="14" width="11.77734375" customWidth="1"/>
  </cols>
  <sheetData>
    <row r="1" spans="1:8" ht="16.2" thickBot="1" x14ac:dyDescent="0.35">
      <c r="A1" s="2"/>
    </row>
    <row r="2" spans="1:8" ht="47.4" customHeight="1" thickTop="1" thickBot="1" x14ac:dyDescent="0.35">
      <c r="A2" s="60" t="s">
        <v>183</v>
      </c>
      <c r="B2" s="61"/>
      <c r="C2" s="61"/>
      <c r="D2" s="61"/>
      <c r="E2" s="61"/>
      <c r="F2" s="61"/>
      <c r="G2" s="62"/>
    </row>
    <row r="3" spans="1:8" ht="16.8" thickTop="1" thickBot="1" x14ac:dyDescent="0.35">
      <c r="A3" s="1"/>
      <c r="B3" s="1"/>
      <c r="C3" s="1"/>
      <c r="D3" s="1"/>
      <c r="E3" s="1"/>
      <c r="F3" s="1"/>
      <c r="G3" s="1"/>
    </row>
    <row r="4" spans="1:8" ht="33" customHeight="1" thickTop="1" thickBot="1" x14ac:dyDescent="0.35">
      <c r="A4" s="22"/>
      <c r="B4" s="23">
        <v>1380</v>
      </c>
      <c r="C4" s="23">
        <v>1470</v>
      </c>
      <c r="D4" s="23">
        <v>1560</v>
      </c>
      <c r="E4" s="23">
        <v>1660</v>
      </c>
      <c r="F4" s="23">
        <v>1700</v>
      </c>
      <c r="G4" s="24">
        <v>1780</v>
      </c>
    </row>
    <row r="5" spans="1:8" ht="33" customHeight="1" thickBot="1" x14ac:dyDescent="0.35">
      <c r="A5" s="25" t="s">
        <v>175</v>
      </c>
      <c r="B5" s="26">
        <f>DataFR2!C7</f>
        <v>3.2748538011695909E-2</v>
      </c>
      <c r="C5" s="26">
        <f>DataFR2!E7+0.0002</f>
        <v>3.1642080378250594E-2</v>
      </c>
      <c r="D5" s="26">
        <f>DataFR2!I7</f>
        <v>3.2919140411717278E-2</v>
      </c>
      <c r="E5" s="26">
        <f>DataFR2!K7</f>
        <v>3.258746319641706E-2</v>
      </c>
      <c r="F5" s="26">
        <f>DataFR2!M7</f>
        <v>2.4644868968895419E-2</v>
      </c>
      <c r="G5" s="27">
        <f>DataFR2!O7</f>
        <v>1.6863609535166649E-2</v>
      </c>
    </row>
    <row r="6" spans="1:8" ht="33" customHeight="1" thickBot="1" x14ac:dyDescent="0.35">
      <c r="A6" s="25" t="s">
        <v>176</v>
      </c>
      <c r="B6" s="26">
        <f>DataFR2!C4</f>
        <v>1.8461988304093575E-2</v>
      </c>
      <c r="C6" s="26">
        <f>DataFR2!E4</f>
        <v>1.6143770685579199E-2</v>
      </c>
      <c r="D6" s="26">
        <f>DataFR2!I4</f>
        <v>1.789564027370279E-2</v>
      </c>
      <c r="E6" s="26">
        <f>DataFR2!K4</f>
        <v>1.8485564372799537E-2</v>
      </c>
      <c r="F6" s="26">
        <f>DataFR2!M4</f>
        <v>1.4854812637766347E-2</v>
      </c>
      <c r="G6" s="27">
        <f>DataFR2!O4</f>
        <v>7.2366470326069932E-3</v>
      </c>
    </row>
    <row r="7" spans="1:8" ht="33" customHeight="1" thickBot="1" x14ac:dyDescent="0.35">
      <c r="A7" s="25" t="s">
        <v>177</v>
      </c>
      <c r="B7" s="28">
        <f t="shared" ref="B7:G7" si="0">B5+B6</f>
        <v>5.1210526315789484E-2</v>
      </c>
      <c r="C7" s="28">
        <f>C5+C6</f>
        <v>4.7785851063829793E-2</v>
      </c>
      <c r="D7" s="28">
        <f t="shared" si="0"/>
        <v>5.0814780685420072E-2</v>
      </c>
      <c r="E7" s="28">
        <f t="shared" si="0"/>
        <v>5.1073027569216597E-2</v>
      </c>
      <c r="F7" s="28">
        <f>F5+F6+0.0001</f>
        <v>3.9599681606661767E-2</v>
      </c>
      <c r="G7" s="29">
        <f t="shared" si="0"/>
        <v>2.4100256567773641E-2</v>
      </c>
    </row>
    <row r="8" spans="1:8" ht="33" customHeight="1" thickBot="1" x14ac:dyDescent="0.35">
      <c r="A8" s="44" t="s">
        <v>178</v>
      </c>
      <c r="B8" s="28">
        <f t="shared" ref="B8:G8" si="1">1-B7</f>
        <v>0.94878947368421052</v>
      </c>
      <c r="C8" s="28">
        <f t="shared" si="1"/>
        <v>0.95221414893617018</v>
      </c>
      <c r="D8" s="28">
        <f t="shared" si="1"/>
        <v>0.94918521931457989</v>
      </c>
      <c r="E8" s="28">
        <f t="shared" si="1"/>
        <v>0.94892697243078339</v>
      </c>
      <c r="F8" s="28">
        <f t="shared" si="1"/>
        <v>0.96040031839333828</v>
      </c>
      <c r="G8" s="29">
        <f t="shared" si="1"/>
        <v>0.97589974343222641</v>
      </c>
    </row>
    <row r="9" spans="1:8" ht="33" customHeight="1" thickTop="1" thickBot="1" x14ac:dyDescent="0.35">
      <c r="A9" s="51" t="s">
        <v>184</v>
      </c>
      <c r="B9" s="31">
        <f>DataFR2!B11/1000000</f>
        <v>3.4199999999999995</v>
      </c>
      <c r="C9" s="31">
        <f>DataFR2!D11/1000000</f>
        <v>4.2299999999999986</v>
      </c>
      <c r="D9" s="31">
        <f>DataFR2!H11/1000000</f>
        <v>5.1034139378743282</v>
      </c>
      <c r="E9" s="31">
        <f>DataFR2!J11/1000000</f>
        <v>5.5849698671853236</v>
      </c>
      <c r="F9" s="31">
        <f>DataFR2!L11/1000000</f>
        <v>6.5327999999999999</v>
      </c>
      <c r="G9" s="32">
        <f>DataFR2!N11/1000000</f>
        <v>8.3018999999999998</v>
      </c>
      <c r="H9" s="6"/>
    </row>
    <row r="10" spans="1:8" ht="33" customHeight="1" thickBot="1" x14ac:dyDescent="0.35">
      <c r="A10" s="25" t="s">
        <v>181</v>
      </c>
      <c r="B10" s="45">
        <f>10*INT(B5*1000*B$9/10)</f>
        <v>110</v>
      </c>
      <c r="C10" s="45">
        <f t="shared" ref="C10:G10" si="2">10*INT(C5*1000*C$9/10)</f>
        <v>130</v>
      </c>
      <c r="D10" s="45">
        <f t="shared" si="2"/>
        <v>160</v>
      </c>
      <c r="E10" s="45">
        <f t="shared" si="2"/>
        <v>180</v>
      </c>
      <c r="F10" s="45">
        <f t="shared" si="2"/>
        <v>160</v>
      </c>
      <c r="G10" s="46">
        <f t="shared" si="2"/>
        <v>140</v>
      </c>
      <c r="H10" s="6"/>
    </row>
    <row r="11" spans="1:8" ht="33" customHeight="1" thickBot="1" x14ac:dyDescent="0.35">
      <c r="A11" s="30" t="s">
        <v>180</v>
      </c>
      <c r="B11" s="47">
        <f t="shared" ref="B11:G11" si="3">10*INT(B6*1000*B$9/10)</f>
        <v>60</v>
      </c>
      <c r="C11" s="47">
        <f t="shared" si="3"/>
        <v>60</v>
      </c>
      <c r="D11" s="47">
        <f t="shared" si="3"/>
        <v>90</v>
      </c>
      <c r="E11" s="47">
        <f t="shared" si="3"/>
        <v>100</v>
      </c>
      <c r="F11" s="47">
        <f t="shared" si="3"/>
        <v>90</v>
      </c>
      <c r="G11" s="48">
        <f t="shared" si="3"/>
        <v>60</v>
      </c>
      <c r="H11" s="6"/>
    </row>
    <row r="12" spans="1:8" ht="16.8" thickTop="1" thickBot="1" x14ac:dyDescent="0.35">
      <c r="A12" s="1"/>
      <c r="B12" s="1"/>
      <c r="C12" s="1"/>
      <c r="D12" s="1"/>
      <c r="E12" s="1"/>
      <c r="F12" s="1"/>
      <c r="G12" s="1"/>
    </row>
    <row r="13" spans="1:8" ht="49.95" customHeight="1" thickTop="1" thickBot="1" x14ac:dyDescent="0.35">
      <c r="A13" s="57" t="s">
        <v>186</v>
      </c>
      <c r="B13" s="58"/>
      <c r="C13" s="58"/>
      <c r="D13" s="58"/>
      <c r="E13" s="58"/>
      <c r="F13" s="58"/>
      <c r="G13" s="59"/>
    </row>
    <row r="14" spans="1:8" ht="15" thickTop="1" x14ac:dyDescent="0.3"/>
    <row r="16" spans="1:8" ht="15.6" x14ac:dyDescent="0.3">
      <c r="A16" s="1" t="s">
        <v>124</v>
      </c>
    </row>
  </sheetData>
  <mergeCells count="2">
    <mergeCell ref="A2:G2"/>
    <mergeCell ref="A13:G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6"/>
  <sheetViews>
    <sheetView workbookViewId="0"/>
  </sheetViews>
  <sheetFormatPr baseColWidth="10" defaultColWidth="10.88671875" defaultRowHeight="13.2" x14ac:dyDescent="0.25"/>
  <cols>
    <col min="1" max="1" width="9.33203125" style="15" customWidth="1"/>
    <col min="2" max="2" width="14.21875" style="15" customWidth="1"/>
    <col min="3" max="3" width="14.44140625" style="15" customWidth="1"/>
    <col min="4" max="4" width="15.44140625" style="15" customWidth="1"/>
    <col min="5" max="5" width="14" style="15" customWidth="1"/>
    <col min="6" max="64" width="6.33203125" style="15" customWidth="1"/>
    <col min="65" max="245" width="10.88671875" style="15"/>
    <col min="246" max="320" width="6.33203125" style="15" customWidth="1"/>
    <col min="321" max="501" width="10.88671875" style="15"/>
    <col min="502" max="576" width="6.33203125" style="15" customWidth="1"/>
    <col min="577" max="757" width="10.88671875" style="15"/>
    <col min="758" max="832" width="6.33203125" style="15" customWidth="1"/>
    <col min="833" max="1013" width="10.88671875" style="15"/>
    <col min="1014" max="1088" width="6.33203125" style="15" customWidth="1"/>
    <col min="1089" max="1269" width="10.88671875" style="15"/>
    <col min="1270" max="1344" width="6.33203125" style="15" customWidth="1"/>
    <col min="1345" max="1525" width="10.88671875" style="15"/>
    <col min="1526" max="1600" width="6.33203125" style="15" customWidth="1"/>
    <col min="1601" max="1781" width="10.88671875" style="15"/>
    <col min="1782" max="1856" width="6.33203125" style="15" customWidth="1"/>
    <col min="1857" max="2037" width="10.88671875" style="15"/>
    <col min="2038" max="2112" width="6.33203125" style="15" customWidth="1"/>
    <col min="2113" max="2293" width="10.88671875" style="15"/>
    <col min="2294" max="2368" width="6.33203125" style="15" customWidth="1"/>
    <col min="2369" max="2549" width="10.88671875" style="15"/>
    <col min="2550" max="2624" width="6.33203125" style="15" customWidth="1"/>
    <col min="2625" max="2805" width="10.88671875" style="15"/>
    <col min="2806" max="2880" width="6.33203125" style="15" customWidth="1"/>
    <col min="2881" max="3061" width="10.88671875" style="15"/>
    <col min="3062" max="3136" width="6.33203125" style="15" customWidth="1"/>
    <col min="3137" max="3317" width="10.88671875" style="15"/>
    <col min="3318" max="3392" width="6.33203125" style="15" customWidth="1"/>
    <col min="3393" max="3573" width="10.88671875" style="15"/>
    <col min="3574" max="3648" width="6.33203125" style="15" customWidth="1"/>
    <col min="3649" max="3829" width="10.88671875" style="15"/>
    <col min="3830" max="3904" width="6.33203125" style="15" customWidth="1"/>
    <col min="3905" max="4085" width="10.88671875" style="15"/>
    <col min="4086" max="4160" width="6.33203125" style="15" customWidth="1"/>
    <col min="4161" max="4341" width="10.88671875" style="15"/>
    <col min="4342" max="4416" width="6.33203125" style="15" customWidth="1"/>
    <col min="4417" max="4597" width="10.88671875" style="15"/>
    <col min="4598" max="4672" width="6.33203125" style="15" customWidth="1"/>
    <col min="4673" max="4853" width="10.88671875" style="15"/>
    <col min="4854" max="4928" width="6.33203125" style="15" customWidth="1"/>
    <col min="4929" max="5109" width="10.88671875" style="15"/>
    <col min="5110" max="5184" width="6.33203125" style="15" customWidth="1"/>
    <col min="5185" max="5365" width="10.88671875" style="15"/>
    <col min="5366" max="5440" width="6.33203125" style="15" customWidth="1"/>
    <col min="5441" max="5621" width="10.88671875" style="15"/>
    <col min="5622" max="5696" width="6.33203125" style="15" customWidth="1"/>
    <col min="5697" max="5877" width="10.88671875" style="15"/>
    <col min="5878" max="5952" width="6.33203125" style="15" customWidth="1"/>
    <col min="5953" max="6133" width="10.88671875" style="15"/>
    <col min="6134" max="6208" width="6.33203125" style="15" customWidth="1"/>
    <col min="6209" max="6389" width="10.88671875" style="15"/>
    <col min="6390" max="6464" width="6.33203125" style="15" customWidth="1"/>
    <col min="6465" max="6645" width="10.88671875" style="15"/>
    <col min="6646" max="6720" width="6.33203125" style="15" customWidth="1"/>
    <col min="6721" max="6901" width="10.88671875" style="15"/>
    <col min="6902" max="6976" width="6.33203125" style="15" customWidth="1"/>
    <col min="6977" max="7157" width="10.88671875" style="15"/>
    <col min="7158" max="7232" width="6.33203125" style="15" customWidth="1"/>
    <col min="7233" max="7413" width="10.88671875" style="15"/>
    <col min="7414" max="7488" width="6.33203125" style="15" customWidth="1"/>
    <col min="7489" max="7669" width="10.88671875" style="15"/>
    <col min="7670" max="7744" width="6.33203125" style="15" customWidth="1"/>
    <col min="7745" max="7925" width="10.88671875" style="15"/>
    <col min="7926" max="8000" width="6.33203125" style="15" customWidth="1"/>
    <col min="8001" max="8181" width="10.88671875" style="15"/>
    <col min="8182" max="8256" width="6.33203125" style="15" customWidth="1"/>
    <col min="8257" max="8437" width="10.88671875" style="15"/>
    <col min="8438" max="8512" width="6.33203125" style="15" customWidth="1"/>
    <col min="8513" max="8693" width="10.88671875" style="15"/>
    <col min="8694" max="8768" width="6.33203125" style="15" customWidth="1"/>
    <col min="8769" max="8949" width="10.88671875" style="15"/>
    <col min="8950" max="9024" width="6.33203125" style="15" customWidth="1"/>
    <col min="9025" max="9205" width="10.88671875" style="15"/>
    <col min="9206" max="9280" width="6.33203125" style="15" customWidth="1"/>
    <col min="9281" max="9461" width="10.88671875" style="15"/>
    <col min="9462" max="9536" width="6.33203125" style="15" customWidth="1"/>
    <col min="9537" max="9717" width="10.88671875" style="15"/>
    <col min="9718" max="9792" width="6.33203125" style="15" customWidth="1"/>
    <col min="9793" max="9973" width="10.88671875" style="15"/>
    <col min="9974" max="10048" width="6.33203125" style="15" customWidth="1"/>
    <col min="10049" max="10229" width="10.88671875" style="15"/>
    <col min="10230" max="10304" width="6.33203125" style="15" customWidth="1"/>
    <col min="10305" max="10485" width="10.88671875" style="15"/>
    <col min="10486" max="10560" width="6.33203125" style="15" customWidth="1"/>
    <col min="10561" max="10741" width="10.88671875" style="15"/>
    <col min="10742" max="10816" width="6.33203125" style="15" customWidth="1"/>
    <col min="10817" max="10997" width="10.88671875" style="15"/>
    <col min="10998" max="11072" width="6.33203125" style="15" customWidth="1"/>
    <col min="11073" max="11253" width="10.88671875" style="15"/>
    <col min="11254" max="11328" width="6.33203125" style="15" customWidth="1"/>
    <col min="11329" max="11509" width="10.88671875" style="15"/>
    <col min="11510" max="11584" width="6.33203125" style="15" customWidth="1"/>
    <col min="11585" max="11765" width="10.88671875" style="15"/>
    <col min="11766" max="11840" width="6.33203125" style="15" customWidth="1"/>
    <col min="11841" max="12021" width="10.88671875" style="15"/>
    <col min="12022" max="12096" width="6.33203125" style="15" customWidth="1"/>
    <col min="12097" max="12277" width="10.88671875" style="15"/>
    <col min="12278" max="12352" width="6.33203125" style="15" customWidth="1"/>
    <col min="12353" max="12533" width="10.88671875" style="15"/>
    <col min="12534" max="12608" width="6.33203125" style="15" customWidth="1"/>
    <col min="12609" max="12789" width="10.88671875" style="15"/>
    <col min="12790" max="12864" width="6.33203125" style="15" customWidth="1"/>
    <col min="12865" max="13045" width="10.88671875" style="15"/>
    <col min="13046" max="13120" width="6.33203125" style="15" customWidth="1"/>
    <col min="13121" max="13301" width="10.88671875" style="15"/>
    <col min="13302" max="13376" width="6.33203125" style="15" customWidth="1"/>
    <col min="13377" max="13557" width="10.88671875" style="15"/>
    <col min="13558" max="13632" width="6.33203125" style="15" customWidth="1"/>
    <col min="13633" max="13813" width="10.88671875" style="15"/>
    <col min="13814" max="13888" width="6.33203125" style="15" customWidth="1"/>
    <col min="13889" max="14069" width="10.88671875" style="15"/>
    <col min="14070" max="14144" width="6.33203125" style="15" customWidth="1"/>
    <col min="14145" max="14325" width="10.88671875" style="15"/>
    <col min="14326" max="14400" width="6.33203125" style="15" customWidth="1"/>
    <col min="14401" max="14581" width="10.88671875" style="15"/>
    <col min="14582" max="14656" width="6.33203125" style="15" customWidth="1"/>
    <col min="14657" max="14837" width="10.88671875" style="15"/>
    <col min="14838" max="14912" width="6.33203125" style="15" customWidth="1"/>
    <col min="14913" max="15093" width="10.88671875" style="15"/>
    <col min="15094" max="15168" width="6.33203125" style="15" customWidth="1"/>
    <col min="15169" max="15349" width="10.88671875" style="15"/>
    <col min="15350" max="15424" width="6.33203125" style="15" customWidth="1"/>
    <col min="15425" max="15605" width="10.88671875" style="15"/>
    <col min="15606" max="15680" width="6.33203125" style="15" customWidth="1"/>
    <col min="15681" max="15861" width="10.88671875" style="15"/>
    <col min="15862" max="15936" width="6.33203125" style="15" customWidth="1"/>
    <col min="15937" max="16117" width="10.88671875" style="15"/>
    <col min="16118" max="16192" width="6.33203125" style="15" customWidth="1"/>
    <col min="16193" max="16384" width="10.88671875" style="15"/>
  </cols>
  <sheetData>
    <row r="1" spans="1:5" ht="13.95" customHeight="1" x14ac:dyDescent="0.3">
      <c r="A1" s="19" t="s">
        <v>45</v>
      </c>
      <c r="B1" s="17"/>
    </row>
    <row r="2" spans="1:5" ht="13.95" customHeight="1" x14ac:dyDescent="0.25">
      <c r="A2" s="1" t="s">
        <v>167</v>
      </c>
      <c r="B2" s="17"/>
    </row>
    <row r="3" spans="1:5" ht="73.8" customHeight="1" x14ac:dyDescent="0.25">
      <c r="A3" s="16"/>
      <c r="B3" s="18" t="s">
        <v>48</v>
      </c>
      <c r="C3" s="18" t="s">
        <v>49</v>
      </c>
      <c r="D3" s="18" t="s">
        <v>46</v>
      </c>
      <c r="E3" s="18" t="s">
        <v>47</v>
      </c>
    </row>
    <row r="4" spans="1:5" ht="13.95" customHeight="1" x14ac:dyDescent="0.25">
      <c r="A4" s="16">
        <v>1780</v>
      </c>
      <c r="B4" s="20">
        <v>0.5</v>
      </c>
      <c r="C4" s="20">
        <v>0.35</v>
      </c>
      <c r="D4" s="20">
        <v>0.3</v>
      </c>
      <c r="E4" s="20">
        <v>1.4999999999999999E-2</v>
      </c>
    </row>
    <row r="5" spans="1:5" ht="13.95" customHeight="1" x14ac:dyDescent="0.25">
      <c r="A5" s="16">
        <v>1790</v>
      </c>
      <c r="B5" s="20"/>
      <c r="C5" s="20"/>
      <c r="D5" s="20"/>
      <c r="E5" s="21"/>
    </row>
    <row r="6" spans="1:5" ht="13.95" customHeight="1" x14ac:dyDescent="0.25">
      <c r="A6" s="16">
        <v>1800</v>
      </c>
      <c r="B6" s="20">
        <v>0.29164999999999996</v>
      </c>
      <c r="C6" s="20">
        <v>0.187</v>
      </c>
      <c r="D6" s="20">
        <v>0.12202418070880844</v>
      </c>
      <c r="E6" s="20">
        <v>0.01</v>
      </c>
    </row>
    <row r="7" spans="1:5" ht="13.95" customHeight="1" x14ac:dyDescent="0.25">
      <c r="A7" s="16">
        <v>1810</v>
      </c>
      <c r="B7" s="20">
        <v>0.25</v>
      </c>
      <c r="C7" s="20">
        <v>0.17699999999999999</v>
      </c>
      <c r="D7" s="20">
        <v>0.11807554554309217</v>
      </c>
      <c r="E7" s="20">
        <v>0.01</v>
      </c>
    </row>
    <row r="8" spans="1:5" ht="13.95" customHeight="1" x14ac:dyDescent="0.25">
      <c r="A8" s="16">
        <v>1820</v>
      </c>
      <c r="B8" s="20">
        <v>0.33329999999999999</v>
      </c>
      <c r="C8" s="20">
        <v>0.14829999999999999</v>
      </c>
      <c r="D8" s="20">
        <v>0.12597281587452469</v>
      </c>
      <c r="E8" s="20">
        <v>0.01</v>
      </c>
    </row>
    <row r="9" spans="1:5" ht="13.95" customHeight="1" x14ac:dyDescent="0.25">
      <c r="A9" s="16">
        <v>1830</v>
      </c>
      <c r="B9" s="20">
        <v>0.4</v>
      </c>
      <c r="C9" s="20">
        <v>0.18309999999999998</v>
      </c>
      <c r="D9" s="20">
        <v>0.16641665952095738</v>
      </c>
      <c r="E9" s="20">
        <v>1.4999999999999999E-2</v>
      </c>
    </row>
    <row r="10" spans="1:5" ht="13.95" customHeight="1" x14ac:dyDescent="0.25">
      <c r="A10" s="16">
        <v>1840</v>
      </c>
      <c r="B10" s="20">
        <v>0.44</v>
      </c>
      <c r="C10" s="20">
        <v>0.21179999999999999</v>
      </c>
      <c r="D10" s="20">
        <v>0.17764540079952934</v>
      </c>
      <c r="E10" s="20">
        <v>1.4999999999999999E-2</v>
      </c>
    </row>
    <row r="11" spans="1:5" ht="13.95" customHeight="1" x14ac:dyDescent="0.25">
      <c r="A11" s="16">
        <v>1850</v>
      </c>
      <c r="B11" s="20">
        <v>0.42109999999999997</v>
      </c>
      <c r="C11" s="20">
        <v>0.2757</v>
      </c>
      <c r="D11" s="20">
        <v>0.25823192713758403</v>
      </c>
      <c r="E11" s="20">
        <v>1.4999999999999999E-2</v>
      </c>
    </row>
    <row r="12" spans="1:5" ht="13.95" customHeight="1" x14ac:dyDescent="0.25">
      <c r="A12" s="16">
        <v>1860</v>
      </c>
      <c r="B12" s="20">
        <v>0.28000000000000003</v>
      </c>
      <c r="C12" s="20">
        <v>0.1444</v>
      </c>
      <c r="D12" s="20">
        <v>0.149730909203314</v>
      </c>
      <c r="E12" s="20">
        <v>1.2E-2</v>
      </c>
    </row>
    <row r="13" spans="1:5" ht="13.95" customHeight="1" x14ac:dyDescent="0.25">
      <c r="A13" s="16">
        <v>1870</v>
      </c>
      <c r="B13" s="20">
        <v>0.25219999999999998</v>
      </c>
      <c r="C13" s="20">
        <v>0.1338</v>
      </c>
      <c r="D13" s="20">
        <v>0.14147843969101681</v>
      </c>
      <c r="E13" s="20">
        <v>0.01</v>
      </c>
    </row>
    <row r="14" spans="1:5" ht="13.95" customHeight="1" x14ac:dyDescent="0.25">
      <c r="A14" s="16">
        <v>1880</v>
      </c>
      <c r="B14" s="20">
        <v>0.13800000000000001</v>
      </c>
      <c r="C14" s="20">
        <v>0.11800000000000001</v>
      </c>
      <c r="D14" s="20">
        <v>0.10708093348336427</v>
      </c>
      <c r="E14" s="20">
        <v>0.01</v>
      </c>
    </row>
    <row r="15" spans="1:5" ht="13.95" customHeight="1" x14ac:dyDescent="0.25">
      <c r="A15" s="16">
        <v>1890</v>
      </c>
      <c r="B15" s="20">
        <v>0.114</v>
      </c>
      <c r="C15" s="20">
        <v>0.105</v>
      </c>
      <c r="D15" s="20">
        <v>0.10674325665468562</v>
      </c>
      <c r="E15" s="20">
        <v>8.0000000000000002E-3</v>
      </c>
    </row>
    <row r="16" spans="1:5" ht="13.95" customHeight="1" x14ac:dyDescent="0.25">
      <c r="A16" s="16">
        <v>1900</v>
      </c>
      <c r="B16" s="20">
        <v>0.11</v>
      </c>
      <c r="C16" s="20">
        <v>8.7899999999999992E-2</v>
      </c>
      <c r="D16" s="20">
        <v>0.1</v>
      </c>
      <c r="E16" s="20">
        <v>6.0000000000000001E-3</v>
      </c>
    </row>
    <row r="17" spans="1:5" ht="13.95" customHeight="1" x14ac:dyDescent="0.25">
      <c r="A17" s="16">
        <v>1910</v>
      </c>
      <c r="B17" s="20">
        <v>0.105</v>
      </c>
      <c r="C17" s="20">
        <v>8.7899999999999992E-2</v>
      </c>
      <c r="D17" s="20">
        <v>0.1</v>
      </c>
      <c r="E17" s="20">
        <v>4.0000000000000001E-3</v>
      </c>
    </row>
    <row r="18" spans="1:5" ht="13.95" customHeight="1" x14ac:dyDescent="0.25">
      <c r="A18" s="16"/>
      <c r="B18" s="17"/>
      <c r="C18" s="17"/>
      <c r="D18" s="17"/>
    </row>
    <row r="19" spans="1:5" ht="13.95" customHeight="1" x14ac:dyDescent="0.25">
      <c r="A19" s="16" t="s">
        <v>50</v>
      </c>
      <c r="B19" s="17"/>
    </row>
    <row r="20" spans="1:5" ht="13.95" customHeight="1" x14ac:dyDescent="0.25">
      <c r="A20" s="16" t="s">
        <v>51</v>
      </c>
      <c r="B20" s="17"/>
    </row>
    <row r="21" spans="1:5" ht="9.9" customHeight="1" x14ac:dyDescent="0.25">
      <c r="B21" s="17"/>
    </row>
    <row r="22" spans="1:5" ht="9.9" customHeight="1" x14ac:dyDescent="0.25">
      <c r="B22" s="17"/>
    </row>
    <row r="23" spans="1:5" ht="9.9" customHeight="1" x14ac:dyDescent="0.25">
      <c r="B23" s="17"/>
    </row>
    <row r="24" spans="1:5" ht="9.9" customHeight="1" x14ac:dyDescent="0.25">
      <c r="B24" s="17"/>
    </row>
    <row r="25" spans="1:5" ht="9.9" customHeight="1" x14ac:dyDescent="0.25">
      <c r="B25" s="17"/>
    </row>
    <row r="26" spans="1:5" ht="9.9" customHeight="1" x14ac:dyDescent="0.25">
      <c r="B26" s="17"/>
    </row>
    <row r="27" spans="1:5" ht="9.9" customHeight="1" x14ac:dyDescent="0.25">
      <c r="B27" s="17"/>
    </row>
    <row r="28" spans="1:5" ht="9.9" customHeight="1" x14ac:dyDescent="0.25">
      <c r="B28" s="17"/>
    </row>
    <row r="29" spans="1:5" ht="9.9" customHeight="1" x14ac:dyDescent="0.25">
      <c r="B29" s="17"/>
    </row>
    <row r="30" spans="1:5" ht="9.9" customHeight="1" x14ac:dyDescent="0.25">
      <c r="B30" s="17"/>
    </row>
    <row r="31" spans="1:5" ht="9.9" customHeight="1" x14ac:dyDescent="0.25">
      <c r="B31" s="17"/>
    </row>
    <row r="32" spans="1:5" ht="9.9" customHeight="1" x14ac:dyDescent="0.25">
      <c r="B32" s="17"/>
    </row>
    <row r="33" spans="2:2" ht="9.9" customHeight="1" x14ac:dyDescent="0.25">
      <c r="B33" s="17"/>
    </row>
    <row r="34" spans="2:2" ht="9.9" customHeight="1" x14ac:dyDescent="0.25">
      <c r="B34" s="17"/>
    </row>
    <row r="35" spans="2:2" ht="9.9" customHeight="1" x14ac:dyDescent="0.25">
      <c r="B35" s="17"/>
    </row>
    <row r="36" spans="2:2" ht="9.9" customHeight="1" x14ac:dyDescent="0.25">
      <c r="B36" s="17"/>
    </row>
    <row r="37" spans="2:2" ht="9.9" customHeight="1" x14ac:dyDescent="0.25">
      <c r="B37" s="17"/>
    </row>
    <row r="38" spans="2:2" ht="9.9" customHeight="1" x14ac:dyDescent="0.25">
      <c r="B38" s="17"/>
    </row>
    <row r="39" spans="2:2" ht="9.9" customHeight="1" x14ac:dyDescent="0.25">
      <c r="B39" s="17"/>
    </row>
    <row r="40" spans="2:2" ht="9.9" customHeight="1" x14ac:dyDescent="0.25">
      <c r="B40" s="17"/>
    </row>
    <row r="41" spans="2:2" ht="9.9" customHeight="1" x14ac:dyDescent="0.25">
      <c r="B41" s="17"/>
    </row>
    <row r="42" spans="2:2" ht="9.9" customHeight="1" x14ac:dyDescent="0.25">
      <c r="B42" s="17"/>
    </row>
    <row r="43" spans="2:2" ht="9.9" customHeight="1" x14ac:dyDescent="0.25">
      <c r="B43" s="17"/>
    </row>
    <row r="44" spans="2:2" ht="9.9" customHeight="1" x14ac:dyDescent="0.25">
      <c r="B44" s="17"/>
    </row>
    <row r="45" spans="2:2" ht="9.9" customHeight="1" x14ac:dyDescent="0.25">
      <c r="B45" s="17"/>
    </row>
    <row r="46" spans="2:2" ht="9.9" customHeight="1" x14ac:dyDescent="0.25">
      <c r="B46" s="17"/>
    </row>
    <row r="47" spans="2:2" ht="9.9" customHeight="1" x14ac:dyDescent="0.25">
      <c r="B47" s="17"/>
    </row>
    <row r="48" spans="2:2" ht="9.9" customHeight="1" x14ac:dyDescent="0.25">
      <c r="B48" s="17"/>
    </row>
    <row r="49" spans="2:2" ht="9.9" customHeight="1" x14ac:dyDescent="0.25">
      <c r="B49" s="17"/>
    </row>
    <row r="50" spans="2:2" ht="9.9" customHeight="1" x14ac:dyDescent="0.25">
      <c r="B50" s="17"/>
    </row>
    <row r="51" spans="2:2" ht="9.9" customHeight="1" x14ac:dyDescent="0.25">
      <c r="B51" s="17"/>
    </row>
    <row r="52" spans="2:2" ht="9.9" customHeight="1" x14ac:dyDescent="0.25">
      <c r="B52" s="17"/>
    </row>
    <row r="53" spans="2:2" ht="9.9" customHeight="1" x14ac:dyDescent="0.25">
      <c r="B53" s="17"/>
    </row>
    <row r="54" spans="2:2" ht="9.9" customHeight="1" x14ac:dyDescent="0.25">
      <c r="B54" s="17"/>
    </row>
    <row r="55" spans="2:2" ht="9.9" customHeight="1" x14ac:dyDescent="0.25">
      <c r="B55" s="17"/>
    </row>
    <row r="56" spans="2:2" ht="9.9" customHeight="1" x14ac:dyDescent="0.25">
      <c r="B56" s="17"/>
    </row>
    <row r="57" spans="2:2" ht="9.9" customHeight="1" x14ac:dyDescent="0.25">
      <c r="B57" s="17"/>
    </row>
    <row r="58" spans="2:2" ht="9.9" customHeight="1" x14ac:dyDescent="0.25">
      <c r="B58" s="17"/>
    </row>
    <row r="59" spans="2:2" ht="9.9" customHeight="1" x14ac:dyDescent="0.25">
      <c r="B59" s="17"/>
    </row>
    <row r="60" spans="2:2" ht="9.9" customHeight="1" x14ac:dyDescent="0.25">
      <c r="B60" s="17"/>
    </row>
    <row r="61" spans="2:2" ht="9.9" customHeight="1" x14ac:dyDescent="0.25">
      <c r="B61" s="17"/>
    </row>
    <row r="62" spans="2:2" ht="9.9" customHeight="1" x14ac:dyDescent="0.25">
      <c r="B62" s="17"/>
    </row>
    <row r="63" spans="2:2" ht="9.9" customHeight="1" x14ac:dyDescent="0.25">
      <c r="B63" s="17"/>
    </row>
    <row r="64" spans="2:2" ht="9.9" customHeight="1" x14ac:dyDescent="0.25">
      <c r="B64" s="17"/>
    </row>
    <row r="65" spans="2:2" ht="9.9" customHeight="1" x14ac:dyDescent="0.25">
      <c r="B65" s="17"/>
    </row>
    <row r="66" spans="2:2" ht="9.9" customHeight="1" x14ac:dyDescent="0.25">
      <c r="B66" s="17"/>
    </row>
    <row r="67" spans="2:2" ht="9.9" customHeight="1" x14ac:dyDescent="0.25">
      <c r="B67" s="17"/>
    </row>
    <row r="68" spans="2:2" ht="9.9" customHeight="1" x14ac:dyDescent="0.25">
      <c r="B68" s="17"/>
    </row>
    <row r="69" spans="2:2" ht="9.9" customHeight="1" x14ac:dyDescent="0.25">
      <c r="B69" s="17"/>
    </row>
    <row r="70" spans="2:2" ht="9.9" customHeight="1" x14ac:dyDescent="0.25">
      <c r="B70" s="17"/>
    </row>
    <row r="71" spans="2:2" ht="9.9" customHeight="1" x14ac:dyDescent="0.25">
      <c r="B71" s="17"/>
    </row>
    <row r="72" spans="2:2" ht="9.9" customHeight="1" x14ac:dyDescent="0.25">
      <c r="B72" s="17"/>
    </row>
    <row r="73" spans="2:2" ht="9.9" customHeight="1" x14ac:dyDescent="0.25">
      <c r="B73" s="17"/>
    </row>
    <row r="74" spans="2:2" ht="9.9" customHeight="1" x14ac:dyDescent="0.25">
      <c r="B74" s="17"/>
    </row>
    <row r="75" spans="2:2" ht="9.9" customHeight="1" x14ac:dyDescent="0.25">
      <c r="B75" s="17"/>
    </row>
    <row r="76" spans="2:2" ht="9.9" customHeight="1" x14ac:dyDescent="0.25">
      <c r="B76" s="17"/>
    </row>
    <row r="77" spans="2:2" ht="9.9" customHeight="1" x14ac:dyDescent="0.25">
      <c r="B77" s="17"/>
    </row>
    <row r="78" spans="2:2" ht="9.9" customHeight="1" x14ac:dyDescent="0.25">
      <c r="B78" s="17"/>
    </row>
    <row r="79" spans="2:2" ht="9.9" customHeight="1" x14ac:dyDescent="0.25">
      <c r="B79" s="17"/>
    </row>
    <row r="80" spans="2:2" ht="9.9" customHeight="1" x14ac:dyDescent="0.25">
      <c r="B80" s="17"/>
    </row>
    <row r="81" spans="2:2" ht="9.9" customHeight="1" x14ac:dyDescent="0.25">
      <c r="B81" s="17"/>
    </row>
    <row r="82" spans="2:2" ht="9.9" customHeight="1" x14ac:dyDescent="0.25">
      <c r="B82" s="17"/>
    </row>
    <row r="83" spans="2:2" ht="9.9" customHeight="1" x14ac:dyDescent="0.25">
      <c r="B83" s="17"/>
    </row>
    <row r="84" spans="2:2" ht="9.9" customHeight="1" x14ac:dyDescent="0.25">
      <c r="B84" s="17"/>
    </row>
    <row r="85" spans="2:2" ht="9.9" customHeight="1" x14ac:dyDescent="0.25">
      <c r="B85" s="17"/>
    </row>
    <row r="86" spans="2:2" ht="9.9" customHeight="1" x14ac:dyDescent="0.25">
      <c r="B86" s="17"/>
    </row>
    <row r="87" spans="2:2" ht="9.9" customHeight="1" x14ac:dyDescent="0.25">
      <c r="B87" s="17"/>
    </row>
    <row r="88" spans="2:2" ht="9.9" customHeight="1" x14ac:dyDescent="0.25">
      <c r="B88" s="17"/>
    </row>
    <row r="89" spans="2:2" ht="9.9" customHeight="1" x14ac:dyDescent="0.25">
      <c r="B89" s="17"/>
    </row>
    <row r="90" spans="2:2" ht="9.9" customHeight="1" x14ac:dyDescent="0.25">
      <c r="B90" s="17"/>
    </row>
    <row r="91" spans="2:2" ht="9.9" customHeight="1" x14ac:dyDescent="0.25">
      <c r="B91" s="17"/>
    </row>
    <row r="92" spans="2:2" ht="9.9" customHeight="1" x14ac:dyDescent="0.25">
      <c r="B92" s="17"/>
    </row>
    <row r="93" spans="2:2" ht="9.9" customHeight="1" x14ac:dyDescent="0.25">
      <c r="B93" s="17"/>
    </row>
    <row r="94" spans="2:2" ht="9.9" customHeight="1" x14ac:dyDescent="0.25">
      <c r="B94" s="17"/>
    </row>
    <row r="95" spans="2:2" ht="9.9" customHeight="1" x14ac:dyDescent="0.25">
      <c r="B95" s="17"/>
    </row>
    <row r="96" spans="2:2" ht="9.9" customHeight="1" x14ac:dyDescent="0.25">
      <c r="B96" s="17"/>
    </row>
    <row r="97" spans="2:2" ht="9.9" customHeight="1" x14ac:dyDescent="0.25">
      <c r="B97" s="17"/>
    </row>
    <row r="98" spans="2:2" ht="9.9" customHeight="1" x14ac:dyDescent="0.25">
      <c r="B98" s="17"/>
    </row>
    <row r="99" spans="2:2" ht="9.9" customHeight="1" x14ac:dyDescent="0.25">
      <c r="B99" s="17"/>
    </row>
    <row r="100" spans="2:2" ht="9.9" customHeight="1" x14ac:dyDescent="0.25">
      <c r="B100" s="17"/>
    </row>
    <row r="101" spans="2:2" ht="9.9" customHeight="1" x14ac:dyDescent="0.25">
      <c r="B101" s="17"/>
    </row>
    <row r="102" spans="2:2" ht="9.9" customHeight="1" x14ac:dyDescent="0.25">
      <c r="B102" s="17"/>
    </row>
    <row r="103" spans="2:2" ht="9.9" customHeight="1" x14ac:dyDescent="0.25">
      <c r="B103" s="17"/>
    </row>
    <row r="104" spans="2:2" ht="9.9" customHeight="1" x14ac:dyDescent="0.25">
      <c r="B104" s="17"/>
    </row>
    <row r="105" spans="2:2" ht="9.9" customHeight="1" x14ac:dyDescent="0.25">
      <c r="B105" s="17"/>
    </row>
    <row r="106" spans="2:2" ht="9.9" customHeight="1" x14ac:dyDescent="0.25">
      <c r="B106" s="17"/>
    </row>
    <row r="107" spans="2:2" ht="9.9" customHeight="1" x14ac:dyDescent="0.25">
      <c r="B107" s="17"/>
    </row>
    <row r="108" spans="2:2" ht="9.9" customHeight="1" x14ac:dyDescent="0.25">
      <c r="B108" s="17"/>
    </row>
    <row r="109" spans="2:2" ht="9.9" customHeight="1" x14ac:dyDescent="0.25">
      <c r="B109" s="17"/>
    </row>
    <row r="110" spans="2:2" ht="9.9" customHeight="1" x14ac:dyDescent="0.25">
      <c r="B110" s="17"/>
    </row>
    <row r="111" spans="2:2" ht="9.9" customHeight="1" x14ac:dyDescent="0.25">
      <c r="B111" s="17"/>
    </row>
    <row r="112" spans="2:2" ht="9.9" customHeight="1" x14ac:dyDescent="0.25">
      <c r="B112" s="17"/>
    </row>
    <row r="113" spans="2:2" ht="9.9" customHeight="1" x14ac:dyDescent="0.25">
      <c r="B113" s="17"/>
    </row>
    <row r="114" spans="2:2" ht="9.9" customHeight="1" x14ac:dyDescent="0.25">
      <c r="B114" s="17"/>
    </row>
    <row r="115" spans="2:2" ht="9.9" customHeight="1" x14ac:dyDescent="0.25">
      <c r="B115" s="17"/>
    </row>
    <row r="116" spans="2:2" ht="9.9" customHeight="1" x14ac:dyDescent="0.25">
      <c r="B116" s="17"/>
    </row>
    <row r="117" spans="2:2" ht="9.9" customHeight="1" x14ac:dyDescent="0.25">
      <c r="B117" s="17"/>
    </row>
    <row r="118" spans="2:2" ht="9.9" customHeight="1" x14ac:dyDescent="0.25">
      <c r="B118" s="17"/>
    </row>
    <row r="119" spans="2:2" ht="9.9" customHeight="1" x14ac:dyDescent="0.25">
      <c r="B119" s="17"/>
    </row>
    <row r="120" spans="2:2" ht="9.9" customHeight="1" x14ac:dyDescent="0.25">
      <c r="B120" s="17"/>
    </row>
    <row r="121" spans="2:2" ht="9.9" customHeight="1" x14ac:dyDescent="0.25">
      <c r="B121" s="17"/>
    </row>
    <row r="122" spans="2:2" ht="9.9" customHeight="1" x14ac:dyDescent="0.25">
      <c r="B122" s="17"/>
    </row>
    <row r="123" spans="2:2" ht="9.9" customHeight="1" x14ac:dyDescent="0.25">
      <c r="B123" s="17"/>
    </row>
    <row r="124" spans="2:2" ht="9.9" customHeight="1" x14ac:dyDescent="0.25">
      <c r="B124" s="17"/>
    </row>
    <row r="125" spans="2:2" ht="9.9" customHeight="1" x14ac:dyDescent="0.25">
      <c r="B125" s="17"/>
    </row>
    <row r="126" spans="2:2" ht="9.9" customHeight="1" x14ac:dyDescent="0.25">
      <c r="B126" s="17"/>
    </row>
    <row r="127" spans="2:2" ht="9.9" customHeight="1" x14ac:dyDescent="0.25">
      <c r="B127" s="17"/>
    </row>
    <row r="128" spans="2:2" ht="9.9" customHeight="1" x14ac:dyDescent="0.25">
      <c r="B128" s="17"/>
    </row>
    <row r="129" spans="2:2" ht="9.9" customHeight="1" x14ac:dyDescent="0.25">
      <c r="B129" s="17"/>
    </row>
    <row r="130" spans="2:2" ht="9.9" customHeight="1" x14ac:dyDescent="0.25">
      <c r="B130" s="17"/>
    </row>
    <row r="131" spans="2:2" ht="9.9" customHeight="1" x14ac:dyDescent="0.25">
      <c r="B131" s="17"/>
    </row>
    <row r="132" spans="2:2" ht="9.9" customHeight="1" x14ac:dyDescent="0.25">
      <c r="B132" s="17"/>
    </row>
    <row r="133" spans="2:2" ht="9.9" customHeight="1" x14ac:dyDescent="0.25">
      <c r="B133" s="17"/>
    </row>
    <row r="134" spans="2:2" ht="9.9" customHeight="1" x14ac:dyDescent="0.25">
      <c r="B134" s="17"/>
    </row>
    <row r="135" spans="2:2" ht="9.9" customHeight="1" x14ac:dyDescent="0.25">
      <c r="B135" s="17"/>
    </row>
    <row r="136" spans="2:2" ht="9.9" customHeight="1" x14ac:dyDescent="0.25">
      <c r="B136" s="17"/>
    </row>
    <row r="137" spans="2:2" ht="9.9" customHeight="1" x14ac:dyDescent="0.25">
      <c r="B137" s="17"/>
    </row>
    <row r="138" spans="2:2" ht="9.9" customHeight="1" x14ac:dyDescent="0.25">
      <c r="B138" s="17"/>
    </row>
    <row r="139" spans="2:2" ht="9.9" customHeight="1" x14ac:dyDescent="0.25">
      <c r="B139" s="17"/>
    </row>
    <row r="140" spans="2:2" ht="9.9" customHeight="1" x14ac:dyDescent="0.25">
      <c r="B140" s="17"/>
    </row>
    <row r="141" spans="2:2" ht="9.9" customHeight="1" x14ac:dyDescent="0.25">
      <c r="B141" s="17"/>
    </row>
    <row r="142" spans="2:2" ht="9.9" customHeight="1" x14ac:dyDescent="0.25">
      <c r="B142" s="17"/>
    </row>
    <row r="143" spans="2:2" ht="9.9" customHeight="1" x14ac:dyDescent="0.25">
      <c r="B143" s="17"/>
    </row>
    <row r="144" spans="2:2" ht="9.9" customHeight="1" x14ac:dyDescent="0.25">
      <c r="B144" s="17"/>
    </row>
    <row r="145" spans="2:2" ht="9.9" customHeight="1" x14ac:dyDescent="0.25">
      <c r="B145" s="17"/>
    </row>
    <row r="146" spans="2:2" ht="9.9" customHeight="1" x14ac:dyDescent="0.25">
      <c r="B146" s="17"/>
    </row>
    <row r="147" spans="2:2" ht="9.9" customHeight="1" x14ac:dyDescent="0.25">
      <c r="B147" s="17"/>
    </row>
    <row r="148" spans="2:2" ht="9.9" customHeight="1" x14ac:dyDescent="0.25">
      <c r="B148" s="17"/>
    </row>
    <row r="149" spans="2:2" ht="9.9" customHeight="1" x14ac:dyDescent="0.25">
      <c r="B149" s="17"/>
    </row>
    <row r="150" spans="2:2" ht="9.9" customHeight="1" x14ac:dyDescent="0.25">
      <c r="B150" s="17"/>
    </row>
    <row r="151" spans="2:2" ht="9.9" customHeight="1" x14ac:dyDescent="0.25">
      <c r="B151" s="17"/>
    </row>
    <row r="152" spans="2:2" ht="9.9" customHeight="1" x14ac:dyDescent="0.25">
      <c r="B152" s="17"/>
    </row>
    <row r="153" spans="2:2" ht="9.9" customHeight="1" x14ac:dyDescent="0.25">
      <c r="B153" s="17"/>
    </row>
    <row r="154" spans="2:2" ht="9.9" customHeight="1" x14ac:dyDescent="0.25">
      <c r="B154" s="17"/>
    </row>
    <row r="155" spans="2:2" ht="9.9" customHeight="1" x14ac:dyDescent="0.25">
      <c r="B155" s="17"/>
    </row>
    <row r="156" spans="2:2" ht="9.9" customHeight="1" x14ac:dyDescent="0.25">
      <c r="B156" s="17"/>
    </row>
    <row r="157" spans="2:2" ht="9.9" customHeight="1" x14ac:dyDescent="0.25">
      <c r="B157" s="17"/>
    </row>
    <row r="158" spans="2:2" ht="9.9" customHeight="1" x14ac:dyDescent="0.25"/>
    <row r="159" spans="2:2" ht="9.9" customHeight="1" x14ac:dyDescent="0.25"/>
    <row r="160" spans="2:2" ht="9.9" customHeight="1" x14ac:dyDescent="0.25"/>
    <row r="161" ht="9.9" customHeight="1" x14ac:dyDescent="0.25"/>
    <row r="162" ht="9.9" customHeight="1" x14ac:dyDescent="0.25"/>
    <row r="163" ht="9.9" customHeight="1" x14ac:dyDescent="0.25"/>
    <row r="164" ht="9.9" customHeight="1" x14ac:dyDescent="0.25"/>
    <row r="165" ht="9.9" customHeight="1" x14ac:dyDescent="0.25"/>
    <row r="166" ht="9.9" customHeight="1" x14ac:dyDescent="0.25"/>
    <row r="167" ht="9.9" customHeight="1" x14ac:dyDescent="0.25"/>
    <row r="168" ht="9.9" customHeight="1" x14ac:dyDescent="0.25"/>
    <row r="169" ht="9.9" customHeight="1" x14ac:dyDescent="0.25"/>
    <row r="170" ht="9.9" customHeight="1" x14ac:dyDescent="0.25"/>
    <row r="171" ht="9.9" customHeight="1" x14ac:dyDescent="0.25"/>
    <row r="172" ht="9.9" customHeight="1" x14ac:dyDescent="0.25"/>
    <row r="173" ht="9.9" customHeight="1" x14ac:dyDescent="0.25"/>
    <row r="174" ht="9.9" customHeight="1" x14ac:dyDescent="0.25"/>
    <row r="175" ht="9.9" customHeight="1" x14ac:dyDescent="0.25"/>
    <row r="176" ht="9.9" customHeight="1" x14ac:dyDescent="0.25"/>
    <row r="177" ht="9.9" customHeight="1" x14ac:dyDescent="0.25"/>
    <row r="178" ht="9.9" customHeight="1" x14ac:dyDescent="0.25"/>
    <row r="179" ht="9.9" customHeight="1" x14ac:dyDescent="0.25"/>
    <row r="180" ht="9.9" customHeight="1" x14ac:dyDescent="0.25"/>
    <row r="181" ht="9.9" customHeight="1" x14ac:dyDescent="0.25"/>
    <row r="182" ht="9.9" customHeight="1" x14ac:dyDescent="0.25"/>
    <row r="183" ht="9.9" customHeight="1" x14ac:dyDescent="0.25"/>
    <row r="184" ht="9.9" customHeight="1" x14ac:dyDescent="0.25"/>
    <row r="185" ht="9.9" customHeight="1" x14ac:dyDescent="0.25"/>
    <row r="186" ht="9.9" customHeight="1" x14ac:dyDescent="0.25"/>
    <row r="187" ht="9.9" customHeight="1" x14ac:dyDescent="0.25"/>
    <row r="188" ht="9.9" customHeight="1" x14ac:dyDescent="0.25"/>
    <row r="189" ht="9.9" customHeight="1" x14ac:dyDescent="0.25"/>
    <row r="190" ht="9.9" customHeight="1" x14ac:dyDescent="0.25"/>
    <row r="191" ht="9.9" customHeight="1" x14ac:dyDescent="0.25"/>
    <row r="192" ht="9.9" customHeight="1" x14ac:dyDescent="0.25"/>
    <row r="193" ht="9.9" customHeight="1" x14ac:dyDescent="0.25"/>
    <row r="194" ht="9.9" customHeight="1" x14ac:dyDescent="0.25"/>
    <row r="195" ht="9.9" customHeight="1" x14ac:dyDescent="0.25"/>
    <row r="196" ht="9.9" customHeight="1" x14ac:dyDescent="0.25"/>
    <row r="197" ht="9.9" customHeight="1" x14ac:dyDescent="0.25"/>
    <row r="198" ht="9.9" customHeight="1" x14ac:dyDescent="0.25"/>
    <row r="199" ht="9.9" customHeight="1" x14ac:dyDescent="0.25"/>
    <row r="200" ht="9.9" customHeight="1" x14ac:dyDescent="0.25"/>
    <row r="201" ht="9.9" customHeight="1" x14ac:dyDescent="0.25"/>
    <row r="202" ht="9.9" customHeight="1" x14ac:dyDescent="0.25"/>
    <row r="203" ht="9.9" customHeight="1" x14ac:dyDescent="0.25"/>
    <row r="204" ht="9.9" customHeight="1" x14ac:dyDescent="0.25"/>
    <row r="205" ht="9.9" customHeight="1" x14ac:dyDescent="0.25"/>
    <row r="206" ht="9.9" customHeight="1" x14ac:dyDescent="0.25"/>
    <row r="207" ht="9.9" customHeight="1" x14ac:dyDescent="0.25"/>
    <row r="208" ht="9.9" customHeight="1" x14ac:dyDescent="0.25"/>
    <row r="209" ht="9.9" customHeight="1" x14ac:dyDescent="0.25"/>
    <row r="210" ht="9.9" customHeight="1" x14ac:dyDescent="0.25"/>
    <row r="211" ht="9.9" customHeight="1" x14ac:dyDescent="0.25"/>
    <row r="212" ht="9.9" customHeight="1" x14ac:dyDescent="0.25"/>
    <row r="213" ht="9.9" customHeight="1" x14ac:dyDescent="0.25"/>
    <row r="214" ht="9.9" customHeight="1" x14ac:dyDescent="0.25"/>
    <row r="215" ht="9.9" customHeight="1" x14ac:dyDescent="0.25"/>
    <row r="216" ht="9.9" customHeight="1" x14ac:dyDescent="0.25"/>
    <row r="217" ht="9.9" customHeight="1" x14ac:dyDescent="0.25"/>
    <row r="218" ht="9.9" customHeight="1" x14ac:dyDescent="0.25"/>
    <row r="219" ht="9.9" customHeight="1" x14ac:dyDescent="0.25"/>
    <row r="220" ht="9.9" customHeight="1" x14ac:dyDescent="0.25"/>
    <row r="221" ht="9.9" customHeight="1" x14ac:dyDescent="0.25"/>
    <row r="222" ht="9.9" customHeight="1" x14ac:dyDescent="0.25"/>
    <row r="223" ht="9.9" customHeight="1" x14ac:dyDescent="0.25"/>
    <row r="224" ht="9.9" customHeight="1" x14ac:dyDescent="0.25"/>
    <row r="225" ht="9.9" customHeight="1" x14ac:dyDescent="0.25"/>
    <row r="226" ht="9.9" customHeight="1" x14ac:dyDescent="0.25"/>
    <row r="227" ht="9.9" customHeight="1" x14ac:dyDescent="0.25"/>
    <row r="228" ht="9.9" customHeight="1" x14ac:dyDescent="0.25"/>
    <row r="229" ht="9.9" customHeight="1" x14ac:dyDescent="0.25"/>
    <row r="230" ht="9.9" customHeight="1" x14ac:dyDescent="0.25"/>
    <row r="231" ht="9.9" customHeight="1" x14ac:dyDescent="0.25"/>
    <row r="232" ht="9.9" customHeight="1" x14ac:dyDescent="0.25"/>
    <row r="233" ht="9.9" customHeight="1" x14ac:dyDescent="0.25"/>
    <row r="234" ht="9.9" customHeight="1" x14ac:dyDescent="0.25"/>
    <row r="235" ht="9.9" customHeight="1" x14ac:dyDescent="0.25"/>
    <row r="236" ht="9.9" customHeight="1" x14ac:dyDescent="0.25"/>
    <row r="237" ht="9.9" customHeight="1" x14ac:dyDescent="0.25"/>
    <row r="238" ht="9.9" customHeight="1" x14ac:dyDescent="0.25"/>
    <row r="239" ht="9.9" customHeight="1" x14ac:dyDescent="0.25"/>
    <row r="240" ht="9.9" customHeight="1" x14ac:dyDescent="0.25"/>
    <row r="241" ht="9.9" customHeight="1" x14ac:dyDescent="0.25"/>
    <row r="242" ht="9.9" customHeight="1" x14ac:dyDescent="0.25"/>
    <row r="243" ht="9.9" customHeight="1" x14ac:dyDescent="0.25"/>
    <row r="244" ht="9.9" customHeight="1" x14ac:dyDescent="0.25"/>
    <row r="245" ht="9.9" customHeight="1" x14ac:dyDescent="0.25"/>
    <row r="246" ht="9.9" customHeight="1" x14ac:dyDescent="0.25"/>
    <row r="247" ht="9.9" customHeight="1" x14ac:dyDescent="0.25"/>
    <row r="248" ht="9.9" customHeight="1" x14ac:dyDescent="0.25"/>
    <row r="249" ht="9.9" customHeight="1" x14ac:dyDescent="0.25"/>
    <row r="250" ht="9.9" customHeight="1" x14ac:dyDescent="0.25"/>
    <row r="251" ht="9.9" customHeight="1" x14ac:dyDescent="0.25"/>
    <row r="252" ht="9.9" customHeight="1" x14ac:dyDescent="0.25"/>
    <row r="253" ht="9.9" customHeight="1" x14ac:dyDescent="0.25"/>
    <row r="254" ht="9.9" customHeight="1" x14ac:dyDescent="0.25"/>
    <row r="255" ht="9.9" customHeight="1" x14ac:dyDescent="0.25"/>
    <row r="256" ht="9.9" customHeight="1" x14ac:dyDescent="0.25"/>
    <row r="257" ht="9.9" customHeight="1" x14ac:dyDescent="0.25"/>
    <row r="258" ht="9.9" customHeight="1" x14ac:dyDescent="0.25"/>
    <row r="259" ht="9.9" customHeight="1" x14ac:dyDescent="0.25"/>
    <row r="260" ht="9.9" customHeight="1" x14ac:dyDescent="0.25"/>
    <row r="261" ht="9.9" customHeight="1" x14ac:dyDescent="0.25"/>
    <row r="262" ht="9.9" customHeight="1" x14ac:dyDescent="0.25"/>
    <row r="263" ht="9.9" customHeight="1" x14ac:dyDescent="0.25"/>
    <row r="264" ht="9.9" customHeight="1" x14ac:dyDescent="0.25"/>
    <row r="265" ht="9.9" customHeight="1" x14ac:dyDescent="0.25"/>
    <row r="266" ht="9.9" customHeight="1" x14ac:dyDescent="0.25"/>
    <row r="267" ht="9.9" customHeight="1" x14ac:dyDescent="0.25"/>
    <row r="268" ht="9.9" customHeight="1" x14ac:dyDescent="0.25"/>
    <row r="269" ht="9.9" customHeight="1" x14ac:dyDescent="0.25"/>
    <row r="270" ht="9.9" customHeight="1" x14ac:dyDescent="0.25"/>
    <row r="271" ht="9.9" customHeight="1" x14ac:dyDescent="0.25"/>
    <row r="272" ht="9.9" customHeight="1" x14ac:dyDescent="0.25"/>
    <row r="273" ht="9.9" customHeight="1" x14ac:dyDescent="0.25"/>
    <row r="274" ht="9.9" customHeight="1" x14ac:dyDescent="0.25"/>
    <row r="275" ht="9.9" customHeight="1" x14ac:dyDescent="0.25"/>
    <row r="276" ht="9.9" customHeight="1" x14ac:dyDescent="0.25"/>
    <row r="277" ht="9.9" customHeight="1" x14ac:dyDescent="0.25"/>
    <row r="278" ht="9.9" customHeight="1" x14ac:dyDescent="0.25"/>
    <row r="279" ht="9.9" customHeight="1" x14ac:dyDescent="0.25"/>
    <row r="280" ht="9.9" customHeight="1" x14ac:dyDescent="0.25"/>
    <row r="281" ht="9.9" customHeight="1" x14ac:dyDescent="0.25"/>
    <row r="282" ht="9.9" customHeight="1" x14ac:dyDescent="0.25"/>
    <row r="283" ht="9.9" customHeight="1" x14ac:dyDescent="0.25"/>
    <row r="284" ht="9.9" customHeight="1" x14ac:dyDescent="0.25"/>
    <row r="285" ht="9.9" customHeight="1" x14ac:dyDescent="0.25"/>
    <row r="286" ht="9.9" customHeight="1" x14ac:dyDescent="0.25"/>
    <row r="287" ht="9.9" customHeight="1" x14ac:dyDescent="0.25"/>
    <row r="288" ht="9.9" customHeight="1" x14ac:dyDescent="0.25"/>
    <row r="289" ht="9.9" customHeight="1" x14ac:dyDescent="0.25"/>
    <row r="290" ht="9.9" customHeight="1" x14ac:dyDescent="0.25"/>
    <row r="291" ht="9.9" customHeight="1" x14ac:dyDescent="0.25"/>
    <row r="292" ht="9.9" customHeight="1" x14ac:dyDescent="0.25"/>
    <row r="293" ht="9.9" customHeight="1" x14ac:dyDescent="0.25"/>
    <row r="294" ht="9.9" customHeight="1" x14ac:dyDescent="0.25"/>
    <row r="295" ht="9.9" customHeight="1" x14ac:dyDescent="0.25"/>
    <row r="296" ht="9.9" customHeight="1" x14ac:dyDescent="0.25"/>
    <row r="297" ht="9.9" customHeight="1" x14ac:dyDescent="0.25"/>
    <row r="298" ht="9.9" customHeight="1" x14ac:dyDescent="0.25"/>
    <row r="299" ht="9.9" customHeight="1" x14ac:dyDescent="0.25"/>
    <row r="300" ht="9.9" customHeight="1" x14ac:dyDescent="0.25"/>
    <row r="301" ht="9.9" customHeight="1" x14ac:dyDescent="0.25"/>
    <row r="302" ht="9.9" customHeight="1" x14ac:dyDescent="0.25"/>
    <row r="303" ht="9.9" customHeight="1" x14ac:dyDescent="0.25"/>
    <row r="304" ht="9.9" customHeight="1" x14ac:dyDescent="0.25"/>
    <row r="305" ht="9.9" customHeight="1" x14ac:dyDescent="0.25"/>
    <row r="306" ht="9.9" customHeight="1" x14ac:dyDescent="0.25"/>
    <row r="307" ht="9.9" customHeight="1" x14ac:dyDescent="0.25"/>
    <row r="308" ht="9.9" customHeight="1" x14ac:dyDescent="0.25"/>
    <row r="309" ht="9.9" customHeight="1" x14ac:dyDescent="0.25"/>
    <row r="310" ht="9.9" customHeight="1" x14ac:dyDescent="0.25"/>
    <row r="311" ht="9.9" customHeight="1" x14ac:dyDescent="0.25"/>
    <row r="312" ht="9.9" customHeight="1" x14ac:dyDescent="0.25"/>
    <row r="313" ht="9.9" customHeight="1" x14ac:dyDescent="0.25"/>
    <row r="314" ht="9.9" customHeight="1" x14ac:dyDescent="0.25"/>
    <row r="315" ht="9.9" customHeight="1" x14ac:dyDescent="0.25"/>
    <row r="316" ht="9.9" customHeight="1" x14ac:dyDescent="0.25"/>
    <row r="317" ht="9.9" customHeight="1" x14ac:dyDescent="0.25"/>
    <row r="318" ht="9.9" customHeight="1" x14ac:dyDescent="0.25"/>
    <row r="319" ht="9.9" customHeight="1" x14ac:dyDescent="0.25"/>
    <row r="320" ht="9.9" customHeight="1" x14ac:dyDescent="0.25"/>
    <row r="321" ht="9.9" customHeight="1" x14ac:dyDescent="0.25"/>
    <row r="322" ht="9.9" customHeight="1" x14ac:dyDescent="0.25"/>
    <row r="323" ht="9.9" customHeight="1" x14ac:dyDescent="0.25"/>
    <row r="324" ht="9.9" customHeight="1" x14ac:dyDescent="0.25"/>
    <row r="325" ht="9.9" customHeight="1" x14ac:dyDescent="0.25"/>
    <row r="326" ht="9.9" customHeight="1" x14ac:dyDescent="0.25"/>
    <row r="327" ht="9.9" customHeight="1" x14ac:dyDescent="0.25"/>
    <row r="328" ht="9.9" customHeight="1" x14ac:dyDescent="0.25"/>
    <row r="329" ht="9.9" customHeight="1" x14ac:dyDescent="0.25"/>
    <row r="330" ht="9.9" customHeight="1" x14ac:dyDescent="0.25"/>
    <row r="331" ht="9.9" customHeight="1" x14ac:dyDescent="0.25"/>
    <row r="332" ht="9.9" customHeight="1" x14ac:dyDescent="0.25"/>
    <row r="333" ht="9.9" customHeight="1" x14ac:dyDescent="0.25"/>
    <row r="334" ht="9.9" customHeight="1" x14ac:dyDescent="0.25"/>
    <row r="335" ht="9.9" customHeight="1" x14ac:dyDescent="0.25"/>
    <row r="336" ht="9.9" customHeight="1" x14ac:dyDescent="0.25"/>
    <row r="337" ht="9.9" customHeight="1" x14ac:dyDescent="0.25"/>
    <row r="338" ht="9.9" customHeight="1" x14ac:dyDescent="0.25"/>
    <row r="339" ht="9.9" customHeight="1" x14ac:dyDescent="0.25"/>
    <row r="340" ht="9.9" customHeight="1" x14ac:dyDescent="0.25"/>
    <row r="341" ht="9.9" customHeight="1" x14ac:dyDescent="0.25"/>
    <row r="342" ht="9.9" customHeight="1" x14ac:dyDescent="0.25"/>
    <row r="343" ht="9.9" customHeight="1" x14ac:dyDescent="0.25"/>
    <row r="344" ht="9.9" customHeight="1" x14ac:dyDescent="0.25"/>
    <row r="345" ht="9.9" customHeight="1" x14ac:dyDescent="0.25"/>
    <row r="346" ht="9.9" customHeight="1" x14ac:dyDescent="0.25"/>
    <row r="347" ht="9.9" customHeight="1" x14ac:dyDescent="0.25"/>
    <row r="348" ht="9.9" customHeight="1" x14ac:dyDescent="0.25"/>
    <row r="349" ht="9.9" customHeight="1" x14ac:dyDescent="0.25"/>
    <row r="350" ht="9.9" customHeight="1" x14ac:dyDescent="0.25"/>
    <row r="351" ht="9.9" customHeight="1" x14ac:dyDescent="0.25"/>
    <row r="352" ht="9.9" customHeight="1" x14ac:dyDescent="0.25"/>
    <row r="353" ht="9.9" customHeight="1" x14ac:dyDescent="0.25"/>
    <row r="354" ht="9.9" customHeight="1" x14ac:dyDescent="0.25"/>
    <row r="355" ht="9.9" customHeight="1" x14ac:dyDescent="0.25"/>
    <row r="356" ht="9.9" customHeight="1" x14ac:dyDescent="0.25"/>
    <row r="357" ht="9.9" customHeight="1" x14ac:dyDescent="0.25"/>
    <row r="358" ht="9.9" customHeight="1" x14ac:dyDescent="0.25"/>
    <row r="359" ht="9.9" customHeight="1" x14ac:dyDescent="0.25"/>
    <row r="360" ht="9.9" customHeight="1" x14ac:dyDescent="0.25"/>
    <row r="361" ht="9.9" customHeight="1" x14ac:dyDescent="0.25"/>
    <row r="362" ht="9.9" customHeight="1" x14ac:dyDescent="0.25"/>
    <row r="363" ht="9.9" customHeight="1" x14ac:dyDescent="0.25"/>
    <row r="364" ht="9.9" customHeight="1" x14ac:dyDescent="0.25"/>
    <row r="365" ht="9.9" customHeight="1" x14ac:dyDescent="0.25"/>
    <row r="366" ht="9.9" customHeight="1" x14ac:dyDescent="0.25"/>
    <row r="367" ht="9.9" customHeight="1" x14ac:dyDescent="0.25"/>
    <row r="368" ht="9.9" customHeight="1" x14ac:dyDescent="0.25"/>
    <row r="369" ht="9.9" customHeight="1" x14ac:dyDescent="0.25"/>
    <row r="370" ht="9.9" customHeight="1" x14ac:dyDescent="0.25"/>
    <row r="371" ht="9.9" customHeight="1" x14ac:dyDescent="0.25"/>
    <row r="372" ht="9.9" customHeight="1" x14ac:dyDescent="0.25"/>
    <row r="373" ht="9.9" customHeight="1" x14ac:dyDescent="0.25"/>
    <row r="374" ht="9.9" customHeight="1" x14ac:dyDescent="0.25"/>
    <row r="375" ht="9.9" customHeight="1" x14ac:dyDescent="0.25"/>
    <row r="376" ht="9.9" customHeight="1" x14ac:dyDescent="0.25"/>
    <row r="377" ht="9.9" customHeight="1" x14ac:dyDescent="0.25"/>
    <row r="378" ht="9.9" customHeight="1" x14ac:dyDescent="0.25"/>
    <row r="379" ht="9.9" customHeight="1" x14ac:dyDescent="0.25"/>
    <row r="380" ht="9.9" customHeight="1" x14ac:dyDescent="0.25"/>
    <row r="381" ht="9.9" customHeight="1" x14ac:dyDescent="0.25"/>
    <row r="382" ht="9.9" customHeight="1" x14ac:dyDescent="0.25"/>
    <row r="383" ht="9.9" customHeight="1" x14ac:dyDescent="0.25"/>
    <row r="384" ht="9.9" customHeight="1" x14ac:dyDescent="0.25"/>
    <row r="385" ht="9.9" customHeight="1" x14ac:dyDescent="0.25"/>
    <row r="386" ht="9.9" customHeight="1" x14ac:dyDescent="0.25"/>
    <row r="387" ht="9.9" customHeight="1" x14ac:dyDescent="0.25"/>
    <row r="388" ht="9.9" customHeight="1" x14ac:dyDescent="0.25"/>
    <row r="389" ht="9.9" customHeight="1" x14ac:dyDescent="0.25"/>
    <row r="390" ht="9.9" customHeight="1" x14ac:dyDescent="0.25"/>
    <row r="391" ht="9.9" customHeight="1" x14ac:dyDescent="0.25"/>
    <row r="392" ht="9.9" customHeight="1" x14ac:dyDescent="0.25"/>
    <row r="393" ht="9.9" customHeight="1" x14ac:dyDescent="0.25"/>
    <row r="394" ht="9.9" customHeight="1" x14ac:dyDescent="0.25"/>
    <row r="395" ht="9.9" customHeight="1" x14ac:dyDescent="0.25"/>
    <row r="396" ht="9.9" customHeight="1" x14ac:dyDescent="0.25"/>
    <row r="397" ht="9.9" customHeight="1" x14ac:dyDescent="0.25"/>
    <row r="398" ht="9.9" customHeight="1" x14ac:dyDescent="0.25"/>
    <row r="399" ht="9.9" customHeight="1" x14ac:dyDescent="0.25"/>
    <row r="400" ht="9.9" customHeight="1" x14ac:dyDescent="0.25"/>
    <row r="401" ht="9.9" customHeight="1" x14ac:dyDescent="0.25"/>
    <row r="402" ht="9.9" customHeight="1" x14ac:dyDescent="0.25"/>
    <row r="403" ht="9.9" customHeight="1" x14ac:dyDescent="0.25"/>
    <row r="404" ht="9.9" customHeight="1" x14ac:dyDescent="0.25"/>
    <row r="405" ht="9.9" customHeight="1" x14ac:dyDescent="0.25"/>
    <row r="406" ht="9.9" customHeight="1" x14ac:dyDescent="0.25"/>
    <row r="407" ht="9.9" customHeight="1" x14ac:dyDescent="0.25"/>
    <row r="408" ht="9.9" customHeight="1" x14ac:dyDescent="0.25"/>
    <row r="409" ht="9.9" customHeight="1" x14ac:dyDescent="0.25"/>
    <row r="410" ht="9.9" customHeight="1" x14ac:dyDescent="0.25"/>
    <row r="411" ht="9.9" customHeight="1" x14ac:dyDescent="0.25"/>
    <row r="412" ht="9.9" customHeight="1" x14ac:dyDescent="0.25"/>
    <row r="413" ht="9.9" customHeight="1" x14ac:dyDescent="0.25"/>
    <row r="414" ht="9.9" customHeight="1" x14ac:dyDescent="0.25"/>
    <row r="415" ht="9.9" customHeight="1" x14ac:dyDescent="0.25"/>
    <row r="416" ht="9.9" customHeight="1" x14ac:dyDescent="0.25"/>
    <row r="417" ht="9.9" customHeight="1" x14ac:dyDescent="0.25"/>
    <row r="418" ht="9.9" customHeight="1" x14ac:dyDescent="0.25"/>
    <row r="419" ht="9.9" customHeight="1" x14ac:dyDescent="0.25"/>
    <row r="420" ht="9.9" customHeight="1" x14ac:dyDescent="0.25"/>
    <row r="421" ht="9.9" customHeight="1" x14ac:dyDescent="0.25"/>
    <row r="422" ht="9.9" customHeight="1" x14ac:dyDescent="0.25"/>
    <row r="423" ht="9.9" customHeight="1" x14ac:dyDescent="0.25"/>
    <row r="424" ht="9.9" customHeight="1" x14ac:dyDescent="0.25"/>
    <row r="425" ht="9.9" customHeight="1" x14ac:dyDescent="0.25"/>
    <row r="426" ht="9.9" customHeight="1" x14ac:dyDescent="0.25"/>
    <row r="427" ht="9.9" customHeight="1" x14ac:dyDescent="0.25"/>
    <row r="428" ht="9.9" customHeight="1" x14ac:dyDescent="0.25"/>
    <row r="429" ht="9.9" customHeight="1" x14ac:dyDescent="0.25"/>
    <row r="430" ht="9.9" customHeight="1" x14ac:dyDescent="0.25"/>
    <row r="431" ht="9.9" customHeight="1" x14ac:dyDescent="0.25"/>
    <row r="432" ht="9.9" customHeight="1" x14ac:dyDescent="0.25"/>
    <row r="433" ht="9.9" customHeight="1" x14ac:dyDescent="0.25"/>
    <row r="434" ht="9.9" customHeight="1" x14ac:dyDescent="0.25"/>
    <row r="435" ht="9.9" customHeight="1" x14ac:dyDescent="0.25"/>
    <row r="436" ht="9.9" customHeight="1" x14ac:dyDescent="0.25"/>
    <row r="437" ht="9.9" customHeight="1" x14ac:dyDescent="0.25"/>
    <row r="438" ht="9.9" customHeight="1" x14ac:dyDescent="0.25"/>
    <row r="439" ht="9.9" customHeight="1" x14ac:dyDescent="0.25"/>
    <row r="440" ht="9.9" customHeight="1" x14ac:dyDescent="0.25"/>
    <row r="441" ht="9.9" customHeight="1" x14ac:dyDescent="0.25"/>
    <row r="442" ht="9.9" customHeight="1" x14ac:dyDescent="0.25"/>
    <row r="443" ht="9.9" customHeight="1" x14ac:dyDescent="0.25"/>
    <row r="444" ht="9.9" customHeight="1" x14ac:dyDescent="0.25"/>
    <row r="445" ht="9.9" customHeight="1" x14ac:dyDescent="0.25"/>
    <row r="446" ht="9.9" customHeight="1" x14ac:dyDescent="0.25"/>
    <row r="447" ht="9.9" customHeight="1" x14ac:dyDescent="0.25"/>
    <row r="448" ht="9.9" customHeight="1" x14ac:dyDescent="0.25"/>
    <row r="449" ht="9.9" customHeight="1" x14ac:dyDescent="0.25"/>
    <row r="450" ht="9.9" customHeight="1" x14ac:dyDescent="0.25"/>
    <row r="451" ht="9.9" customHeight="1" x14ac:dyDescent="0.25"/>
    <row r="452" ht="9.9" customHeight="1" x14ac:dyDescent="0.25"/>
    <row r="453" ht="9.9" customHeight="1" x14ac:dyDescent="0.25"/>
    <row r="454" ht="9.9" customHeight="1" x14ac:dyDescent="0.25"/>
    <row r="455" ht="9.9" customHeight="1" x14ac:dyDescent="0.25"/>
    <row r="456" ht="9.9" customHeight="1" x14ac:dyDescent="0.25"/>
    <row r="457" ht="9.9" customHeight="1" x14ac:dyDescent="0.25"/>
    <row r="458" ht="9.9" customHeight="1" x14ac:dyDescent="0.25"/>
    <row r="459" ht="9.9" customHeight="1" x14ac:dyDescent="0.25"/>
    <row r="460" ht="9.9" customHeight="1" x14ac:dyDescent="0.25"/>
    <row r="461" ht="9.9" customHeight="1" x14ac:dyDescent="0.25"/>
    <row r="462" ht="9.9" customHeight="1" x14ac:dyDescent="0.25"/>
    <row r="463" ht="9.9" customHeight="1" x14ac:dyDescent="0.25"/>
    <row r="464" ht="9.9" customHeight="1" x14ac:dyDescent="0.25"/>
    <row r="465" ht="9.9" customHeight="1" x14ac:dyDescent="0.25"/>
    <row r="466" ht="9.9" customHeight="1" x14ac:dyDescent="0.25"/>
    <row r="467" ht="9.9" customHeight="1" x14ac:dyDescent="0.25"/>
    <row r="468" ht="9.9" customHeight="1" x14ac:dyDescent="0.25"/>
    <row r="469" ht="9.9" customHeight="1" x14ac:dyDescent="0.25"/>
    <row r="470" ht="9.9" customHeight="1" x14ac:dyDescent="0.25"/>
    <row r="471" ht="9.9" customHeight="1" x14ac:dyDescent="0.25"/>
    <row r="472" ht="9.9" customHeight="1" x14ac:dyDescent="0.25"/>
    <row r="473" ht="9.9" customHeight="1" x14ac:dyDescent="0.25"/>
    <row r="474" ht="9.9" customHeight="1" x14ac:dyDescent="0.25"/>
    <row r="475" ht="9.9" customHeight="1" x14ac:dyDescent="0.25"/>
    <row r="476" ht="9.9" customHeight="1" x14ac:dyDescent="0.25"/>
    <row r="477" ht="9.9" customHeight="1" x14ac:dyDescent="0.25"/>
    <row r="478" ht="9.9" customHeight="1" x14ac:dyDescent="0.25"/>
    <row r="479" ht="9.9" customHeight="1" x14ac:dyDescent="0.25"/>
    <row r="480" ht="9.9" customHeight="1" x14ac:dyDescent="0.25"/>
    <row r="481" ht="9.9" customHeight="1" x14ac:dyDescent="0.25"/>
    <row r="482" ht="9.9" customHeight="1" x14ac:dyDescent="0.25"/>
    <row r="483" ht="9.9" customHeight="1" x14ac:dyDescent="0.25"/>
    <row r="484" ht="9.9" customHeight="1" x14ac:dyDescent="0.25"/>
    <row r="485" ht="9.9" customHeight="1" x14ac:dyDescent="0.25"/>
    <row r="486" ht="9.9" customHeight="1" x14ac:dyDescent="0.25"/>
    <row r="487" ht="9.9" customHeight="1" x14ac:dyDescent="0.25"/>
    <row r="488" ht="9.9" customHeight="1" x14ac:dyDescent="0.25"/>
    <row r="489" ht="9.9" customHeight="1" x14ac:dyDescent="0.25"/>
    <row r="490" ht="9.9" customHeight="1" x14ac:dyDescent="0.25"/>
    <row r="491" ht="9.9" customHeight="1" x14ac:dyDescent="0.25"/>
    <row r="492" ht="9.9" customHeight="1" x14ac:dyDescent="0.25"/>
    <row r="493" ht="9.9" customHeight="1" x14ac:dyDescent="0.25"/>
    <row r="494" ht="9.9" customHeight="1" x14ac:dyDescent="0.25"/>
    <row r="495" ht="9.9" customHeight="1" x14ac:dyDescent="0.25"/>
    <row r="496" ht="9.9" customHeight="1" x14ac:dyDescent="0.25"/>
    <row r="497" ht="9.9" customHeight="1" x14ac:dyDescent="0.25"/>
    <row r="498" ht="9.9" customHeight="1" x14ac:dyDescent="0.25"/>
    <row r="499" ht="9.9" customHeight="1" x14ac:dyDescent="0.25"/>
    <row r="500" ht="9.9" customHeight="1" x14ac:dyDescent="0.25"/>
    <row r="501" ht="9.9" customHeight="1" x14ac:dyDescent="0.25"/>
    <row r="502" ht="9.9" customHeight="1" x14ac:dyDescent="0.25"/>
    <row r="503" ht="9.9" customHeight="1" x14ac:dyDescent="0.25"/>
    <row r="504" ht="9.9" customHeight="1" x14ac:dyDescent="0.25"/>
    <row r="505" ht="9.9" customHeight="1" x14ac:dyDescent="0.25"/>
    <row r="506" ht="9.9" customHeight="1" x14ac:dyDescent="0.25"/>
    <row r="507" ht="9.9" customHeight="1" x14ac:dyDescent="0.25"/>
    <row r="508" ht="9.9" customHeight="1" x14ac:dyDescent="0.25"/>
    <row r="509" ht="9.9" customHeight="1" x14ac:dyDescent="0.25"/>
    <row r="510" ht="9.9" customHeight="1" x14ac:dyDescent="0.25"/>
    <row r="511" ht="9.9" customHeight="1" x14ac:dyDescent="0.25"/>
    <row r="512" ht="9.9" customHeight="1" x14ac:dyDescent="0.25"/>
    <row r="513" ht="9.9" customHeight="1" x14ac:dyDescent="0.25"/>
    <row r="514" ht="9.9" customHeight="1" x14ac:dyDescent="0.25"/>
    <row r="515" ht="9.9" customHeight="1" x14ac:dyDescent="0.25"/>
    <row r="516" ht="9.9" customHeight="1" x14ac:dyDescent="0.25"/>
    <row r="517" ht="9.9" customHeight="1" x14ac:dyDescent="0.25"/>
    <row r="518" ht="9.9" customHeight="1" x14ac:dyDescent="0.25"/>
    <row r="519" ht="9.9" customHeight="1" x14ac:dyDescent="0.25"/>
    <row r="520" ht="9.9" customHeight="1" x14ac:dyDescent="0.25"/>
    <row r="521" ht="9.9" customHeight="1" x14ac:dyDescent="0.25"/>
    <row r="522" ht="9.9" customHeight="1" x14ac:dyDescent="0.25"/>
    <row r="523" ht="9.9" customHeight="1" x14ac:dyDescent="0.25"/>
    <row r="524" ht="9.9" customHeight="1" x14ac:dyDescent="0.25"/>
    <row r="525" ht="9.9" customHeight="1" x14ac:dyDescent="0.25"/>
    <row r="526" ht="9.9" customHeight="1" x14ac:dyDescent="0.25"/>
    <row r="527" ht="9.9" customHeight="1" x14ac:dyDescent="0.25"/>
    <row r="528" ht="9.9" customHeight="1" x14ac:dyDescent="0.25"/>
    <row r="529" ht="9.9" customHeight="1" x14ac:dyDescent="0.25"/>
    <row r="530" ht="9.9" customHeight="1" x14ac:dyDescent="0.25"/>
    <row r="531" ht="9.9" customHeight="1" x14ac:dyDescent="0.25"/>
    <row r="532" ht="9.9" customHeight="1" x14ac:dyDescent="0.25"/>
    <row r="533" ht="9.9" customHeight="1" x14ac:dyDescent="0.25"/>
    <row r="534" ht="9.9" customHeight="1" x14ac:dyDescent="0.25"/>
    <row r="535" ht="9.9" customHeight="1" x14ac:dyDescent="0.25"/>
    <row r="536" ht="9.9" customHeight="1" x14ac:dyDescent="0.25"/>
    <row r="537" ht="9.9" customHeight="1" x14ac:dyDescent="0.25"/>
    <row r="538" ht="9.9" customHeight="1" x14ac:dyDescent="0.25"/>
    <row r="539" ht="9.9" customHeight="1" x14ac:dyDescent="0.25"/>
    <row r="540" ht="9.9" customHeight="1" x14ac:dyDescent="0.25"/>
    <row r="541" ht="9.9" customHeight="1" x14ac:dyDescent="0.25"/>
    <row r="542" ht="9.9" customHeight="1" x14ac:dyDescent="0.25"/>
    <row r="543" ht="9.9" customHeight="1" x14ac:dyDescent="0.25"/>
    <row r="544" ht="9.9" customHeight="1" x14ac:dyDescent="0.25"/>
    <row r="545" ht="9.9" customHeight="1" x14ac:dyDescent="0.25"/>
    <row r="546" ht="9.9" customHeight="1" x14ac:dyDescent="0.25"/>
    <row r="547" ht="9.9" customHeight="1" x14ac:dyDescent="0.25"/>
    <row r="548" ht="9.9" customHeight="1" x14ac:dyDescent="0.25"/>
    <row r="549" ht="9.9" customHeight="1" x14ac:dyDescent="0.25"/>
    <row r="550" ht="9.9" customHeight="1" x14ac:dyDescent="0.25"/>
    <row r="551" ht="9.9" customHeight="1" x14ac:dyDescent="0.25"/>
    <row r="552" ht="9.9" customHeight="1" x14ac:dyDescent="0.25"/>
    <row r="553" ht="9.9" customHeight="1" x14ac:dyDescent="0.25"/>
    <row r="554" ht="9.9" customHeight="1" x14ac:dyDescent="0.25"/>
    <row r="555" ht="9.9" customHeight="1" x14ac:dyDescent="0.25"/>
    <row r="556" ht="9.9" customHeight="1" x14ac:dyDescent="0.25"/>
    <row r="557" ht="9.9" customHeight="1" x14ac:dyDescent="0.25"/>
    <row r="558" ht="9.9" customHeight="1" x14ac:dyDescent="0.25"/>
    <row r="559" ht="9.9" customHeight="1" x14ac:dyDescent="0.25"/>
    <row r="560" ht="9.9" customHeight="1" x14ac:dyDescent="0.25"/>
    <row r="561" ht="9.9" customHeight="1" x14ac:dyDescent="0.25"/>
    <row r="562" ht="9.9" customHeight="1" x14ac:dyDescent="0.25"/>
    <row r="563" ht="9.9" customHeight="1" x14ac:dyDescent="0.25"/>
    <row r="564" ht="9.9" customHeight="1" x14ac:dyDescent="0.25"/>
    <row r="565" ht="9.9" customHeight="1" x14ac:dyDescent="0.25"/>
    <row r="566" ht="9.9" customHeight="1" x14ac:dyDescent="0.25"/>
    <row r="567" ht="9.9" customHeight="1" x14ac:dyDescent="0.25"/>
    <row r="568" ht="9.9" customHeight="1" x14ac:dyDescent="0.25"/>
    <row r="569" ht="9.9" customHeight="1" x14ac:dyDescent="0.25"/>
    <row r="570" ht="9.9" customHeight="1" x14ac:dyDescent="0.25"/>
    <row r="571" ht="9.9" customHeight="1" x14ac:dyDescent="0.25"/>
    <row r="572" ht="9.9" customHeight="1" x14ac:dyDescent="0.25"/>
    <row r="573" ht="9.9" customHeight="1" x14ac:dyDescent="0.25"/>
    <row r="574" ht="9.9" customHeight="1" x14ac:dyDescent="0.25"/>
    <row r="575" ht="9.9" customHeight="1" x14ac:dyDescent="0.25"/>
    <row r="576" ht="9.9" customHeight="1" x14ac:dyDescent="0.25"/>
    <row r="577" ht="9.9" customHeight="1" x14ac:dyDescent="0.25"/>
    <row r="578" ht="9.9" customHeight="1" x14ac:dyDescent="0.25"/>
    <row r="579" ht="9.9" customHeight="1" x14ac:dyDescent="0.25"/>
    <row r="580" ht="9.9" customHeight="1" x14ac:dyDescent="0.25"/>
    <row r="581" ht="9.9" customHeight="1" x14ac:dyDescent="0.25"/>
    <row r="582" ht="9.9" customHeight="1" x14ac:dyDescent="0.25"/>
    <row r="583" ht="9.9" customHeight="1" x14ac:dyDescent="0.25"/>
    <row r="584" ht="9.9" customHeight="1" x14ac:dyDescent="0.25"/>
    <row r="585" ht="9.9" customHeight="1" x14ac:dyDescent="0.25"/>
    <row r="586" ht="9.9" customHeight="1" x14ac:dyDescent="0.25"/>
    <row r="587" ht="9.9" customHeight="1" x14ac:dyDescent="0.25"/>
    <row r="588" ht="9.9" customHeight="1" x14ac:dyDescent="0.25"/>
    <row r="589" ht="9.9" customHeight="1" x14ac:dyDescent="0.25"/>
    <row r="590" ht="9.9" customHeight="1" x14ac:dyDescent="0.25"/>
    <row r="591" ht="9.9" customHeight="1" x14ac:dyDescent="0.25"/>
    <row r="592" ht="9.9" customHeight="1" x14ac:dyDescent="0.25"/>
    <row r="593" ht="9.9" customHeight="1" x14ac:dyDescent="0.25"/>
    <row r="594" ht="9.9" customHeight="1" x14ac:dyDescent="0.25"/>
    <row r="595" ht="9.9" customHeight="1" x14ac:dyDescent="0.25"/>
    <row r="596" ht="9.9" customHeight="1" x14ac:dyDescent="0.25"/>
    <row r="597" ht="9.9" customHeight="1" x14ac:dyDescent="0.25"/>
    <row r="598" ht="9.9" customHeight="1" x14ac:dyDescent="0.25"/>
    <row r="599" ht="9.9" customHeight="1" x14ac:dyDescent="0.25"/>
    <row r="600" ht="9.9" customHeight="1" x14ac:dyDescent="0.25"/>
    <row r="601" ht="9.9" customHeight="1" x14ac:dyDescent="0.25"/>
    <row r="602" ht="9.9" customHeight="1" x14ac:dyDescent="0.25"/>
    <row r="603" ht="9.9" customHeight="1" x14ac:dyDescent="0.25"/>
    <row r="604" ht="9.9" customHeight="1" x14ac:dyDescent="0.25"/>
    <row r="605" ht="9.9" customHeight="1" x14ac:dyDescent="0.25"/>
    <row r="606" ht="9.9" customHeight="1" x14ac:dyDescent="0.25"/>
    <row r="607" ht="9.9" customHeight="1" x14ac:dyDescent="0.25"/>
    <row r="608" ht="9.9" customHeight="1" x14ac:dyDescent="0.25"/>
    <row r="609" ht="9.9" customHeight="1" x14ac:dyDescent="0.25"/>
    <row r="610" ht="9.9" customHeight="1" x14ac:dyDescent="0.25"/>
    <row r="611" ht="9.9" customHeight="1" x14ac:dyDescent="0.25"/>
    <row r="612" ht="9.9" customHeight="1" x14ac:dyDescent="0.25"/>
    <row r="613" ht="9.9" customHeight="1" x14ac:dyDescent="0.25"/>
    <row r="614" ht="9.9" customHeight="1" x14ac:dyDescent="0.25"/>
    <row r="615" ht="9.9" customHeight="1" x14ac:dyDescent="0.25"/>
    <row r="616" ht="9.9" customHeight="1" x14ac:dyDescent="0.25"/>
    <row r="617" ht="9.9" customHeight="1" x14ac:dyDescent="0.25"/>
    <row r="618" ht="9.9" customHeight="1" x14ac:dyDescent="0.25"/>
    <row r="619" ht="9.9" customHeight="1" x14ac:dyDescent="0.25"/>
    <row r="620" ht="9.9" customHeight="1" x14ac:dyDescent="0.25"/>
    <row r="621" ht="9.9" customHeight="1" x14ac:dyDescent="0.25"/>
    <row r="622" ht="9.9" customHeight="1" x14ac:dyDescent="0.25"/>
    <row r="623" ht="9.9" customHeight="1" x14ac:dyDescent="0.25"/>
    <row r="624" ht="9.9" customHeight="1" x14ac:dyDescent="0.25"/>
    <row r="625" ht="9.9" customHeight="1" x14ac:dyDescent="0.25"/>
    <row r="626" ht="9.9" customHeight="1" x14ac:dyDescent="0.25"/>
    <row r="627" ht="9.9" customHeight="1" x14ac:dyDescent="0.25"/>
    <row r="628" ht="9.9" customHeight="1" x14ac:dyDescent="0.25"/>
    <row r="629" ht="9.9" customHeight="1" x14ac:dyDescent="0.25"/>
    <row r="630" ht="9.9" customHeight="1" x14ac:dyDescent="0.25"/>
    <row r="631" ht="9.9" customHeight="1" x14ac:dyDescent="0.25"/>
    <row r="632" ht="9.9" customHeight="1" x14ac:dyDescent="0.25"/>
    <row r="633" ht="9.9" customHeight="1" x14ac:dyDescent="0.25"/>
    <row r="634" ht="9.9" customHeight="1" x14ac:dyDescent="0.25"/>
    <row r="635" ht="9.9" customHeight="1" x14ac:dyDescent="0.25"/>
    <row r="636" ht="9.9" customHeight="1" x14ac:dyDescent="0.25"/>
    <row r="637" ht="9.9" customHeight="1" x14ac:dyDescent="0.25"/>
    <row r="638" ht="9.9" customHeight="1" x14ac:dyDescent="0.25"/>
    <row r="639" ht="9.9" customHeight="1" x14ac:dyDescent="0.25"/>
    <row r="640" ht="9.9" customHeight="1" x14ac:dyDescent="0.25"/>
    <row r="641" ht="9.9" customHeight="1" x14ac:dyDescent="0.25"/>
    <row r="642" ht="9.9" customHeight="1" x14ac:dyDescent="0.25"/>
    <row r="643" ht="9.9" customHeight="1" x14ac:dyDescent="0.25"/>
    <row r="644" ht="9.9" customHeight="1" x14ac:dyDescent="0.25"/>
    <row r="645" ht="9.9" customHeight="1" x14ac:dyDescent="0.25"/>
    <row r="646" ht="9.9" customHeight="1" x14ac:dyDescent="0.25"/>
    <row r="647" ht="9.9" customHeight="1" x14ac:dyDescent="0.25"/>
    <row r="648" ht="9.9" customHeight="1" x14ac:dyDescent="0.25"/>
    <row r="649" ht="9.9" customHeight="1" x14ac:dyDescent="0.25"/>
    <row r="650" ht="9.9" customHeight="1" x14ac:dyDescent="0.25"/>
    <row r="651" ht="9.9" customHeight="1" x14ac:dyDescent="0.25"/>
    <row r="652" ht="9.9" customHeight="1" x14ac:dyDescent="0.25"/>
    <row r="653" ht="9.9" customHeight="1" x14ac:dyDescent="0.25"/>
    <row r="654" ht="9.9" customHeight="1" x14ac:dyDescent="0.25"/>
    <row r="655" ht="9.9" customHeight="1" x14ac:dyDescent="0.25"/>
    <row r="656" ht="9.9" customHeight="1" x14ac:dyDescent="0.25"/>
    <row r="657" ht="9.9" customHeight="1" x14ac:dyDescent="0.25"/>
    <row r="658" ht="9.9" customHeight="1" x14ac:dyDescent="0.25"/>
    <row r="659" ht="9.9" customHeight="1" x14ac:dyDescent="0.25"/>
    <row r="660" ht="9.9" customHeight="1" x14ac:dyDescent="0.25"/>
    <row r="661" ht="9.9" customHeight="1" x14ac:dyDescent="0.25"/>
    <row r="662" ht="9.9" customHeight="1" x14ac:dyDescent="0.25"/>
    <row r="663" ht="9.9" customHeight="1" x14ac:dyDescent="0.25"/>
    <row r="664" ht="9.9" customHeight="1" x14ac:dyDescent="0.25"/>
    <row r="665" ht="9.9" customHeight="1" x14ac:dyDescent="0.25"/>
    <row r="666" ht="9.9" customHeight="1" x14ac:dyDescent="0.25"/>
    <row r="667" ht="9.9" customHeight="1" x14ac:dyDescent="0.25"/>
    <row r="668" ht="9.9" customHeight="1" x14ac:dyDescent="0.25"/>
    <row r="669" ht="9.9" customHeight="1" x14ac:dyDescent="0.25"/>
    <row r="670" ht="9.9" customHeight="1" x14ac:dyDescent="0.25"/>
    <row r="671" ht="9.9" customHeight="1" x14ac:dyDescent="0.25"/>
    <row r="672" ht="9.9" customHeight="1" x14ac:dyDescent="0.25"/>
    <row r="673" ht="9.9" customHeight="1" x14ac:dyDescent="0.25"/>
    <row r="674" ht="9.9" customHeight="1" x14ac:dyDescent="0.25"/>
    <row r="675" ht="9.9" customHeight="1" x14ac:dyDescent="0.25"/>
    <row r="676" ht="9.9" customHeight="1" x14ac:dyDescent="0.25"/>
    <row r="677" ht="9.9" customHeight="1" x14ac:dyDescent="0.25"/>
    <row r="678" ht="9.9" customHeight="1" x14ac:dyDescent="0.25"/>
    <row r="679" ht="9.9" customHeight="1" x14ac:dyDescent="0.25"/>
    <row r="680" ht="9.9" customHeight="1" x14ac:dyDescent="0.25"/>
    <row r="681" ht="9.9" customHeight="1" x14ac:dyDescent="0.25"/>
    <row r="682" ht="9.9" customHeight="1" x14ac:dyDescent="0.25"/>
    <row r="683" ht="9.9" customHeight="1" x14ac:dyDescent="0.25"/>
    <row r="684" ht="9.9" customHeight="1" x14ac:dyDescent="0.25"/>
    <row r="685" ht="9.9" customHeight="1" x14ac:dyDescent="0.25"/>
    <row r="686" ht="9.9" customHeight="1" x14ac:dyDescent="0.25"/>
    <row r="687" ht="9.9" customHeight="1" x14ac:dyDescent="0.25"/>
    <row r="688" ht="9.9" customHeight="1" x14ac:dyDescent="0.25"/>
    <row r="689" ht="9.9" customHeight="1" x14ac:dyDescent="0.25"/>
    <row r="690" ht="9.9" customHeight="1" x14ac:dyDescent="0.25"/>
    <row r="691" ht="9.9" customHeight="1" x14ac:dyDescent="0.25"/>
    <row r="692" ht="9.9" customHeight="1" x14ac:dyDescent="0.25"/>
    <row r="693" ht="9.9" customHeight="1" x14ac:dyDescent="0.25"/>
    <row r="694" ht="9.9" customHeight="1" x14ac:dyDescent="0.25"/>
    <row r="695" ht="9.9" customHeight="1" x14ac:dyDescent="0.25"/>
    <row r="696" ht="9.9" customHeight="1" x14ac:dyDescent="0.25"/>
    <row r="697" ht="9.9" customHeight="1" x14ac:dyDescent="0.25"/>
    <row r="698" ht="9.9" customHeight="1" x14ac:dyDescent="0.25"/>
    <row r="699" ht="9.9" customHeight="1" x14ac:dyDescent="0.25"/>
    <row r="700" ht="9.9" customHeight="1" x14ac:dyDescent="0.25"/>
    <row r="701" ht="9.9" customHeight="1" x14ac:dyDescent="0.25"/>
    <row r="702" ht="9.9" customHeight="1" x14ac:dyDescent="0.25"/>
    <row r="703" ht="9.9" customHeight="1" x14ac:dyDescent="0.25"/>
    <row r="704" ht="9.9" customHeight="1" x14ac:dyDescent="0.25"/>
    <row r="705" ht="9.9" customHeight="1" x14ac:dyDescent="0.25"/>
    <row r="706" ht="9.9" customHeight="1" x14ac:dyDescent="0.25"/>
    <row r="707" ht="9.9" customHeight="1" x14ac:dyDescent="0.25"/>
    <row r="708" ht="9.9" customHeight="1" x14ac:dyDescent="0.25"/>
    <row r="709" ht="9.9" customHeight="1" x14ac:dyDescent="0.25"/>
    <row r="710" ht="9.9" customHeight="1" x14ac:dyDescent="0.25"/>
    <row r="711" ht="9.9" customHeight="1" x14ac:dyDescent="0.25"/>
    <row r="712" ht="9.9" customHeight="1" x14ac:dyDescent="0.25"/>
    <row r="713" ht="9.9" customHeight="1" x14ac:dyDescent="0.25"/>
    <row r="714" ht="9.9" customHeight="1" x14ac:dyDescent="0.25"/>
    <row r="715" ht="9.9" customHeight="1" x14ac:dyDescent="0.25"/>
    <row r="716" ht="9.9" customHeight="1" x14ac:dyDescent="0.25"/>
    <row r="717" ht="9.9" customHeight="1" x14ac:dyDescent="0.25"/>
    <row r="718" ht="9.9" customHeight="1" x14ac:dyDescent="0.25"/>
    <row r="719" ht="9.9" customHeight="1" x14ac:dyDescent="0.25"/>
    <row r="720" ht="9.9" customHeight="1" x14ac:dyDescent="0.25"/>
    <row r="721" ht="9.9" customHeight="1" x14ac:dyDescent="0.25"/>
    <row r="722" ht="9.9" customHeight="1" x14ac:dyDescent="0.25"/>
    <row r="723" ht="9.9" customHeight="1" x14ac:dyDescent="0.25"/>
    <row r="724" ht="9.9" customHeight="1" x14ac:dyDescent="0.25"/>
    <row r="725" ht="9.9" customHeight="1" x14ac:dyDescent="0.25"/>
    <row r="726" ht="9.9" customHeight="1" x14ac:dyDescent="0.25"/>
    <row r="727" ht="9.9" customHeight="1" x14ac:dyDescent="0.25"/>
    <row r="728" ht="9.9" customHeight="1" x14ac:dyDescent="0.25"/>
    <row r="729" ht="9.9" customHeight="1" x14ac:dyDescent="0.25"/>
    <row r="730" ht="9.9" customHeight="1" x14ac:dyDescent="0.25"/>
    <row r="731" ht="9.9" customHeight="1" x14ac:dyDescent="0.25"/>
    <row r="732" ht="9.9" customHeight="1" x14ac:dyDescent="0.25"/>
    <row r="733" ht="9.9" customHeight="1" x14ac:dyDescent="0.25"/>
    <row r="734" ht="9.9" customHeight="1" x14ac:dyDescent="0.25"/>
    <row r="735" ht="9.9" customHeight="1" x14ac:dyDescent="0.25"/>
    <row r="736" ht="9.9" customHeight="1" x14ac:dyDescent="0.25"/>
    <row r="737" ht="9.9" customHeight="1" x14ac:dyDescent="0.25"/>
    <row r="738" ht="9.9" customHeight="1" x14ac:dyDescent="0.25"/>
    <row r="739" ht="9.9" customHeight="1" x14ac:dyDescent="0.25"/>
    <row r="740" ht="9.9" customHeight="1" x14ac:dyDescent="0.25"/>
    <row r="741" ht="9.9" customHeight="1" x14ac:dyDescent="0.25"/>
    <row r="742" ht="9.9" customHeight="1" x14ac:dyDescent="0.25"/>
    <row r="743" ht="9.9" customHeight="1" x14ac:dyDescent="0.25"/>
    <row r="744" ht="9.9" customHeight="1" x14ac:dyDescent="0.25"/>
    <row r="745" ht="9.9" customHeight="1" x14ac:dyDescent="0.25"/>
    <row r="746" ht="9.9" customHeight="1" x14ac:dyDescent="0.25"/>
    <row r="747" ht="9.9" customHeight="1" x14ac:dyDescent="0.25"/>
    <row r="748" ht="9.9" customHeight="1" x14ac:dyDescent="0.25"/>
    <row r="749" ht="9.9" customHeight="1" x14ac:dyDescent="0.25"/>
    <row r="750" ht="9.9" customHeight="1" x14ac:dyDescent="0.25"/>
    <row r="751" ht="9.9" customHeight="1" x14ac:dyDescent="0.25"/>
    <row r="752" ht="9.9" customHeight="1" x14ac:dyDescent="0.25"/>
    <row r="753" ht="9.9" customHeight="1" x14ac:dyDescent="0.25"/>
    <row r="754" ht="9.9" customHeight="1" x14ac:dyDescent="0.25"/>
    <row r="755" ht="9.9" customHeight="1" x14ac:dyDescent="0.25"/>
    <row r="756" ht="9.9" customHeight="1" x14ac:dyDescent="0.25"/>
    <row r="757" ht="9.9" customHeight="1" x14ac:dyDescent="0.25"/>
    <row r="758" ht="9.9" customHeight="1" x14ac:dyDescent="0.25"/>
    <row r="759" ht="9.9" customHeight="1" x14ac:dyDescent="0.25"/>
    <row r="760" ht="9.9" customHeight="1" x14ac:dyDescent="0.25"/>
    <row r="761" ht="9.9" customHeight="1" x14ac:dyDescent="0.25"/>
    <row r="762" ht="9.9" customHeight="1" x14ac:dyDescent="0.25"/>
    <row r="763" ht="9.9" customHeight="1" x14ac:dyDescent="0.25"/>
    <row r="764" ht="9.9" customHeight="1" x14ac:dyDescent="0.25"/>
    <row r="765" ht="9.9" customHeight="1" x14ac:dyDescent="0.25"/>
    <row r="766" ht="9.9" customHeight="1" x14ac:dyDescent="0.25"/>
    <row r="767" ht="9.9" customHeight="1" x14ac:dyDescent="0.25"/>
    <row r="768" ht="9.9" customHeight="1" x14ac:dyDescent="0.25"/>
    <row r="769" ht="9.9" customHeight="1" x14ac:dyDescent="0.25"/>
    <row r="770" ht="9.9" customHeight="1" x14ac:dyDescent="0.25"/>
    <row r="771" ht="9.9" customHeight="1" x14ac:dyDescent="0.25"/>
    <row r="772" ht="9.9" customHeight="1" x14ac:dyDescent="0.25"/>
    <row r="773" ht="9.9" customHeight="1" x14ac:dyDescent="0.25"/>
    <row r="774" ht="9.9" customHeight="1" x14ac:dyDescent="0.25"/>
    <row r="775" ht="9.9" customHeight="1" x14ac:dyDescent="0.25"/>
    <row r="776" ht="9.9" customHeight="1" x14ac:dyDescent="0.25"/>
    <row r="777" ht="9.9" customHeight="1" x14ac:dyDescent="0.25"/>
    <row r="778" ht="9.9" customHeight="1" x14ac:dyDescent="0.25"/>
    <row r="779" ht="9.9" customHeight="1" x14ac:dyDescent="0.25"/>
    <row r="780" ht="9.9" customHeight="1" x14ac:dyDescent="0.25"/>
    <row r="781" ht="9.9" customHeight="1" x14ac:dyDescent="0.25"/>
    <row r="782" ht="9.9" customHeight="1" x14ac:dyDescent="0.25"/>
    <row r="783" ht="9.9" customHeight="1" x14ac:dyDescent="0.25"/>
    <row r="784" ht="9.9" customHeight="1" x14ac:dyDescent="0.25"/>
    <row r="785" ht="9.9" customHeight="1" x14ac:dyDescent="0.25"/>
    <row r="786" ht="9.9" customHeight="1" x14ac:dyDescent="0.25"/>
    <row r="787" ht="9.9" customHeight="1" x14ac:dyDescent="0.25"/>
    <row r="788" ht="9.9" customHeight="1" x14ac:dyDescent="0.25"/>
    <row r="789" ht="9.9" customHeight="1" x14ac:dyDescent="0.25"/>
    <row r="790" ht="9.9" customHeight="1" x14ac:dyDescent="0.25"/>
    <row r="791" ht="9.9" customHeight="1" x14ac:dyDescent="0.25"/>
    <row r="792" ht="9.9" customHeight="1" x14ac:dyDescent="0.25"/>
    <row r="793" ht="9.9" customHeight="1" x14ac:dyDescent="0.25"/>
    <row r="794" ht="9.9" customHeight="1" x14ac:dyDescent="0.25"/>
    <row r="795" ht="9.9" customHeight="1" x14ac:dyDescent="0.25"/>
    <row r="796" ht="9.9" customHeight="1" x14ac:dyDescent="0.25"/>
    <row r="797" ht="9.9" customHeight="1" x14ac:dyDescent="0.25"/>
    <row r="798" ht="9.9" customHeight="1" x14ac:dyDescent="0.25"/>
    <row r="799" ht="9.9" customHeight="1" x14ac:dyDescent="0.25"/>
    <row r="800" ht="9.9" customHeight="1" x14ac:dyDescent="0.25"/>
    <row r="801" ht="9.9" customHeight="1" x14ac:dyDescent="0.25"/>
    <row r="802" ht="9.9" customHeight="1" x14ac:dyDescent="0.25"/>
    <row r="803" ht="9.9" customHeight="1" x14ac:dyDescent="0.25"/>
    <row r="804" ht="9.9" customHeight="1" x14ac:dyDescent="0.25"/>
    <row r="805" ht="9.9" customHeight="1" x14ac:dyDescent="0.25"/>
    <row r="806" ht="9.9" customHeight="1" x14ac:dyDescent="0.25"/>
    <row r="807" ht="9.9" customHeight="1" x14ac:dyDescent="0.25"/>
    <row r="808" ht="9.9" customHeight="1" x14ac:dyDescent="0.25"/>
    <row r="809" ht="9.9" customHeight="1" x14ac:dyDescent="0.25"/>
    <row r="810" ht="9.9" customHeight="1" x14ac:dyDescent="0.25"/>
    <row r="811" ht="9.9" customHeight="1" x14ac:dyDescent="0.25"/>
    <row r="812" ht="9.9" customHeight="1" x14ac:dyDescent="0.25"/>
    <row r="813" ht="9.9" customHeight="1" x14ac:dyDescent="0.25"/>
    <row r="814" ht="9.9" customHeight="1" x14ac:dyDescent="0.25"/>
    <row r="815" ht="9.9" customHeight="1" x14ac:dyDescent="0.25"/>
    <row r="816" ht="9.9" customHeight="1" x14ac:dyDescent="0.25"/>
    <row r="817" ht="9.9" customHeight="1" x14ac:dyDescent="0.25"/>
    <row r="818" ht="9.9" customHeight="1" x14ac:dyDescent="0.25"/>
    <row r="819" ht="9.9" customHeight="1" x14ac:dyDescent="0.25"/>
    <row r="820" ht="9.9" customHeight="1" x14ac:dyDescent="0.25"/>
    <row r="821" ht="9.9" customHeight="1" x14ac:dyDescent="0.25"/>
    <row r="822" ht="9.9" customHeight="1" x14ac:dyDescent="0.25"/>
    <row r="823" ht="9.9" customHeight="1" x14ac:dyDescent="0.25"/>
    <row r="824" ht="9.9" customHeight="1" x14ac:dyDescent="0.25"/>
    <row r="825" ht="9.9" customHeight="1" x14ac:dyDescent="0.25"/>
    <row r="826" ht="9.9" customHeight="1" x14ac:dyDescent="0.25"/>
    <row r="827" ht="9.9" customHeight="1" x14ac:dyDescent="0.25"/>
    <row r="828" ht="9.9" customHeight="1" x14ac:dyDescent="0.25"/>
    <row r="829" ht="9.9" customHeight="1" x14ac:dyDescent="0.25"/>
    <row r="830" ht="9.9" customHeight="1" x14ac:dyDescent="0.25"/>
    <row r="831" ht="9.9" customHeight="1" x14ac:dyDescent="0.25"/>
    <row r="832" ht="9.9" customHeight="1" x14ac:dyDescent="0.25"/>
    <row r="833" ht="9.9" customHeight="1" x14ac:dyDescent="0.25"/>
    <row r="834" ht="9.9" customHeight="1" x14ac:dyDescent="0.25"/>
    <row r="835" ht="9.9" customHeight="1" x14ac:dyDescent="0.25"/>
    <row r="836" ht="9.9" customHeight="1" x14ac:dyDescent="0.25"/>
    <row r="837" ht="9.9" customHeight="1" x14ac:dyDescent="0.25"/>
    <row r="838" ht="9.9" customHeight="1" x14ac:dyDescent="0.25"/>
    <row r="839" ht="9.9" customHeight="1" x14ac:dyDescent="0.25"/>
    <row r="840" ht="9.9" customHeight="1" x14ac:dyDescent="0.25"/>
    <row r="841" ht="9.9" customHeight="1" x14ac:dyDescent="0.25"/>
    <row r="842" ht="9.9" customHeight="1" x14ac:dyDescent="0.25"/>
    <row r="843" ht="9.9" customHeight="1" x14ac:dyDescent="0.25"/>
    <row r="844" ht="9.9" customHeight="1" x14ac:dyDescent="0.25"/>
    <row r="845" ht="9.9" customHeight="1" x14ac:dyDescent="0.25"/>
    <row r="846" ht="9.9" customHeight="1" x14ac:dyDescent="0.25"/>
    <row r="847" ht="9.9" customHeight="1" x14ac:dyDescent="0.25"/>
    <row r="848" ht="9.9" customHeight="1" x14ac:dyDescent="0.25"/>
    <row r="849" ht="9.9" customHeight="1" x14ac:dyDescent="0.25"/>
    <row r="850" ht="9.9" customHeight="1" x14ac:dyDescent="0.25"/>
    <row r="851" ht="9.9" customHeight="1" x14ac:dyDescent="0.25"/>
    <row r="852" ht="9.9" customHeight="1" x14ac:dyDescent="0.25"/>
    <row r="853" ht="9.9" customHeight="1" x14ac:dyDescent="0.25"/>
    <row r="854" ht="9.9" customHeight="1" x14ac:dyDescent="0.25"/>
    <row r="855" ht="9.9" customHeight="1" x14ac:dyDescent="0.25"/>
    <row r="856" ht="9.9" customHeight="1" x14ac:dyDescent="0.25"/>
    <row r="857" ht="9.9" customHeight="1" x14ac:dyDescent="0.25"/>
    <row r="858" ht="9.9" customHeight="1" x14ac:dyDescent="0.25"/>
    <row r="859" ht="9.9" customHeight="1" x14ac:dyDescent="0.25"/>
    <row r="860" ht="9.9" customHeight="1" x14ac:dyDescent="0.25"/>
    <row r="861" ht="9.9" customHeight="1" x14ac:dyDescent="0.25"/>
    <row r="862" ht="9.9" customHeight="1" x14ac:dyDescent="0.25"/>
    <row r="863" ht="9.9" customHeight="1" x14ac:dyDescent="0.25"/>
    <row r="864" ht="9.9" customHeight="1" x14ac:dyDescent="0.25"/>
    <row r="865" ht="9.9" customHeight="1" x14ac:dyDescent="0.25"/>
    <row r="866" ht="9.9" customHeight="1" x14ac:dyDescent="0.25"/>
    <row r="867" ht="9.9" customHeight="1" x14ac:dyDescent="0.25"/>
    <row r="868" ht="9.9" customHeight="1" x14ac:dyDescent="0.25"/>
    <row r="869" ht="9.9" customHeight="1" x14ac:dyDescent="0.25"/>
    <row r="870" ht="9.9" customHeight="1" x14ac:dyDescent="0.25"/>
    <row r="871" ht="9.9" customHeight="1" x14ac:dyDescent="0.25"/>
    <row r="872" ht="9.9" customHeight="1" x14ac:dyDescent="0.25"/>
    <row r="873" ht="9.9" customHeight="1" x14ac:dyDescent="0.25"/>
    <row r="874" ht="9.9" customHeight="1" x14ac:dyDescent="0.25"/>
    <row r="875" ht="9.9" customHeight="1" x14ac:dyDescent="0.25"/>
    <row r="876" ht="9.9" customHeight="1" x14ac:dyDescent="0.25"/>
    <row r="877" ht="9.9" customHeight="1" x14ac:dyDescent="0.25"/>
    <row r="878" ht="9.9" customHeight="1" x14ac:dyDescent="0.25"/>
    <row r="879" ht="9.9" customHeight="1" x14ac:dyDescent="0.25"/>
    <row r="880" ht="9.9" customHeight="1" x14ac:dyDescent="0.25"/>
    <row r="881" ht="9.9" customHeight="1" x14ac:dyDescent="0.25"/>
    <row r="882" ht="9.9" customHeight="1" x14ac:dyDescent="0.25"/>
    <row r="883" ht="9.9" customHeight="1" x14ac:dyDescent="0.25"/>
    <row r="884" ht="9.9" customHeight="1" x14ac:dyDescent="0.25"/>
    <row r="885" ht="9.9" customHeight="1" x14ac:dyDescent="0.25"/>
    <row r="886" ht="9.9" customHeight="1" x14ac:dyDescent="0.25"/>
    <row r="887" ht="9.9" customHeight="1" x14ac:dyDescent="0.25"/>
    <row r="888" ht="9.9" customHeight="1" x14ac:dyDescent="0.25"/>
    <row r="889" ht="9.9" customHeight="1" x14ac:dyDescent="0.25"/>
    <row r="890" ht="9.9" customHeight="1" x14ac:dyDescent="0.25"/>
    <row r="891" ht="9.9" customHeight="1" x14ac:dyDescent="0.25"/>
    <row r="892" ht="9.9" customHeight="1" x14ac:dyDescent="0.25"/>
    <row r="893" ht="9.9" customHeight="1" x14ac:dyDescent="0.25"/>
    <row r="894" ht="9.9" customHeight="1" x14ac:dyDescent="0.25"/>
    <row r="895" ht="9.9" customHeight="1" x14ac:dyDescent="0.25"/>
    <row r="896" ht="9.9" customHeight="1" x14ac:dyDescent="0.25"/>
    <row r="897" ht="9.9" customHeight="1" x14ac:dyDescent="0.25"/>
    <row r="898" ht="9.9" customHeight="1" x14ac:dyDescent="0.25"/>
    <row r="899" ht="9.9" customHeight="1" x14ac:dyDescent="0.25"/>
    <row r="900" ht="9.9" customHeight="1" x14ac:dyDescent="0.25"/>
    <row r="901" ht="9.9" customHeight="1" x14ac:dyDescent="0.25"/>
    <row r="902" ht="9.9" customHeight="1" x14ac:dyDescent="0.25"/>
    <row r="903" ht="9.9" customHeight="1" x14ac:dyDescent="0.25"/>
    <row r="904" ht="9.9" customHeight="1" x14ac:dyDescent="0.25"/>
    <row r="905" ht="9.9" customHeight="1" x14ac:dyDescent="0.25"/>
    <row r="906" ht="9.9" customHeight="1" x14ac:dyDescent="0.25"/>
    <row r="907" ht="9.9" customHeight="1" x14ac:dyDescent="0.25"/>
    <row r="908" ht="9.9" customHeight="1" x14ac:dyDescent="0.25"/>
    <row r="909" ht="9.9" customHeight="1" x14ac:dyDescent="0.25"/>
    <row r="910" ht="9.9" customHeight="1" x14ac:dyDescent="0.25"/>
    <row r="911" ht="9.9" customHeight="1" x14ac:dyDescent="0.25"/>
    <row r="912" ht="9.9" customHeight="1" x14ac:dyDescent="0.25"/>
    <row r="913" ht="9.9" customHeight="1" x14ac:dyDescent="0.25"/>
    <row r="914" ht="9.9" customHeight="1" x14ac:dyDescent="0.25"/>
    <row r="915" ht="9.9" customHeight="1" x14ac:dyDescent="0.25"/>
    <row r="916" ht="9.9" customHeight="1" x14ac:dyDescent="0.25"/>
    <row r="917" ht="9.9" customHeight="1" x14ac:dyDescent="0.25"/>
    <row r="918" ht="9.9" customHeight="1" x14ac:dyDescent="0.25"/>
    <row r="919" ht="9.9" customHeight="1" x14ac:dyDescent="0.25"/>
    <row r="920" ht="9.9" customHeight="1" x14ac:dyDescent="0.25"/>
    <row r="921" ht="9.9" customHeight="1" x14ac:dyDescent="0.25"/>
    <row r="922" ht="9.9" customHeight="1" x14ac:dyDescent="0.25"/>
    <row r="923" ht="9.9" customHeight="1" x14ac:dyDescent="0.25"/>
    <row r="924" ht="9.9" customHeight="1" x14ac:dyDescent="0.25"/>
    <row r="925" ht="9.9" customHeight="1" x14ac:dyDescent="0.25"/>
    <row r="926" ht="9.9" customHeight="1" x14ac:dyDescent="0.25"/>
    <row r="927" ht="9.9" customHeight="1" x14ac:dyDescent="0.25"/>
    <row r="928" ht="9.9" customHeight="1" x14ac:dyDescent="0.25"/>
    <row r="929" ht="9.9" customHeight="1" x14ac:dyDescent="0.25"/>
    <row r="930" ht="9.9" customHeight="1" x14ac:dyDescent="0.25"/>
    <row r="931" ht="9.9" customHeight="1" x14ac:dyDescent="0.25"/>
    <row r="932" ht="9.9" customHeight="1" x14ac:dyDescent="0.25"/>
    <row r="933" ht="9.9" customHeight="1" x14ac:dyDescent="0.25"/>
    <row r="934" ht="9.9" customHeight="1" x14ac:dyDescent="0.25"/>
    <row r="935" ht="9.9" customHeight="1" x14ac:dyDescent="0.25"/>
    <row r="936" ht="9.9" customHeight="1" x14ac:dyDescent="0.25"/>
    <row r="937" ht="9.9" customHeight="1" x14ac:dyDescent="0.25"/>
    <row r="938" ht="9.9" customHeight="1" x14ac:dyDescent="0.25"/>
    <row r="939" ht="9.9" customHeight="1" x14ac:dyDescent="0.25"/>
    <row r="940" ht="9.9" customHeight="1" x14ac:dyDescent="0.25"/>
    <row r="941" ht="9.9" customHeight="1" x14ac:dyDescent="0.25"/>
    <row r="942" ht="9.9" customHeight="1" x14ac:dyDescent="0.25"/>
    <row r="943" ht="9.9" customHeight="1" x14ac:dyDescent="0.25"/>
    <row r="944" ht="9.9" customHeight="1" x14ac:dyDescent="0.25"/>
    <row r="945" ht="9.9" customHeight="1" x14ac:dyDescent="0.25"/>
    <row r="946" ht="9.9" customHeight="1" x14ac:dyDescent="0.25"/>
    <row r="947" ht="9.9" customHeight="1" x14ac:dyDescent="0.25"/>
    <row r="948" ht="9.9" customHeight="1" x14ac:dyDescent="0.25"/>
    <row r="949" ht="9.9" customHeight="1" x14ac:dyDescent="0.25"/>
    <row r="950" ht="9.9" customHeight="1" x14ac:dyDescent="0.25"/>
    <row r="951" ht="9.9" customHeight="1" x14ac:dyDescent="0.25"/>
    <row r="952" ht="9.9" customHeight="1" x14ac:dyDescent="0.25"/>
    <row r="953" ht="9.9" customHeight="1" x14ac:dyDescent="0.25"/>
    <row r="954" ht="9.9" customHeight="1" x14ac:dyDescent="0.25"/>
    <row r="955" ht="9.9" customHeight="1" x14ac:dyDescent="0.25"/>
    <row r="956" ht="9.9" customHeight="1" x14ac:dyDescent="0.25"/>
    <row r="957" ht="9.9" customHeight="1" x14ac:dyDescent="0.25"/>
    <row r="958" ht="9.9" customHeight="1" x14ac:dyDescent="0.25"/>
    <row r="959" ht="9.9" customHeight="1" x14ac:dyDescent="0.25"/>
    <row r="960" ht="9.9" customHeight="1" x14ac:dyDescent="0.25"/>
    <row r="961" ht="9.9" customHeight="1" x14ac:dyDescent="0.25"/>
    <row r="962" ht="9.9" customHeight="1" x14ac:dyDescent="0.25"/>
    <row r="963" ht="9.9" customHeight="1" x14ac:dyDescent="0.25"/>
    <row r="964" ht="9.9" customHeight="1" x14ac:dyDescent="0.25"/>
    <row r="965" ht="9.9" customHeight="1" x14ac:dyDescent="0.25"/>
    <row r="966" ht="9.9" customHeight="1" x14ac:dyDescent="0.25"/>
    <row r="967" ht="9.9" customHeight="1" x14ac:dyDescent="0.25"/>
    <row r="968" ht="9.9" customHeight="1" x14ac:dyDescent="0.25"/>
    <row r="969" ht="9.9" customHeight="1" x14ac:dyDescent="0.25"/>
    <row r="970" ht="9.9" customHeight="1" x14ac:dyDescent="0.25"/>
    <row r="971" ht="9.9" customHeight="1" x14ac:dyDescent="0.25"/>
    <row r="972" ht="9.9" customHeight="1" x14ac:dyDescent="0.25"/>
    <row r="973" ht="9.9" customHeight="1" x14ac:dyDescent="0.25"/>
    <row r="974" ht="9.9" customHeight="1" x14ac:dyDescent="0.25"/>
    <row r="975" ht="9.9" customHeight="1" x14ac:dyDescent="0.25"/>
    <row r="976" ht="9.9" customHeight="1" x14ac:dyDescent="0.25"/>
    <row r="977" ht="9.9" customHeight="1" x14ac:dyDescent="0.25"/>
    <row r="978" ht="9.9" customHeight="1" x14ac:dyDescent="0.25"/>
    <row r="979" ht="9.9" customHeight="1" x14ac:dyDescent="0.25"/>
    <row r="980" ht="9.9" customHeight="1" x14ac:dyDescent="0.25"/>
    <row r="981" ht="9.9" customHeight="1" x14ac:dyDescent="0.25"/>
    <row r="982" ht="9.9" customHeight="1" x14ac:dyDescent="0.25"/>
    <row r="983" ht="9.9" customHeight="1" x14ac:dyDescent="0.25"/>
    <row r="984" ht="9.9" customHeight="1" x14ac:dyDescent="0.25"/>
    <row r="985" ht="9.9" customHeight="1" x14ac:dyDescent="0.25"/>
    <row r="986" ht="9.9" customHeight="1" x14ac:dyDescent="0.25"/>
    <row r="987" ht="9.9" customHeight="1" x14ac:dyDescent="0.25"/>
    <row r="988" ht="9.9" customHeight="1" x14ac:dyDescent="0.25"/>
    <row r="989" ht="9.9" customHeight="1" x14ac:dyDescent="0.25"/>
    <row r="990" ht="9.9" customHeight="1" x14ac:dyDescent="0.25"/>
    <row r="991" ht="9.9" customHeight="1" x14ac:dyDescent="0.25"/>
    <row r="992" ht="9.9" customHeight="1" x14ac:dyDescent="0.25"/>
    <row r="993" ht="9.9" customHeight="1" x14ac:dyDescent="0.25"/>
    <row r="994" ht="9.9" customHeight="1" x14ac:dyDescent="0.25"/>
    <row r="995" ht="9.9" customHeight="1" x14ac:dyDescent="0.25"/>
    <row r="996" ht="9.9" customHeight="1" x14ac:dyDescent="0.25"/>
    <row r="997" ht="9.9" customHeight="1" x14ac:dyDescent="0.25"/>
    <row r="998" ht="9.9" customHeight="1" x14ac:dyDescent="0.25"/>
    <row r="999" ht="9.9" customHeight="1" x14ac:dyDescent="0.25"/>
    <row r="1000" ht="9.9" customHeight="1" x14ac:dyDescent="0.25"/>
    <row r="1001" ht="9.9" customHeight="1" x14ac:dyDescent="0.25"/>
    <row r="1002" ht="9.9" customHeight="1" x14ac:dyDescent="0.25"/>
    <row r="1003" ht="9.9" customHeight="1" x14ac:dyDescent="0.25"/>
    <row r="1004" ht="9.9" customHeight="1" x14ac:dyDescent="0.25"/>
    <row r="1005" ht="9.9" customHeight="1" x14ac:dyDescent="0.25"/>
    <row r="1006" ht="9.9" customHeight="1" x14ac:dyDescent="0.25"/>
    <row r="1007" ht="9.9" customHeight="1" x14ac:dyDescent="0.25"/>
    <row r="1008" ht="9.9" customHeight="1" x14ac:dyDescent="0.25"/>
    <row r="1009" ht="9.9" customHeight="1" x14ac:dyDescent="0.25"/>
    <row r="1010" ht="9.9" customHeight="1" x14ac:dyDescent="0.25"/>
    <row r="1011" ht="9.9" customHeight="1" x14ac:dyDescent="0.25"/>
    <row r="1012" ht="9.9" customHeight="1" x14ac:dyDescent="0.25"/>
    <row r="1013" ht="9.9" customHeight="1" x14ac:dyDescent="0.25"/>
    <row r="1014" ht="9.9" customHeight="1" x14ac:dyDescent="0.25"/>
    <row r="1015" ht="9.9" customHeight="1" x14ac:dyDescent="0.25"/>
    <row r="1016" ht="9.9" customHeight="1" x14ac:dyDescent="0.25"/>
    <row r="1017" ht="9.9" customHeight="1" x14ac:dyDescent="0.25"/>
    <row r="1018" ht="9.9" customHeight="1" x14ac:dyDescent="0.25"/>
    <row r="1019" ht="9.9" customHeight="1" x14ac:dyDescent="0.25"/>
    <row r="1020" ht="9.9" customHeight="1" x14ac:dyDescent="0.25"/>
    <row r="1021" ht="9.9" customHeight="1" x14ac:dyDescent="0.25"/>
    <row r="1022" ht="9.9" customHeight="1" x14ac:dyDescent="0.25"/>
    <row r="1023" ht="9.9" customHeight="1" x14ac:dyDescent="0.25"/>
    <row r="1024" ht="9.9" customHeight="1" x14ac:dyDescent="0.25"/>
    <row r="1025" ht="9.9" customHeight="1" x14ac:dyDescent="0.25"/>
    <row r="1026" ht="9.9" customHeight="1" x14ac:dyDescent="0.25"/>
    <row r="1027" ht="9.9" customHeight="1" x14ac:dyDescent="0.25"/>
    <row r="1028" ht="9.9" customHeight="1" x14ac:dyDescent="0.25"/>
    <row r="1029" ht="9.9" customHeight="1" x14ac:dyDescent="0.25"/>
    <row r="1030" ht="9.9" customHeight="1" x14ac:dyDescent="0.25"/>
    <row r="1031" ht="9.9" customHeight="1" x14ac:dyDescent="0.25"/>
    <row r="1032" ht="9.9" customHeight="1" x14ac:dyDescent="0.25"/>
    <row r="1033" ht="9.9" customHeight="1" x14ac:dyDescent="0.25"/>
    <row r="1034" ht="9.9" customHeight="1" x14ac:dyDescent="0.25"/>
    <row r="1035" ht="9.9" customHeight="1" x14ac:dyDescent="0.25"/>
    <row r="1036" ht="9.9" customHeight="1" x14ac:dyDescent="0.25"/>
    <row r="1037" ht="9.9" customHeight="1" x14ac:dyDescent="0.25"/>
    <row r="1038" ht="9.9" customHeight="1" x14ac:dyDescent="0.25"/>
    <row r="1039" ht="9.9" customHeight="1" x14ac:dyDescent="0.25"/>
    <row r="1040" ht="9.9" customHeight="1" x14ac:dyDescent="0.25"/>
    <row r="1041" ht="9.9" customHeight="1" x14ac:dyDescent="0.25"/>
    <row r="1042" ht="9.9" customHeight="1" x14ac:dyDescent="0.25"/>
    <row r="1043" ht="9.9" customHeight="1" x14ac:dyDescent="0.25"/>
    <row r="1044" ht="9.9" customHeight="1" x14ac:dyDescent="0.25"/>
    <row r="1045" ht="9.9" customHeight="1" x14ac:dyDescent="0.25"/>
    <row r="1046" ht="9.9" customHeight="1" x14ac:dyDescent="0.25"/>
    <row r="1047" ht="9.9" customHeight="1" x14ac:dyDescent="0.25"/>
    <row r="1048" ht="9.9" customHeight="1" x14ac:dyDescent="0.25"/>
    <row r="1049" ht="9.9" customHeight="1" x14ac:dyDescent="0.25"/>
    <row r="1050" ht="9.9" customHeight="1" x14ac:dyDescent="0.25"/>
    <row r="1051" ht="9.9" customHeight="1" x14ac:dyDescent="0.25"/>
    <row r="1052" ht="9.9" customHeight="1" x14ac:dyDescent="0.25"/>
    <row r="1053" ht="9.9" customHeight="1" x14ac:dyDescent="0.25"/>
    <row r="1054" ht="9.9" customHeight="1" x14ac:dyDescent="0.25"/>
    <row r="1055" ht="9.9" customHeight="1" x14ac:dyDescent="0.25"/>
    <row r="1056" ht="9.9" customHeight="1" x14ac:dyDescent="0.25"/>
    <row r="1057" ht="9.9" customHeight="1" x14ac:dyDescent="0.25"/>
    <row r="1058" ht="9.9" customHeight="1" x14ac:dyDescent="0.25"/>
    <row r="1059" ht="9.9" customHeight="1" x14ac:dyDescent="0.25"/>
    <row r="1060" ht="9.9" customHeight="1" x14ac:dyDescent="0.25"/>
    <row r="1061" ht="9.9" customHeight="1" x14ac:dyDescent="0.25"/>
    <row r="1062" ht="9.9" customHeight="1" x14ac:dyDescent="0.25"/>
    <row r="1063" ht="9.9" customHeight="1" x14ac:dyDescent="0.25"/>
    <row r="1064" ht="9.9" customHeight="1" x14ac:dyDescent="0.25"/>
    <row r="1065" ht="9.9" customHeight="1" x14ac:dyDescent="0.25"/>
    <row r="1066" ht="9.9" customHeight="1" x14ac:dyDescent="0.25"/>
    <row r="1067" ht="9.9" customHeight="1" x14ac:dyDescent="0.25"/>
    <row r="1068" ht="9.9" customHeight="1" x14ac:dyDescent="0.25"/>
    <row r="1069" ht="9.9" customHeight="1" x14ac:dyDescent="0.25"/>
    <row r="1070" ht="9.9" customHeight="1" x14ac:dyDescent="0.25"/>
    <row r="1071" ht="9.9" customHeight="1" x14ac:dyDescent="0.25"/>
    <row r="1072" ht="9.9" customHeight="1" x14ac:dyDescent="0.25"/>
    <row r="1073" ht="9.9" customHeight="1" x14ac:dyDescent="0.25"/>
    <row r="1074" ht="9.9" customHeight="1" x14ac:dyDescent="0.25"/>
    <row r="1075" ht="9.9" customHeight="1" x14ac:dyDescent="0.25"/>
    <row r="1076" ht="9.9" customHeight="1" x14ac:dyDescent="0.25"/>
    <row r="1077" ht="9.9" customHeight="1" x14ac:dyDescent="0.25"/>
    <row r="1078" ht="9.9" customHeight="1" x14ac:dyDescent="0.25"/>
    <row r="1079" ht="9.9" customHeight="1" x14ac:dyDescent="0.25"/>
    <row r="1080" ht="9.9" customHeight="1" x14ac:dyDescent="0.25"/>
    <row r="1081" ht="9.9" customHeight="1" x14ac:dyDescent="0.25"/>
    <row r="1082" ht="9.9" customHeight="1" x14ac:dyDescent="0.25"/>
    <row r="1083" ht="9.9" customHeight="1" x14ac:dyDescent="0.25"/>
    <row r="1084" ht="9.9" customHeight="1" x14ac:dyDescent="0.25"/>
    <row r="1085" ht="9.9" customHeight="1" x14ac:dyDescent="0.25"/>
    <row r="1086" ht="9.9" customHeight="1" x14ac:dyDescent="0.25"/>
    <row r="1087" ht="9.9" customHeight="1" x14ac:dyDescent="0.25"/>
    <row r="1088" ht="9.9" customHeight="1" x14ac:dyDescent="0.25"/>
    <row r="1089" ht="9.9" customHeight="1" x14ac:dyDescent="0.25"/>
    <row r="1090" ht="9.9" customHeight="1" x14ac:dyDescent="0.25"/>
    <row r="1091" ht="9.9" customHeight="1" x14ac:dyDescent="0.25"/>
    <row r="1092" ht="9.9" customHeight="1" x14ac:dyDescent="0.25"/>
    <row r="1093" ht="9.9" customHeight="1" x14ac:dyDescent="0.25"/>
    <row r="1094" ht="9.9" customHeight="1" x14ac:dyDescent="0.25"/>
    <row r="1095" ht="9.9" customHeight="1" x14ac:dyDescent="0.25"/>
    <row r="1096" ht="9.9" customHeight="1" x14ac:dyDescent="0.25"/>
    <row r="1097" ht="9.9" customHeight="1" x14ac:dyDescent="0.25"/>
    <row r="1098" ht="9.9" customHeight="1" x14ac:dyDescent="0.25"/>
    <row r="1099" ht="9.9" customHeight="1" x14ac:dyDescent="0.25"/>
    <row r="1100" ht="9.9" customHeight="1" x14ac:dyDescent="0.25"/>
    <row r="1101" ht="9.9" customHeight="1" x14ac:dyDescent="0.25"/>
    <row r="1102" ht="9.9" customHeight="1" x14ac:dyDescent="0.25"/>
    <row r="1103" ht="9.9" customHeight="1" x14ac:dyDescent="0.25"/>
    <row r="1104" ht="9.9" customHeight="1" x14ac:dyDescent="0.25"/>
    <row r="1105" ht="9.9" customHeight="1" x14ac:dyDescent="0.25"/>
    <row r="1106" ht="9.9" customHeight="1" x14ac:dyDescent="0.25"/>
    <row r="1107" ht="9.9" customHeight="1" x14ac:dyDescent="0.25"/>
    <row r="1108" ht="9.9" customHeight="1" x14ac:dyDescent="0.25"/>
    <row r="1109" ht="9.9" customHeight="1" x14ac:dyDescent="0.25"/>
    <row r="1110" ht="9.9" customHeight="1" x14ac:dyDescent="0.25"/>
    <row r="1111" ht="9.9" customHeight="1" x14ac:dyDescent="0.25"/>
    <row r="1112" ht="9.9" customHeight="1" x14ac:dyDescent="0.25"/>
    <row r="1113" ht="9.9" customHeight="1" x14ac:dyDescent="0.25"/>
    <row r="1114" ht="9.9" customHeight="1" x14ac:dyDescent="0.25"/>
    <row r="1115" ht="9.9" customHeight="1" x14ac:dyDescent="0.25"/>
    <row r="1116" ht="9.9" customHeight="1" x14ac:dyDescent="0.25"/>
    <row r="1117" ht="9.9" customHeight="1" x14ac:dyDescent="0.25"/>
    <row r="1118" ht="9.9" customHeight="1" x14ac:dyDescent="0.25"/>
    <row r="1119" ht="9.9" customHeight="1" x14ac:dyDescent="0.25"/>
    <row r="1120" ht="9.9" customHeight="1" x14ac:dyDescent="0.25"/>
    <row r="1121" ht="9.9" customHeight="1" x14ac:dyDescent="0.25"/>
    <row r="1122" ht="9.9" customHeight="1" x14ac:dyDescent="0.25"/>
    <row r="1123" ht="9.9" customHeight="1" x14ac:dyDescent="0.25"/>
    <row r="1124" ht="9.9" customHeight="1" x14ac:dyDescent="0.25"/>
    <row r="1125" ht="9.9" customHeight="1" x14ac:dyDescent="0.25"/>
    <row r="1126" ht="9.9" customHeight="1" x14ac:dyDescent="0.25"/>
    <row r="1127" ht="9.9" customHeight="1" x14ac:dyDescent="0.25"/>
    <row r="1128" ht="9.9" customHeight="1" x14ac:dyDescent="0.25"/>
    <row r="1129" ht="9.9" customHeight="1" x14ac:dyDescent="0.25"/>
    <row r="1130" ht="9.9" customHeight="1" x14ac:dyDescent="0.25"/>
    <row r="1131" ht="9.9" customHeight="1" x14ac:dyDescent="0.25"/>
    <row r="1132" ht="9.9" customHeight="1" x14ac:dyDescent="0.25"/>
    <row r="1133" ht="9.9" customHeight="1" x14ac:dyDescent="0.25"/>
    <row r="1134" ht="9.9" customHeight="1" x14ac:dyDescent="0.25"/>
    <row r="1135" ht="9.9" customHeight="1" x14ac:dyDescent="0.25"/>
    <row r="1136" ht="9.9" customHeight="1" x14ac:dyDescent="0.25"/>
    <row r="1137" ht="9.9" customHeight="1" x14ac:dyDescent="0.25"/>
    <row r="1138" ht="9.9" customHeight="1" x14ac:dyDescent="0.25"/>
    <row r="1139" ht="9.9" customHeight="1" x14ac:dyDescent="0.25"/>
    <row r="1140" ht="9.9" customHeight="1" x14ac:dyDescent="0.25"/>
    <row r="1141" ht="9.9" customHeight="1" x14ac:dyDescent="0.25"/>
    <row r="1142" ht="9.9" customHeight="1" x14ac:dyDescent="0.25"/>
    <row r="1143" ht="9.9" customHeight="1" x14ac:dyDescent="0.25"/>
    <row r="1144" ht="9.9" customHeight="1" x14ac:dyDescent="0.25"/>
    <row r="1145" ht="9.9" customHeight="1" x14ac:dyDescent="0.25"/>
    <row r="1146" ht="9.9" customHeight="1" x14ac:dyDescent="0.25"/>
    <row r="1147" ht="9.9" customHeight="1" x14ac:dyDescent="0.25"/>
    <row r="1148" ht="9.9" customHeight="1" x14ac:dyDescent="0.25"/>
    <row r="1149" ht="9.9" customHeight="1" x14ac:dyDescent="0.25"/>
    <row r="1150" ht="9.9" customHeight="1" x14ac:dyDescent="0.25"/>
    <row r="1151" ht="9.9" customHeight="1" x14ac:dyDescent="0.25"/>
    <row r="1152" ht="9.9" customHeight="1" x14ac:dyDescent="0.25"/>
    <row r="1153" ht="9.9" customHeight="1" x14ac:dyDescent="0.25"/>
    <row r="1154" ht="9.9" customHeight="1" x14ac:dyDescent="0.25"/>
    <row r="1155" ht="9.9" customHeight="1" x14ac:dyDescent="0.25"/>
    <row r="1156" ht="9.9" customHeight="1" x14ac:dyDescent="0.25"/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&amp;C&amp;D&amp;T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6"/>
  <sheetViews>
    <sheetView workbookViewId="0"/>
  </sheetViews>
  <sheetFormatPr baseColWidth="10" defaultRowHeight="14.4" x14ac:dyDescent="0.3"/>
  <cols>
    <col min="1" max="1" width="21.77734375" customWidth="1"/>
    <col min="2" max="2" width="15.6640625" customWidth="1"/>
    <col min="3" max="3" width="16.5546875" customWidth="1"/>
    <col min="4" max="4" width="15.5546875" customWidth="1"/>
    <col min="6" max="6" width="13.77734375" customWidth="1"/>
    <col min="8" max="8" width="12.44140625" customWidth="1"/>
  </cols>
  <sheetData>
    <row r="1" spans="1:11" ht="15.6" x14ac:dyDescent="0.3">
      <c r="A1" s="2" t="s">
        <v>121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1" t="s">
        <v>167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6" x14ac:dyDescent="0.3">
      <c r="A3" s="1" t="s">
        <v>122</v>
      </c>
      <c r="B3" s="1"/>
      <c r="C3" s="1"/>
      <c r="D3" s="1" t="s">
        <v>123</v>
      </c>
      <c r="E3" s="1"/>
      <c r="F3" s="1"/>
      <c r="I3" s="1"/>
      <c r="J3" s="1"/>
      <c r="K3" s="1"/>
    </row>
    <row r="4" spans="1:11" ht="15.6" x14ac:dyDescent="0.3">
      <c r="A4" s="34" t="s">
        <v>172</v>
      </c>
      <c r="B4" s="34" t="s">
        <v>119</v>
      </c>
      <c r="C4" s="34"/>
      <c r="D4" s="34" t="s">
        <v>120</v>
      </c>
      <c r="E4" s="34" t="s">
        <v>173</v>
      </c>
      <c r="F4" s="34" t="s">
        <v>174</v>
      </c>
      <c r="I4" s="1"/>
      <c r="J4" s="1"/>
      <c r="K4" s="1"/>
    </row>
    <row r="5" spans="1:11" ht="15.6" x14ac:dyDescent="0.3">
      <c r="A5" s="35">
        <f>24.1%+0.04</f>
        <v>0.28100000000000003</v>
      </c>
      <c r="B5" s="35">
        <v>0.24</v>
      </c>
      <c r="C5" s="35"/>
      <c r="D5" s="35">
        <f>D12</f>
        <v>8.2282417651049575E-3</v>
      </c>
      <c r="E5" s="35">
        <f>B12</f>
        <v>5.9260993884296412E-2</v>
      </c>
      <c r="F5" s="35">
        <f>C12</f>
        <v>3.1821835232316222E-2</v>
      </c>
      <c r="I5" s="37"/>
      <c r="J5" s="1"/>
      <c r="K5" s="1"/>
    </row>
    <row r="6" spans="1:11" ht="15.6" x14ac:dyDescent="0.3">
      <c r="B6" s="1"/>
      <c r="C6" s="1"/>
      <c r="D6" s="1"/>
      <c r="E6" s="1"/>
      <c r="F6" s="37"/>
      <c r="G6" s="1"/>
      <c r="H6" s="1"/>
      <c r="I6" s="1"/>
      <c r="J6" s="1"/>
      <c r="K6" s="1"/>
    </row>
    <row r="7" spans="1:11" ht="15.6" x14ac:dyDescent="0.3">
      <c r="A7" s="40" t="s">
        <v>125</v>
      </c>
      <c r="B7" s="1"/>
      <c r="C7" s="1"/>
      <c r="D7" s="1"/>
      <c r="E7" s="1"/>
      <c r="F7" s="37"/>
      <c r="G7" s="1"/>
      <c r="H7" s="1"/>
      <c r="I7" s="1"/>
      <c r="J7" s="1"/>
      <c r="K7" s="1"/>
    </row>
    <row r="8" spans="1:11" ht="18" x14ac:dyDescent="0.3">
      <c r="A8" s="40" t="s">
        <v>138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 t="s">
        <v>83</v>
      </c>
      <c r="B9" s="34" t="s">
        <v>78</v>
      </c>
      <c r="C9" s="34" t="s">
        <v>79</v>
      </c>
      <c r="D9" s="34" t="s">
        <v>52</v>
      </c>
      <c r="E9" s="34"/>
      <c r="F9" s="1"/>
      <c r="G9" s="1"/>
      <c r="H9" s="1"/>
      <c r="I9" s="1"/>
      <c r="J9" s="1"/>
      <c r="K9" s="1"/>
    </row>
    <row r="10" spans="1:11" ht="15.6" x14ac:dyDescent="0.3">
      <c r="A10" s="1" t="s">
        <v>80</v>
      </c>
      <c r="B10" s="35">
        <v>6.4414123787278704E-2</v>
      </c>
      <c r="C10" s="35">
        <v>3.5357594702573575E-2</v>
      </c>
      <c r="D10" s="35">
        <v>8.7534486862818704E-3</v>
      </c>
      <c r="E10" s="35"/>
      <c r="F10" s="1"/>
      <c r="G10" s="1"/>
      <c r="H10" s="1"/>
      <c r="I10" s="1"/>
      <c r="J10" s="1"/>
      <c r="K10" s="1"/>
    </row>
    <row r="11" spans="1:11" ht="15.6" x14ac:dyDescent="0.3">
      <c r="A11" s="1" t="s">
        <v>81</v>
      </c>
      <c r="B11" s="35">
        <v>0.92</v>
      </c>
      <c r="C11" s="35">
        <v>0.9</v>
      </c>
      <c r="D11" s="35">
        <v>0.94</v>
      </c>
      <c r="E11" s="35"/>
      <c r="F11" s="1"/>
      <c r="G11" s="1"/>
      <c r="H11" s="1"/>
      <c r="I11" s="1"/>
      <c r="J11" s="1"/>
      <c r="K11" s="1"/>
    </row>
    <row r="12" spans="1:11" ht="15.6" x14ac:dyDescent="0.3">
      <c r="A12" s="1" t="s">
        <v>82</v>
      </c>
      <c r="B12" s="35">
        <f>B10*B11</f>
        <v>5.9260993884296412E-2</v>
      </c>
      <c r="C12" s="35">
        <f t="shared" ref="C12:D12" si="0">C10*C11</f>
        <v>3.1821835232316222E-2</v>
      </c>
      <c r="D12" s="35">
        <f t="shared" si="0"/>
        <v>8.2282417651049575E-3</v>
      </c>
      <c r="E12" s="35"/>
      <c r="F12" s="1"/>
      <c r="G12" s="1"/>
      <c r="H12" s="1"/>
      <c r="I12" s="1"/>
      <c r="J12" s="1"/>
      <c r="K12" s="1"/>
    </row>
    <row r="13" spans="1:11" ht="15.6" x14ac:dyDescent="0.3">
      <c r="A13" s="1" t="s">
        <v>84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x14ac:dyDescent="0.3">
      <c r="A15" s="40" t="s">
        <v>140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6" x14ac:dyDescent="0.3">
      <c r="A16" s="2" t="s">
        <v>141</v>
      </c>
    </row>
    <row r="17" spans="1:1" ht="15.6" x14ac:dyDescent="0.3">
      <c r="A17" s="1" t="s">
        <v>159</v>
      </c>
    </row>
    <row r="18" spans="1:1" ht="15.6" x14ac:dyDescent="0.3">
      <c r="A18" s="1" t="s">
        <v>151</v>
      </c>
    </row>
    <row r="19" spans="1:1" ht="15.6" x14ac:dyDescent="0.3">
      <c r="A19" s="1" t="s">
        <v>152</v>
      </c>
    </row>
    <row r="20" spans="1:1" ht="15.6" x14ac:dyDescent="0.3">
      <c r="A20" s="1" t="s">
        <v>160</v>
      </c>
    </row>
    <row r="21" spans="1:1" ht="15.6" x14ac:dyDescent="0.3">
      <c r="A21" s="1" t="s">
        <v>161</v>
      </c>
    </row>
    <row r="22" spans="1:1" ht="15.6" x14ac:dyDescent="0.3">
      <c r="A22" s="1" t="s">
        <v>153</v>
      </c>
    </row>
    <row r="23" spans="1:1" ht="15.6" x14ac:dyDescent="0.3">
      <c r="A23" s="1" t="s">
        <v>144</v>
      </c>
    </row>
    <row r="24" spans="1:1" ht="15.6" x14ac:dyDescent="0.3">
      <c r="A24" s="1" t="s">
        <v>145</v>
      </c>
    </row>
    <row r="25" spans="1:1" ht="15.6" x14ac:dyDescent="0.3">
      <c r="A25" s="1" t="s">
        <v>146</v>
      </c>
    </row>
    <row r="26" spans="1:1" ht="15.6" x14ac:dyDescent="0.3">
      <c r="A26" s="1" t="s">
        <v>147</v>
      </c>
    </row>
    <row r="27" spans="1:1" ht="15.6" x14ac:dyDescent="0.3">
      <c r="A27" s="1" t="s">
        <v>149</v>
      </c>
    </row>
    <row r="28" spans="1:1" ht="15.6" x14ac:dyDescent="0.3">
      <c r="A28" s="1" t="s">
        <v>150</v>
      </c>
    </row>
    <row r="29" spans="1:1" ht="15.6" x14ac:dyDescent="0.3">
      <c r="A29" s="1" t="s">
        <v>148</v>
      </c>
    </row>
    <row r="30" spans="1:1" ht="15.6" x14ac:dyDescent="0.3">
      <c r="A30" s="1" t="s">
        <v>26</v>
      </c>
    </row>
    <row r="31" spans="1:1" ht="15.6" x14ac:dyDescent="0.3">
      <c r="A31" s="1" t="s">
        <v>143</v>
      </c>
    </row>
    <row r="32" spans="1:1" ht="15.6" x14ac:dyDescent="0.3">
      <c r="A32" s="1" t="s">
        <v>89</v>
      </c>
    </row>
    <row r="33" spans="1:5" ht="15.6" x14ac:dyDescent="0.3">
      <c r="A33" s="1" t="s">
        <v>165</v>
      </c>
    </row>
    <row r="34" spans="1:5" ht="15.6" x14ac:dyDescent="0.3">
      <c r="A34" s="1" t="s">
        <v>88</v>
      </c>
    </row>
    <row r="35" spans="1:5" ht="15.6" x14ac:dyDescent="0.3">
      <c r="A35" s="1" t="s">
        <v>137</v>
      </c>
    </row>
    <row r="36" spans="1:5" ht="15.6" x14ac:dyDescent="0.3">
      <c r="A36" s="1" t="s">
        <v>90</v>
      </c>
      <c r="B36" s="1" t="s">
        <v>0</v>
      </c>
      <c r="C36" s="37">
        <f>(22+31.7+30.1+40+31.7+19+22+59.8+13.2+35+15.2+15+44.5)/1300</f>
        <v>0.2916923076923077</v>
      </c>
      <c r="D36" s="1" t="s">
        <v>1</v>
      </c>
      <c r="E36" s="37">
        <f>(20+19.7+20.5+10+4.5+13.1+12.5+5.1+11+5.8)/1000</f>
        <v>0.12219999999999999</v>
      </c>
    </row>
    <row r="37" spans="1:5" ht="15.6" x14ac:dyDescent="0.3">
      <c r="A37" s="1" t="s">
        <v>142</v>
      </c>
    </row>
    <row r="38" spans="1:5" ht="15.6" x14ac:dyDescent="0.3">
      <c r="A38" s="1" t="s">
        <v>158</v>
      </c>
    </row>
    <row r="39" spans="1:5" ht="15.6" x14ac:dyDescent="0.3">
      <c r="A39" s="1" t="s">
        <v>154</v>
      </c>
    </row>
    <row r="40" spans="1:5" ht="15.6" x14ac:dyDescent="0.3">
      <c r="A40" s="1" t="s">
        <v>166</v>
      </c>
    </row>
    <row r="41" spans="1:5" ht="15.6" x14ac:dyDescent="0.3">
      <c r="A41" s="1" t="s">
        <v>156</v>
      </c>
    </row>
    <row r="42" spans="1:5" ht="15.6" x14ac:dyDescent="0.3">
      <c r="A42" s="1" t="s">
        <v>157</v>
      </c>
    </row>
    <row r="43" spans="1:5" ht="15.6" x14ac:dyDescent="0.3">
      <c r="A43" s="1" t="s">
        <v>85</v>
      </c>
    </row>
    <row r="44" spans="1:5" ht="15.6" x14ac:dyDescent="0.3">
      <c r="A44" s="1" t="s">
        <v>86</v>
      </c>
    </row>
    <row r="45" spans="1:5" ht="15.6" x14ac:dyDescent="0.3">
      <c r="A45" s="1" t="s">
        <v>87</v>
      </c>
    </row>
    <row r="46" spans="1:5" ht="15.6" x14ac:dyDescent="0.3">
      <c r="A46" s="1" t="s">
        <v>155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25.44140625" customWidth="1"/>
    <col min="2" max="4" width="11.77734375" customWidth="1"/>
    <col min="5" max="5" width="9.6640625" customWidth="1"/>
    <col min="6" max="7" width="11.77734375" customWidth="1"/>
    <col min="8" max="8" width="11.6640625" customWidth="1"/>
    <col min="9" max="9" width="8.6640625" customWidth="1"/>
    <col min="10" max="10" width="11.77734375" customWidth="1"/>
    <col min="11" max="11" width="8.21875" customWidth="1"/>
    <col min="12" max="12" width="11.77734375" customWidth="1"/>
    <col min="13" max="13" width="9.33203125" customWidth="1"/>
    <col min="14" max="14" width="11.77734375" customWidth="1"/>
    <col min="15" max="15" width="8.5546875" customWidth="1"/>
    <col min="16" max="16" width="11.77734375" customWidth="1"/>
    <col min="17" max="17" width="9.33203125" customWidth="1"/>
    <col min="18" max="18" width="12.21875" customWidth="1"/>
    <col min="19" max="19" width="9.33203125" customWidth="1"/>
    <col min="20" max="33" width="11.77734375" customWidth="1"/>
  </cols>
  <sheetData>
    <row r="1" spans="1:25" ht="15.6" x14ac:dyDescent="0.3">
      <c r="A1" s="2" t="s">
        <v>34</v>
      </c>
    </row>
    <row r="2" spans="1:25" ht="15.6" x14ac:dyDescent="0.3">
      <c r="A2" s="1" t="s">
        <v>167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4</v>
      </c>
    </row>
    <row r="3" spans="1:25" ht="40.200000000000003" customHeight="1" x14ac:dyDescent="0.3">
      <c r="A3" s="1"/>
      <c r="B3" s="63">
        <v>1380</v>
      </c>
      <c r="C3" s="63"/>
      <c r="D3" s="63">
        <v>1470</v>
      </c>
      <c r="E3" s="63"/>
      <c r="F3" s="63">
        <v>1500</v>
      </c>
      <c r="G3" s="63"/>
      <c r="H3" s="63">
        <v>1560</v>
      </c>
      <c r="I3" s="63"/>
      <c r="J3" s="63">
        <v>1660</v>
      </c>
      <c r="K3" s="63"/>
      <c r="L3" s="63">
        <v>1700</v>
      </c>
      <c r="M3" s="63"/>
      <c r="N3" s="63">
        <v>1780</v>
      </c>
      <c r="O3" s="63"/>
      <c r="P3" s="64" t="s">
        <v>91</v>
      </c>
      <c r="Q3" s="64"/>
      <c r="R3" s="64" t="s">
        <v>95</v>
      </c>
      <c r="S3" s="64"/>
      <c r="T3" s="63" t="s">
        <v>93</v>
      </c>
      <c r="U3" s="63"/>
      <c r="V3" s="64" t="s">
        <v>92</v>
      </c>
      <c r="W3" s="64"/>
      <c r="X3" s="63" t="s">
        <v>94</v>
      </c>
      <c r="Y3" s="63"/>
    </row>
    <row r="4" spans="1:25" ht="30.45" customHeight="1" x14ac:dyDescent="0.3">
      <c r="A4" s="3" t="s">
        <v>0</v>
      </c>
      <c r="B4" s="5">
        <f>B5+B6</f>
        <v>225500.00000000003</v>
      </c>
      <c r="C4" s="6">
        <f t="shared" ref="C4:E11" si="0">B4/B$11</f>
        <v>1.9780701754385972E-2</v>
      </c>
      <c r="D4" s="5">
        <f>D5+D6</f>
        <v>243886.24999999997</v>
      </c>
      <c r="E4" s="6">
        <f t="shared" si="0"/>
        <v>1.7296897163120568E-2</v>
      </c>
      <c r="F4" s="5">
        <f>F5+F6</f>
        <v>275494</v>
      </c>
      <c r="G4" s="6">
        <f t="shared" ref="G4:G11" si="1">F4/F$11</f>
        <v>1.8366266666666665E-2</v>
      </c>
      <c r="H4" s="5">
        <f>H5+H6</f>
        <v>326174.5</v>
      </c>
      <c r="I4" s="6">
        <f t="shared" ref="I4:K11" si="2">H4/H$11</f>
        <v>1.9173900293252995E-2</v>
      </c>
      <c r="J4" s="5">
        <f>J5+J6</f>
        <v>368718.99999999994</v>
      </c>
      <c r="K4" s="6">
        <f t="shared" si="2"/>
        <v>1.9805961827999503E-2</v>
      </c>
      <c r="L4" s="5">
        <f>L5+L6</f>
        <v>346583.99999999994</v>
      </c>
      <c r="M4" s="6">
        <f t="shared" ref="M4:M11" si="3">L4/L$11</f>
        <v>1.5915870683321086E-2</v>
      </c>
      <c r="N4" s="5">
        <f>N5+N6</f>
        <v>214563.99999999997</v>
      </c>
      <c r="O4" s="6">
        <f t="shared" ref="O4:O11" si="4">N4/N$11</f>
        <v>7.7535503920789202E-3</v>
      </c>
      <c r="P4" s="5">
        <v>300000</v>
      </c>
      <c r="Q4" s="6">
        <f t="shared" ref="Q4:Q11" si="5">P4/P$11</f>
        <v>1.0679731803268908E-2</v>
      </c>
      <c r="R4" s="5">
        <v>350000</v>
      </c>
      <c r="S4" s="6">
        <f t="shared" ref="S4" si="6">R4/R$11</f>
        <v>1.2459687103813726E-2</v>
      </c>
      <c r="T4" s="5">
        <f>T5+T6</f>
        <v>78090</v>
      </c>
      <c r="U4" s="6">
        <f t="shared" ref="U4:U11" si="7">T4/T$11</f>
        <v>3.2363277688443877E-3</v>
      </c>
      <c r="V4" s="5">
        <v>10645</v>
      </c>
      <c r="W4" s="6">
        <f t="shared" ref="W4:W11" si="8">V4/V$11</f>
        <v>4.4668465154610801E-3</v>
      </c>
      <c r="X4" s="5">
        <v>110000</v>
      </c>
      <c r="Y4" s="6">
        <f t="shared" ref="Y4:Y11" si="9">X4/X$11</f>
        <v>4.3137254901960782E-3</v>
      </c>
    </row>
    <row r="5" spans="1:25" ht="15" x14ac:dyDescent="0.3">
      <c r="A5" s="4" t="s">
        <v>17</v>
      </c>
      <c r="B5" s="7">
        <f>1.1*41000</f>
        <v>45100.000000000007</v>
      </c>
      <c r="C5" s="8">
        <f>B5/B$11</f>
        <v>3.956140350877194E-3</v>
      </c>
      <c r="D5" s="7">
        <f>1.15*42415</f>
        <v>48777.249999999993</v>
      </c>
      <c r="E5" s="8">
        <f t="shared" si="0"/>
        <v>3.4593794326241135E-3</v>
      </c>
      <c r="F5" s="7">
        <f>1.15*1.13*42400</f>
        <v>55098.799999999996</v>
      </c>
      <c r="G5" s="8">
        <f t="shared" si="1"/>
        <v>3.6732533333333332E-3</v>
      </c>
      <c r="H5" s="7">
        <f>1.15*1.13*50200</f>
        <v>65234.899999999994</v>
      </c>
      <c r="I5" s="8">
        <f t="shared" si="2"/>
        <v>3.8347800586505986E-3</v>
      </c>
      <c r="J5" s="7">
        <f>1.3*1.13*50200</f>
        <v>73743.799999999988</v>
      </c>
      <c r="K5" s="8">
        <f t="shared" ref="K5:K7" si="10">J5/J$11</f>
        <v>3.9611923655999007E-3</v>
      </c>
      <c r="L5" s="7">
        <f>1.4*49512</f>
        <v>69316.799999999988</v>
      </c>
      <c r="M5" s="8">
        <f t="shared" si="3"/>
        <v>3.1831741366642168E-3</v>
      </c>
      <c r="N5" s="7">
        <f>1.4*30652</f>
        <v>42912.799999999996</v>
      </c>
      <c r="O5" s="8">
        <f t="shared" si="4"/>
        <v>1.5507100784157841E-3</v>
      </c>
      <c r="P5" s="7"/>
      <c r="Q5" s="8"/>
      <c r="R5" s="7"/>
      <c r="S5" s="8"/>
      <c r="T5" s="7">
        <v>18200</v>
      </c>
      <c r="U5" s="8">
        <f t="shared" si="7"/>
        <v>7.5427283125839237E-4</v>
      </c>
      <c r="V5" s="7"/>
      <c r="W5" s="8"/>
      <c r="X5" s="7"/>
      <c r="Y5" s="8"/>
    </row>
    <row r="6" spans="1:25" ht="16.8" customHeight="1" x14ac:dyDescent="0.3">
      <c r="A6" s="4" t="s">
        <v>38</v>
      </c>
      <c r="B6" s="7">
        <f>4*B5</f>
        <v>180400.00000000003</v>
      </c>
      <c r="C6" s="8">
        <f t="shared" si="0"/>
        <v>1.5824561403508776E-2</v>
      </c>
      <c r="D6" s="7">
        <f>4*D5</f>
        <v>195108.99999999997</v>
      </c>
      <c r="E6" s="8">
        <f t="shared" si="0"/>
        <v>1.3837517730496454E-2</v>
      </c>
      <c r="F6" s="7">
        <f>4*F5</f>
        <v>220395.19999999998</v>
      </c>
      <c r="G6" s="8">
        <f t="shared" si="1"/>
        <v>1.4693013333333333E-2</v>
      </c>
      <c r="H6" s="7">
        <f>4*H5</f>
        <v>260939.59999999998</v>
      </c>
      <c r="I6" s="8">
        <f t="shared" si="2"/>
        <v>1.5339120234602394E-2</v>
      </c>
      <c r="J6" s="7">
        <f>4*J5</f>
        <v>294975.19999999995</v>
      </c>
      <c r="K6" s="8">
        <f t="shared" si="10"/>
        <v>1.5844769462399603E-2</v>
      </c>
      <c r="L6" s="7">
        <f>4*L5</f>
        <v>277267.19999999995</v>
      </c>
      <c r="M6" s="8">
        <f t="shared" si="3"/>
        <v>1.2732696546656867E-2</v>
      </c>
      <c r="N6" s="7">
        <f>4*N5</f>
        <v>171651.19999999998</v>
      </c>
      <c r="O6" s="8">
        <f t="shared" si="4"/>
        <v>6.2028403136631365E-3</v>
      </c>
      <c r="P6" s="7"/>
      <c r="Q6" s="8"/>
      <c r="R6" s="7"/>
      <c r="S6" s="8"/>
      <c r="T6" s="7">
        <v>59890</v>
      </c>
      <c r="U6" s="8">
        <f t="shared" si="7"/>
        <v>2.4820549375859954E-3</v>
      </c>
      <c r="V6" s="7"/>
      <c r="W6" s="8"/>
      <c r="X6" s="7"/>
      <c r="Y6" s="8"/>
    </row>
    <row r="7" spans="1:25" ht="27" customHeight="1" x14ac:dyDescent="0.3">
      <c r="A7" s="3" t="s">
        <v>1</v>
      </c>
      <c r="B7" s="5">
        <v>160000</v>
      </c>
      <c r="C7" s="6">
        <f>B7/B$11</f>
        <v>1.4035087719298248E-2</v>
      </c>
      <c r="D7" s="5">
        <v>190000</v>
      </c>
      <c r="E7" s="6">
        <f t="shared" si="0"/>
        <v>1.3475177304964541E-2</v>
      </c>
      <c r="F7" s="5">
        <v>200000</v>
      </c>
      <c r="G7" s="6">
        <f t="shared" si="1"/>
        <v>1.3333333333333334E-2</v>
      </c>
      <c r="H7" s="5">
        <v>240000</v>
      </c>
      <c r="I7" s="6">
        <f t="shared" si="2"/>
        <v>1.4108203033593118E-2</v>
      </c>
      <c r="J7" s="5">
        <v>260000</v>
      </c>
      <c r="K7" s="6">
        <f t="shared" si="10"/>
        <v>1.3966055655607311E-2</v>
      </c>
      <c r="L7" s="5">
        <v>230000</v>
      </c>
      <c r="M7" s="6">
        <f t="shared" si="3"/>
        <v>1.0562086700955179E-2</v>
      </c>
      <c r="N7" s="5">
        <v>200000</v>
      </c>
      <c r="O7" s="6">
        <f t="shared" si="4"/>
        <v>7.2272612293571353E-3</v>
      </c>
      <c r="P7" s="5">
        <v>200000</v>
      </c>
      <c r="Q7" s="6">
        <f t="shared" si="5"/>
        <v>7.1198212021792709E-3</v>
      </c>
      <c r="R7" s="5">
        <v>120000</v>
      </c>
      <c r="S7" s="6">
        <f t="shared" ref="S7" si="11">R7/R$11</f>
        <v>4.2718927213075625E-3</v>
      </c>
      <c r="T7" s="5">
        <v>200000</v>
      </c>
      <c r="U7" s="6">
        <f t="shared" si="7"/>
        <v>8.2887124314109054E-3</v>
      </c>
      <c r="V7" s="5">
        <v>18197</v>
      </c>
      <c r="W7" s="6">
        <f t="shared" si="8"/>
        <v>7.6358108071249665E-3</v>
      </c>
      <c r="X7" s="5">
        <v>81400</v>
      </c>
      <c r="Y7" s="6">
        <f t="shared" si="9"/>
        <v>3.1921568627450978E-3</v>
      </c>
    </row>
    <row r="8" spans="1:25" ht="15" x14ac:dyDescent="0.3">
      <c r="A8" s="4" t="s">
        <v>31</v>
      </c>
      <c r="B8" s="7">
        <f>0.7*B7</f>
        <v>112000</v>
      </c>
      <c r="C8" s="8">
        <f>B8/B$11</f>
        <v>9.824561403508774E-3</v>
      </c>
      <c r="D8" s="7">
        <f>0.7*D7</f>
        <v>133000</v>
      </c>
      <c r="E8" s="8">
        <f>D8/D$11</f>
        <v>9.4326241134751777E-3</v>
      </c>
      <c r="F8" s="7">
        <f>0.7*F7</f>
        <v>140000</v>
      </c>
      <c r="G8" s="8">
        <f>F8/F$11</f>
        <v>9.3333333333333341E-3</v>
      </c>
      <c r="H8" s="7">
        <f>0.7*H7</f>
        <v>168000</v>
      </c>
      <c r="I8" s="8">
        <f>H8/H$11</f>
        <v>9.8757421235151823E-3</v>
      </c>
      <c r="J8" s="7">
        <f>0.7*J7</f>
        <v>182000</v>
      </c>
      <c r="K8" s="8">
        <f>J8/J$11</f>
        <v>9.7762389589251177E-3</v>
      </c>
      <c r="L8" s="7">
        <f>0.7*L7</f>
        <v>161000</v>
      </c>
      <c r="M8" s="8">
        <f>L8/L$11</f>
        <v>7.3934606906686257E-3</v>
      </c>
      <c r="N8" s="7">
        <f>0.7*N7</f>
        <v>140000</v>
      </c>
      <c r="O8" s="8">
        <f>N8/N$11</f>
        <v>5.0590828605499944E-3</v>
      </c>
      <c r="P8" s="7"/>
      <c r="Q8" s="8"/>
      <c r="R8" s="7"/>
      <c r="S8" s="8"/>
      <c r="T8" s="7"/>
      <c r="U8" s="8"/>
      <c r="V8" s="7"/>
      <c r="W8" s="8"/>
      <c r="X8" s="7"/>
      <c r="Y8" s="8"/>
    </row>
    <row r="9" spans="1:25" ht="15" x14ac:dyDescent="0.3">
      <c r="A9" s="4" t="s">
        <v>33</v>
      </c>
      <c r="B9" s="7">
        <f>0.3*B7</f>
        <v>48000</v>
      </c>
      <c r="C9" s="8">
        <f t="shared" si="0"/>
        <v>4.2105263157894745E-3</v>
      </c>
      <c r="D9" s="7">
        <f>0.3*D7</f>
        <v>57000</v>
      </c>
      <c r="E9" s="8">
        <f t="shared" ref="E9" si="12">D9/D$11</f>
        <v>4.0425531914893625E-3</v>
      </c>
      <c r="F9" s="7">
        <f>0.3*F7</f>
        <v>60000</v>
      </c>
      <c r="G9" s="8">
        <f t="shared" ref="G9" si="13">F9/F$11</f>
        <v>4.0000000000000001E-3</v>
      </c>
      <c r="H9" s="7">
        <f>0.3*H7</f>
        <v>72000</v>
      </c>
      <c r="I9" s="8">
        <f t="shared" ref="I9" si="14">H9/H$11</f>
        <v>4.2324609100779353E-3</v>
      </c>
      <c r="J9" s="7">
        <f>0.3*J7</f>
        <v>78000</v>
      </c>
      <c r="K9" s="8">
        <f t="shared" ref="K9" si="15">J9/J$11</f>
        <v>4.1898166966821936E-3</v>
      </c>
      <c r="L9" s="7">
        <f>0.3*L7</f>
        <v>69000</v>
      </c>
      <c r="M9" s="8">
        <f t="shared" ref="M9" si="16">L9/L$11</f>
        <v>3.1686260102865541E-3</v>
      </c>
      <c r="N9" s="7">
        <f>0.3*N7</f>
        <v>60000</v>
      </c>
      <c r="O9" s="8">
        <f t="shared" ref="O9" si="17">N9/N$11</f>
        <v>2.1681783688071404E-3</v>
      </c>
      <c r="P9" s="7"/>
      <c r="Q9" s="8"/>
      <c r="R9" s="7"/>
      <c r="S9" s="8"/>
      <c r="T9" s="7"/>
      <c r="U9" s="8"/>
      <c r="V9" s="7"/>
      <c r="W9" s="8"/>
      <c r="X9" s="7"/>
      <c r="Y9" s="8"/>
    </row>
    <row r="10" spans="1:25" ht="30.45" customHeight="1" x14ac:dyDescent="0.3">
      <c r="A10" s="3" t="s">
        <v>2</v>
      </c>
      <c r="B10" s="5">
        <f>B11-B4-B7</f>
        <v>11014499.999999998</v>
      </c>
      <c r="C10" s="6">
        <f>B10/B$11</f>
        <v>0.96618421052631576</v>
      </c>
      <c r="D10" s="5">
        <f>D11-D4-D7</f>
        <v>13666113.749999998</v>
      </c>
      <c r="E10" s="6">
        <f t="shared" si="0"/>
        <v>0.96922792553191484</v>
      </c>
      <c r="F10" s="5">
        <f>F11-F4-F7</f>
        <v>14524506</v>
      </c>
      <c r="G10" s="6">
        <f t="shared" si="1"/>
        <v>0.96830039999999995</v>
      </c>
      <c r="H10" s="5">
        <f>H11-H4-H7</f>
        <v>16445205.292914428</v>
      </c>
      <c r="I10" s="6">
        <f t="shared" si="2"/>
        <v>0.96671789667315389</v>
      </c>
      <c r="J10" s="5">
        <f>J11-J4-J7</f>
        <v>17987847.223951079</v>
      </c>
      <c r="K10" s="6">
        <f t="shared" ref="K10:K11" si="18">J10/J$11</f>
        <v>0.96622798251639319</v>
      </c>
      <c r="L10" s="5">
        <f>L11-L4-L7</f>
        <v>21199416</v>
      </c>
      <c r="M10" s="6">
        <f t="shared" si="3"/>
        <v>0.97352204261572373</v>
      </c>
      <c r="N10" s="5">
        <f>N11-N4-N7</f>
        <v>27258436</v>
      </c>
      <c r="O10" s="6">
        <f t="shared" si="4"/>
        <v>0.98501918837856395</v>
      </c>
      <c r="P10" s="5">
        <f>P11-P4-P7</f>
        <v>27590593.052924275</v>
      </c>
      <c r="Q10" s="6">
        <f t="shared" si="5"/>
        <v>0.98220044699455178</v>
      </c>
      <c r="R10" s="5">
        <f>R11-R4-R7</f>
        <v>27620593.052924275</v>
      </c>
      <c r="S10" s="6">
        <f t="shared" ref="S10:S11" si="19">R10/R$11</f>
        <v>0.9832684201748787</v>
      </c>
      <c r="T10" s="5">
        <f>T11-T4-T7</f>
        <v>23851110</v>
      </c>
      <c r="U10" s="6">
        <f t="shared" si="7"/>
        <v>0.98847495979974476</v>
      </c>
      <c r="V10" s="5">
        <f>V11-V4-V7</f>
        <v>2354271</v>
      </c>
      <c r="W10" s="6">
        <f t="shared" si="8"/>
        <v>0.98789734267741391</v>
      </c>
      <c r="X10" s="5">
        <f>X11-X4-X7</f>
        <v>25308600</v>
      </c>
      <c r="Y10" s="6">
        <f t="shared" si="9"/>
        <v>0.99249411764705886</v>
      </c>
    </row>
    <row r="11" spans="1:25" ht="50.55" customHeight="1" x14ac:dyDescent="0.3">
      <c r="A11" s="3" t="s">
        <v>5</v>
      </c>
      <c r="B11" s="5">
        <f>6500000*((15/6.5)*(380/500))</f>
        <v>11399999.999999998</v>
      </c>
      <c r="C11" s="6">
        <f>B11/B$11</f>
        <v>1</v>
      </c>
      <c r="D11" s="5">
        <f>6500000*((15/6.5)*(470/500))</f>
        <v>14099999.999999998</v>
      </c>
      <c r="E11" s="6">
        <f t="shared" si="0"/>
        <v>1</v>
      </c>
      <c r="F11" s="5">
        <v>15000000</v>
      </c>
      <c r="G11" s="6">
        <f t="shared" si="1"/>
        <v>1</v>
      </c>
      <c r="H11" s="5">
        <f>F11*((18.5/15)^(60/100))</f>
        <v>17011379.792914428</v>
      </c>
      <c r="I11" s="6">
        <f t="shared" si="2"/>
        <v>1</v>
      </c>
      <c r="J11" s="5">
        <f>H11*((21.5/18.5)^(60/100))</f>
        <v>18616566.223951079</v>
      </c>
      <c r="K11" s="6">
        <f t="shared" si="18"/>
        <v>1</v>
      </c>
      <c r="L11" s="5">
        <v>21776000</v>
      </c>
      <c r="M11" s="6">
        <f t="shared" si="3"/>
        <v>1</v>
      </c>
      <c r="N11" s="5">
        <f>27673000</f>
        <v>27673000</v>
      </c>
      <c r="O11" s="6">
        <f t="shared" si="4"/>
        <v>1</v>
      </c>
      <c r="P11" s="5">
        <f>27673000*1.003^5</f>
        <v>28090593.052924275</v>
      </c>
      <c r="Q11" s="6">
        <f t="shared" si="5"/>
        <v>1</v>
      </c>
      <c r="R11" s="5">
        <f>27673000*1.003^5</f>
        <v>28090593.052924275</v>
      </c>
      <c r="S11" s="6">
        <f t="shared" si="19"/>
        <v>1</v>
      </c>
      <c r="T11" s="5">
        <v>24129200</v>
      </c>
      <c r="U11" s="6">
        <f t="shared" si="7"/>
        <v>1</v>
      </c>
      <c r="V11" s="5">
        <v>2383113</v>
      </c>
      <c r="W11" s="6">
        <f t="shared" si="8"/>
        <v>1</v>
      </c>
      <c r="X11" s="5">
        <v>25500000</v>
      </c>
      <c r="Y11" s="6">
        <f t="shared" si="9"/>
        <v>1</v>
      </c>
    </row>
    <row r="12" spans="1:25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5" ht="15.6" x14ac:dyDescent="0.3">
      <c r="A13" s="40" t="s">
        <v>127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5" ht="15.6" x14ac:dyDescent="0.3">
      <c r="A14" s="10" t="s">
        <v>108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5" ht="15.6" x14ac:dyDescent="0.3">
      <c r="A15" s="10" t="s">
        <v>162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5" ht="15.6" x14ac:dyDescent="0.3">
      <c r="A16" s="10" t="s">
        <v>29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6" x14ac:dyDescent="0.3">
      <c r="A17" s="13" t="s">
        <v>18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6" x14ac:dyDescent="0.3">
      <c r="A18" s="10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6" x14ac:dyDescent="0.3">
      <c r="A19" s="10" t="s">
        <v>105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6" x14ac:dyDescent="0.3">
      <c r="A20" s="10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6" x14ac:dyDescent="0.3">
      <c r="A21" s="10" t="s">
        <v>106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6" x14ac:dyDescent="0.3">
      <c r="A22" s="10" t="s">
        <v>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6" x14ac:dyDescent="0.3">
      <c r="A23" s="10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6" x14ac:dyDescent="0.3">
      <c r="A24" s="10" t="s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6" x14ac:dyDescent="0.3">
      <c r="A25" s="10" t="s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6" x14ac:dyDescent="0.3">
      <c r="A26" s="10" t="s">
        <v>21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6" x14ac:dyDescent="0.3">
      <c r="A27" s="10" t="s">
        <v>32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6" x14ac:dyDescent="0.3">
      <c r="A28" s="10" t="s">
        <v>109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6" x14ac:dyDescent="0.3">
      <c r="A29" s="10" t="s">
        <v>110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6" x14ac:dyDescent="0.3">
      <c r="A30" s="10" t="s">
        <v>111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6" x14ac:dyDescent="0.3">
      <c r="A31" s="10" t="s">
        <v>126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6" x14ac:dyDescent="0.3">
      <c r="A32" s="10" t="s">
        <v>113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6" x14ac:dyDescent="0.3">
      <c r="A33" s="10" t="s">
        <v>114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6" x14ac:dyDescent="0.3">
      <c r="A34" s="10" t="s">
        <v>115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6" x14ac:dyDescent="0.3">
      <c r="A35" s="10" t="s">
        <v>139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6" x14ac:dyDescent="0.3">
      <c r="A36" s="10" t="s">
        <v>116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6" x14ac:dyDescent="0.3">
      <c r="A37" s="10" t="s">
        <v>117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6" x14ac:dyDescent="0.3">
      <c r="A38" s="1" t="s">
        <v>77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6" x14ac:dyDescent="0.3">
      <c r="A40" s="39" t="s">
        <v>118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6" x14ac:dyDescent="0.3">
      <c r="A41" s="10" t="s">
        <v>112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6" x14ac:dyDescent="0.3">
      <c r="A42" s="1" t="s">
        <v>99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6" x14ac:dyDescent="0.3">
      <c r="A43" s="1" t="s">
        <v>100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6" x14ac:dyDescent="0.3">
      <c r="A44" s="1" t="s">
        <v>101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6" x14ac:dyDescent="0.3">
      <c r="A45" s="1" t="s">
        <v>98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6" x14ac:dyDescent="0.3">
      <c r="A46" s="1" t="s">
        <v>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6" x14ac:dyDescent="0.3">
      <c r="A47" s="1" t="s">
        <v>25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6" x14ac:dyDescent="0.3">
      <c r="A48" s="9" t="s">
        <v>27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"/>
    </row>
    <row r="49" spans="1:16" ht="15.6" x14ac:dyDescent="0.3">
      <c r="A49" s="9" t="s">
        <v>28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"/>
    </row>
    <row r="50" spans="1:16" ht="15.6" x14ac:dyDescent="0.3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"/>
    </row>
    <row r="51" spans="1:16" ht="15.6" x14ac:dyDescent="0.3">
      <c r="A51" s="9" t="s">
        <v>97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"/>
    </row>
    <row r="52" spans="1:16" ht="15.6" x14ac:dyDescent="0.3">
      <c r="A52" s="9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"/>
    </row>
    <row r="53" spans="1:16" ht="15.6" x14ac:dyDescent="0.3">
      <c r="A53" s="9" t="s">
        <v>10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</row>
    <row r="54" spans="1:16" ht="15.6" x14ac:dyDescent="0.3">
      <c r="A54" s="9" t="s">
        <v>11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"/>
    </row>
    <row r="55" spans="1:16" ht="15.6" x14ac:dyDescent="0.3">
      <c r="A55" s="9" t="s">
        <v>12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"/>
    </row>
    <row r="56" spans="1:16" ht="15.6" x14ac:dyDescent="0.3">
      <c r="A56" s="9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"/>
    </row>
    <row r="57" spans="1:16" ht="15.6" x14ac:dyDescent="0.3">
      <c r="A57" s="1" t="s">
        <v>14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6" x14ac:dyDescent="0.3">
      <c r="A58" s="1" t="s">
        <v>15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6" x14ac:dyDescent="0.3">
      <c r="A59" s="1" t="s">
        <v>16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6" x14ac:dyDescent="0.3">
      <c r="A60" s="1" t="s">
        <v>104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6" x14ac:dyDescent="0.3">
      <c r="A61" s="11" t="s">
        <v>103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6" x14ac:dyDescent="0.3">
      <c r="A62" s="12" t="s">
        <v>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6" x14ac:dyDescent="0.3">
      <c r="A63" s="12" t="s">
        <v>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6" x14ac:dyDescent="0.3">
      <c r="A64" s="12" t="s">
        <v>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6" x14ac:dyDescent="0.3">
      <c r="A65" s="1" t="s">
        <v>102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</sheetData>
  <mergeCells count="12">
    <mergeCell ref="T3:U3"/>
    <mergeCell ref="V3:W3"/>
    <mergeCell ref="X3:Y3"/>
    <mergeCell ref="B3:C3"/>
    <mergeCell ref="F3:G3"/>
    <mergeCell ref="N3:O3"/>
    <mergeCell ref="H3:I3"/>
    <mergeCell ref="L3:M3"/>
    <mergeCell ref="D3:E3"/>
    <mergeCell ref="P3:Q3"/>
    <mergeCell ref="J3:K3"/>
    <mergeCell ref="R3:S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25.44140625" customWidth="1"/>
    <col min="2" max="2" width="11.77734375" customWidth="1"/>
    <col min="3" max="3" width="8.88671875" customWidth="1"/>
    <col min="4" max="4" width="11.77734375" customWidth="1"/>
    <col min="5" max="5" width="8.33203125" customWidth="1"/>
    <col min="6" max="6" width="11.77734375" customWidth="1"/>
    <col min="7" max="7" width="8.21875" customWidth="1"/>
    <col min="8" max="8" width="11.6640625" customWidth="1"/>
    <col min="9" max="9" width="8.33203125" customWidth="1"/>
    <col min="10" max="10" width="11.77734375" customWidth="1"/>
    <col min="11" max="11" width="8.21875" customWidth="1"/>
    <col min="12" max="12" width="11.77734375" customWidth="1"/>
    <col min="13" max="13" width="9.33203125" customWidth="1"/>
    <col min="14" max="14" width="11.77734375" customWidth="1"/>
    <col min="15" max="15" width="8.5546875" customWidth="1"/>
    <col min="16" max="22" width="11.77734375" customWidth="1"/>
  </cols>
  <sheetData>
    <row r="1" spans="1:15" ht="15.6" x14ac:dyDescent="0.3">
      <c r="A1" s="2" t="s">
        <v>35</v>
      </c>
    </row>
    <row r="2" spans="1:15" ht="15.6" x14ac:dyDescent="0.3">
      <c r="A2" s="1" t="s">
        <v>167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40.200000000000003" customHeight="1" x14ac:dyDescent="0.3">
      <c r="A3" s="1"/>
      <c r="B3" s="63">
        <v>1380</v>
      </c>
      <c r="C3" s="63"/>
      <c r="D3" s="63">
        <v>1470</v>
      </c>
      <c r="E3" s="63"/>
      <c r="F3" s="63">
        <v>1500</v>
      </c>
      <c r="G3" s="63"/>
      <c r="H3" s="63">
        <v>1560</v>
      </c>
      <c r="I3" s="63"/>
      <c r="J3" s="63">
        <v>1660</v>
      </c>
      <c r="K3" s="63"/>
      <c r="L3" s="63">
        <v>1700</v>
      </c>
      <c r="M3" s="63"/>
      <c r="N3" s="63">
        <v>1780</v>
      </c>
      <c r="O3" s="63"/>
    </row>
    <row r="4" spans="1:15" ht="30.45" customHeight="1" x14ac:dyDescent="0.3">
      <c r="A4" s="3" t="s">
        <v>0</v>
      </c>
      <c r="B4" s="5">
        <f>B5+B6</f>
        <v>63140.000000000015</v>
      </c>
      <c r="C4" s="6">
        <f t="shared" ref="C4:E11" si="0">B4/B$11</f>
        <v>1.8461988304093575E-2</v>
      </c>
      <c r="D4" s="5">
        <f>D5+D6</f>
        <v>68288.149999999994</v>
      </c>
      <c r="E4" s="6">
        <f t="shared" ref="E4" si="1">D4/D$11</f>
        <v>1.6143770685579199E-2</v>
      </c>
      <c r="F4" s="5">
        <f>F5+F6</f>
        <v>77138.319999999992</v>
      </c>
      <c r="G4" s="6">
        <f t="shared" ref="G4" si="2">F4/F$11</f>
        <v>1.7141848888888887E-2</v>
      </c>
      <c r="H4" s="5">
        <f>H5+H6</f>
        <v>91328.859999999986</v>
      </c>
      <c r="I4" s="6">
        <f t="shared" ref="I4" si="3">H4/H$11</f>
        <v>1.789564027370279E-2</v>
      </c>
      <c r="J4" s="5">
        <f>J5+J6</f>
        <v>103241.31999999998</v>
      </c>
      <c r="K4" s="6">
        <f t="shared" ref="K4" si="4">J4/J$11</f>
        <v>1.8485564372799537E-2</v>
      </c>
      <c r="L4" s="5">
        <f>L5+L6</f>
        <v>97043.51999999999</v>
      </c>
      <c r="M4" s="6">
        <f t="shared" ref="M4" si="5">L4/L$11</f>
        <v>1.4854812637766347E-2</v>
      </c>
      <c r="N4" s="5">
        <f>N5+N6</f>
        <v>60077.919999999998</v>
      </c>
      <c r="O4" s="6">
        <f t="shared" ref="O4" si="6">N4/N$11</f>
        <v>7.2366470326069932E-3</v>
      </c>
    </row>
    <row r="5" spans="1:15" ht="15" x14ac:dyDescent="0.3">
      <c r="A5" s="4" t="s">
        <v>17</v>
      </c>
      <c r="B5" s="7">
        <f>DataFR1!B5</f>
        <v>45100.000000000007</v>
      </c>
      <c r="C5" s="8">
        <f>B5/B$11</f>
        <v>1.318713450292398E-2</v>
      </c>
      <c r="D5" s="7">
        <f>DataFR1!D5</f>
        <v>48777.249999999993</v>
      </c>
      <c r="E5" s="8">
        <f>D5/D$11</f>
        <v>1.1531264775413712E-2</v>
      </c>
      <c r="F5" s="7">
        <f>DataFR1!F5</f>
        <v>55098.799999999996</v>
      </c>
      <c r="G5" s="8">
        <f>F5/F$11</f>
        <v>1.2244177777777776E-2</v>
      </c>
      <c r="H5" s="7">
        <f>DataFR1!H5</f>
        <v>65234.899999999994</v>
      </c>
      <c r="I5" s="8">
        <f>H5/H$11</f>
        <v>1.2782600195501995E-2</v>
      </c>
      <c r="J5" s="7">
        <f>DataFR1!J5</f>
        <v>73743.799999999988</v>
      </c>
      <c r="K5" s="8">
        <f>J5/J$11</f>
        <v>1.320397455199967E-2</v>
      </c>
      <c r="L5" s="7">
        <f>DataFR1!L5</f>
        <v>69316.799999999988</v>
      </c>
      <c r="M5" s="8">
        <f>L5/L$11</f>
        <v>1.0610580455547389E-2</v>
      </c>
      <c r="N5" s="7">
        <f>DataFR1!N5</f>
        <v>42912.799999999996</v>
      </c>
      <c r="O5" s="8">
        <f>N5/N$11</f>
        <v>5.1690335947192807E-3</v>
      </c>
    </row>
    <row r="6" spans="1:15" ht="15" x14ac:dyDescent="0.3">
      <c r="A6" s="4" t="s">
        <v>37</v>
      </c>
      <c r="B6" s="7">
        <f>0.1*DataFR1!B6</f>
        <v>18040.000000000004</v>
      </c>
      <c r="C6" s="8">
        <f>B6/B$11</f>
        <v>5.2748538011695928E-3</v>
      </c>
      <c r="D6" s="7">
        <f>0.1*DataFR1!D6</f>
        <v>19510.899999999998</v>
      </c>
      <c r="E6" s="8">
        <f>D6/D$11</f>
        <v>4.6125059101654849E-3</v>
      </c>
      <c r="F6" s="7">
        <f>0.1*DataFR1!F6</f>
        <v>22039.52</v>
      </c>
      <c r="G6" s="8">
        <f>F6/F$11</f>
        <v>4.8976711111111109E-3</v>
      </c>
      <c r="H6" s="7">
        <f>0.1*DataFR1!H6</f>
        <v>26093.96</v>
      </c>
      <c r="I6" s="8">
        <f>H6/H$11</f>
        <v>5.1130400782007984E-3</v>
      </c>
      <c r="J6" s="7">
        <f>0.1*DataFR1!J6</f>
        <v>29497.519999999997</v>
      </c>
      <c r="K6" s="8">
        <f>J6/J$11</f>
        <v>5.2815898207998679E-3</v>
      </c>
      <c r="L6" s="7">
        <f>0.1*DataFR1!L6</f>
        <v>27726.719999999998</v>
      </c>
      <c r="M6" s="8">
        <f>L6/L$11</f>
        <v>4.2442321822189566E-3</v>
      </c>
      <c r="N6" s="7">
        <f>0.1*DataFR1!N6</f>
        <v>17165.12</v>
      </c>
      <c r="O6" s="8">
        <f>N6/N$11</f>
        <v>2.0676134378877125E-3</v>
      </c>
    </row>
    <row r="7" spans="1:15" ht="27" customHeight="1" x14ac:dyDescent="0.3">
      <c r="A7" s="3" t="s">
        <v>1</v>
      </c>
      <c r="B7" s="5">
        <f>B8+B9</f>
        <v>112000</v>
      </c>
      <c r="C7" s="6">
        <f>B7/B$11</f>
        <v>3.2748538011695909E-2</v>
      </c>
      <c r="D7" s="5">
        <f>D8+D9</f>
        <v>133000</v>
      </c>
      <c r="E7" s="6">
        <f>D7/D$11</f>
        <v>3.1442080378250595E-2</v>
      </c>
      <c r="F7" s="5">
        <f>F8+F9</f>
        <v>140000</v>
      </c>
      <c r="G7" s="6">
        <f>F7/F$11</f>
        <v>3.111111111111111E-2</v>
      </c>
      <c r="H7" s="5">
        <f>H8+H9</f>
        <v>168000</v>
      </c>
      <c r="I7" s="6">
        <f>H7/H$11</f>
        <v>3.2919140411717278E-2</v>
      </c>
      <c r="J7" s="5">
        <f>J8+J9</f>
        <v>182000</v>
      </c>
      <c r="K7" s="6">
        <f>J7/J$11</f>
        <v>3.258746319641706E-2</v>
      </c>
      <c r="L7" s="5">
        <f>L8+L9</f>
        <v>161000</v>
      </c>
      <c r="M7" s="6">
        <f>L7/L$11</f>
        <v>2.4644868968895419E-2</v>
      </c>
      <c r="N7" s="5">
        <f>N8+N9</f>
        <v>140000</v>
      </c>
      <c r="O7" s="6">
        <f>N7/N$11</f>
        <v>1.6863609535166649E-2</v>
      </c>
    </row>
    <row r="8" spans="1:15" ht="15" x14ac:dyDescent="0.3">
      <c r="A8" s="4" t="s">
        <v>31</v>
      </c>
      <c r="B8" s="7">
        <f>DataFR1!B8</f>
        <v>112000</v>
      </c>
      <c r="C8" s="8">
        <f>B8/B$11</f>
        <v>3.2748538011695909E-2</v>
      </c>
      <c r="D8" s="7">
        <f>DataFR1!D8</f>
        <v>133000</v>
      </c>
      <c r="E8" s="8">
        <f>D8/D$11</f>
        <v>3.1442080378250595E-2</v>
      </c>
      <c r="F8" s="7">
        <f>DataFR1!F8</f>
        <v>140000</v>
      </c>
      <c r="G8" s="8">
        <f>F8/F$11</f>
        <v>3.111111111111111E-2</v>
      </c>
      <c r="H8" s="7">
        <f>DataFR1!H8</f>
        <v>168000</v>
      </c>
      <c r="I8" s="8">
        <f>H8/H$11</f>
        <v>3.2919140411717278E-2</v>
      </c>
      <c r="J8" s="7">
        <f>DataFR1!J8</f>
        <v>182000</v>
      </c>
      <c r="K8" s="8">
        <f>J8/J$11</f>
        <v>3.258746319641706E-2</v>
      </c>
      <c r="L8" s="7">
        <f>DataFR1!L8</f>
        <v>161000</v>
      </c>
      <c r="M8" s="8">
        <f>L8/L$11</f>
        <v>2.4644868968895419E-2</v>
      </c>
      <c r="N8" s="7">
        <f>DataFR1!N8</f>
        <v>140000</v>
      </c>
      <c r="O8" s="8">
        <f>N8/N$11</f>
        <v>1.6863609535166649E-2</v>
      </c>
    </row>
    <row r="9" spans="1:15" ht="15" x14ac:dyDescent="0.3">
      <c r="A9" s="4"/>
      <c r="B9" s="7"/>
      <c r="C9" s="8"/>
      <c r="D9" s="7"/>
      <c r="E9" s="8"/>
      <c r="F9" s="7"/>
      <c r="G9" s="8"/>
      <c r="H9" s="7"/>
      <c r="I9" s="8"/>
      <c r="J9" s="7"/>
      <c r="K9" s="8"/>
      <c r="L9" s="7"/>
      <c r="M9" s="8"/>
      <c r="N9" s="7"/>
      <c r="O9" s="8"/>
    </row>
    <row r="10" spans="1:15" ht="30.45" customHeight="1" x14ac:dyDescent="0.3">
      <c r="A10" s="3" t="s">
        <v>2</v>
      </c>
      <c r="B10" s="5">
        <f>B11-B4-B7</f>
        <v>3244859.9999999995</v>
      </c>
      <c r="C10" s="6">
        <f>B10/B$11</f>
        <v>0.94878947368421052</v>
      </c>
      <c r="D10" s="5">
        <f>D11-D4-D7</f>
        <v>4028711.8499999992</v>
      </c>
      <c r="E10" s="6">
        <f t="shared" si="0"/>
        <v>0.95241414893617027</v>
      </c>
      <c r="F10" s="5">
        <f>F11-F4-F7</f>
        <v>4282861.68</v>
      </c>
      <c r="G10" s="6">
        <f t="shared" ref="G10:G11" si="7">F10/F$11</f>
        <v>0.95174703999999999</v>
      </c>
      <c r="H10" s="5">
        <f>H11-H4-H7</f>
        <v>4844085.077874328</v>
      </c>
      <c r="I10" s="6">
        <f t="shared" ref="I10:I11" si="8">H10/H$11</f>
        <v>0.94918521931457989</v>
      </c>
      <c r="J10" s="5">
        <f>J11-J4-J7</f>
        <v>5299728.5471853232</v>
      </c>
      <c r="K10" s="6">
        <f t="shared" ref="K10:K11" si="9">J10/J$11</f>
        <v>0.94892697243078339</v>
      </c>
      <c r="L10" s="5">
        <f>L11-L4-L7</f>
        <v>6274756.4800000004</v>
      </c>
      <c r="M10" s="6">
        <f t="shared" ref="M10:M11" si="10">L10/L$11</f>
        <v>0.96050031839333827</v>
      </c>
      <c r="N10" s="5">
        <f>N11-N4-N7</f>
        <v>8101822.0800000001</v>
      </c>
      <c r="O10" s="6">
        <f t="shared" ref="O10:O11" si="11">N10/N$11</f>
        <v>0.97589974343222641</v>
      </c>
    </row>
    <row r="11" spans="1:15" ht="50.55" customHeight="1" x14ac:dyDescent="0.3">
      <c r="A11" s="3" t="s">
        <v>36</v>
      </c>
      <c r="B11" s="5">
        <f>0.3*DataFR1!B11</f>
        <v>3419999.9999999995</v>
      </c>
      <c r="C11" s="6">
        <f>B11/B$11</f>
        <v>1</v>
      </c>
      <c r="D11" s="5">
        <f>0.3*DataFR1!D11</f>
        <v>4229999.9999999991</v>
      </c>
      <c r="E11" s="6">
        <f t="shared" si="0"/>
        <v>1</v>
      </c>
      <c r="F11" s="5">
        <f>0.3*DataFR1!F11</f>
        <v>4500000</v>
      </c>
      <c r="G11" s="6">
        <f t="shared" si="7"/>
        <v>1</v>
      </c>
      <c r="H11" s="5">
        <f>0.3*DataFR1!H11</f>
        <v>5103413.9378743283</v>
      </c>
      <c r="I11" s="6">
        <f t="shared" si="8"/>
        <v>1</v>
      </c>
      <c r="J11" s="5">
        <f>0.3*DataFR1!J11</f>
        <v>5584969.8671853235</v>
      </c>
      <c r="K11" s="6">
        <f t="shared" si="9"/>
        <v>1</v>
      </c>
      <c r="L11" s="5">
        <f>0.3*DataFR1!L11</f>
        <v>6532800</v>
      </c>
      <c r="M11" s="6">
        <f t="shared" si="10"/>
        <v>1</v>
      </c>
      <c r="N11" s="5">
        <f>0.3*DataFR1!N11</f>
        <v>8301900</v>
      </c>
      <c r="O11" s="6">
        <f t="shared" si="11"/>
        <v>1</v>
      </c>
    </row>
    <row r="13" spans="1:15" ht="15.6" x14ac:dyDescent="0.3">
      <c r="A13" s="1" t="s">
        <v>128</v>
      </c>
    </row>
    <row r="14" spans="1:15" ht="15.6" x14ac:dyDescent="0.3">
      <c r="A14" s="1" t="s">
        <v>44</v>
      </c>
      <c r="B14" s="1" t="s">
        <v>39</v>
      </c>
      <c r="C14" s="1"/>
      <c r="D14" s="41">
        <v>4436998</v>
      </c>
      <c r="E14" s="37">
        <f>D14/D$19</f>
        <v>0.1838850024037266</v>
      </c>
    </row>
    <row r="15" spans="1:15" ht="15.6" x14ac:dyDescent="0.3">
      <c r="A15" s="42"/>
      <c r="B15" s="1" t="s">
        <v>40</v>
      </c>
      <c r="C15" s="1"/>
      <c r="D15" s="41">
        <v>587051</v>
      </c>
      <c r="E15" s="37">
        <f t="shared" ref="E15:E19" si="12">D15/D$19</f>
        <v>2.4329484607861013E-2</v>
      </c>
    </row>
    <row r="16" spans="1:15" ht="15.6" x14ac:dyDescent="0.3">
      <c r="A16" s="42"/>
      <c r="B16" s="1" t="s">
        <v>41</v>
      </c>
      <c r="C16" s="1"/>
      <c r="D16" s="41">
        <v>5024049</v>
      </c>
      <c r="E16" s="37">
        <f t="shared" si="12"/>
        <v>0.20821448701158762</v>
      </c>
    </row>
    <row r="17" spans="1:5" ht="15.6" x14ac:dyDescent="0.3">
      <c r="A17" s="42"/>
      <c r="B17" s="1" t="s">
        <v>42</v>
      </c>
      <c r="C17" s="1"/>
      <c r="D17" s="41">
        <v>2540805</v>
      </c>
      <c r="E17" s="37">
        <f t="shared" si="12"/>
        <v>0.10530000994645491</v>
      </c>
    </row>
    <row r="18" spans="1:5" ht="15.6" x14ac:dyDescent="0.3">
      <c r="A18" s="42"/>
      <c r="B18" s="1" t="s">
        <v>41</v>
      </c>
      <c r="C18" s="1"/>
      <c r="D18" s="41">
        <f>D16+D17</f>
        <v>7564854</v>
      </c>
      <c r="E18" s="37">
        <f t="shared" si="12"/>
        <v>0.31351449695804251</v>
      </c>
    </row>
    <row r="19" spans="1:5" ht="15.6" x14ac:dyDescent="0.3">
      <c r="A19" s="42"/>
      <c r="B19" s="1" t="s">
        <v>43</v>
      </c>
      <c r="C19" s="1"/>
      <c r="D19" s="41">
        <v>24129200</v>
      </c>
      <c r="E19" s="37">
        <f t="shared" si="12"/>
        <v>1</v>
      </c>
    </row>
    <row r="20" spans="1:5" ht="15.6" x14ac:dyDescent="0.3">
      <c r="A20" s="42"/>
      <c r="B20" s="42"/>
      <c r="C20" s="42"/>
      <c r="D20" s="42"/>
      <c r="E20" s="42"/>
    </row>
  </sheetData>
  <mergeCells count="7">
    <mergeCell ref="N3:O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27.109375" customWidth="1"/>
    <col min="2" max="2" width="11.77734375" customWidth="1"/>
    <col min="3" max="3" width="8.88671875" customWidth="1"/>
    <col min="4" max="17" width="11.77734375" customWidth="1"/>
    <col min="18" max="18" width="12.109375" bestFit="1" customWidth="1"/>
    <col min="20" max="20" width="12.109375" bestFit="1" customWidth="1"/>
    <col min="22" max="22" width="12.109375" bestFit="1" customWidth="1"/>
    <col min="24" max="24" width="12.109375" bestFit="1" customWidth="1"/>
    <col min="26" max="26" width="12.109375" bestFit="1" customWidth="1"/>
    <col min="28" max="28" width="12.109375" bestFit="1" customWidth="1"/>
    <col min="30" max="30" width="12.109375" bestFit="1" customWidth="1"/>
    <col min="31" max="31" width="13.77734375" customWidth="1"/>
    <col min="32" max="32" width="12.33203125" customWidth="1"/>
    <col min="33" max="33" width="11.6640625" bestFit="1" customWidth="1"/>
  </cols>
  <sheetData>
    <row r="1" spans="1:33" ht="15.6" x14ac:dyDescent="0.3">
      <c r="A1" s="2" t="s">
        <v>76</v>
      </c>
    </row>
    <row r="2" spans="1:33" ht="15.6" x14ac:dyDescent="0.3">
      <c r="A2" s="1" t="s">
        <v>167</v>
      </c>
      <c r="B2" s="1"/>
      <c r="C2" s="1"/>
    </row>
    <row r="3" spans="1:33" ht="40.200000000000003" customHeight="1" x14ac:dyDescent="0.3">
      <c r="A3" s="1"/>
      <c r="B3" s="63">
        <v>1872</v>
      </c>
      <c r="C3" s="63"/>
      <c r="D3" s="63">
        <v>1876</v>
      </c>
      <c r="E3" s="63"/>
      <c r="F3" s="63">
        <v>1906</v>
      </c>
      <c r="G3" s="63"/>
      <c r="H3" s="63">
        <v>1911</v>
      </c>
      <c r="I3" s="63"/>
      <c r="J3" s="63">
        <v>1921</v>
      </c>
      <c r="K3" s="63"/>
      <c r="L3" s="63">
        <v>1926</v>
      </c>
      <c r="M3" s="63"/>
      <c r="N3" s="63">
        <v>1931</v>
      </c>
      <c r="O3" s="63"/>
      <c r="P3" s="63">
        <v>1936</v>
      </c>
      <c r="Q3" s="63"/>
      <c r="R3" s="63">
        <v>1954</v>
      </c>
      <c r="S3" s="63"/>
      <c r="T3" s="63">
        <v>1962</v>
      </c>
      <c r="U3" s="63"/>
      <c r="V3" s="63">
        <v>1968</v>
      </c>
      <c r="W3" s="63"/>
      <c r="X3" s="63">
        <v>1975</v>
      </c>
      <c r="Y3" s="63"/>
      <c r="Z3" s="63">
        <v>1982</v>
      </c>
      <c r="AA3" s="63"/>
      <c r="AB3" s="63">
        <v>1990</v>
      </c>
      <c r="AC3" s="63"/>
      <c r="AD3" s="63">
        <v>1998</v>
      </c>
      <c r="AE3" s="63"/>
      <c r="AF3" s="63">
        <v>2014</v>
      </c>
      <c r="AG3" s="63"/>
    </row>
    <row r="4" spans="1:33" ht="27" customHeight="1" x14ac:dyDescent="0.3">
      <c r="A4" s="3" t="s">
        <v>53</v>
      </c>
      <c r="B4" s="5">
        <f>B5+B6</f>
        <v>146550</v>
      </c>
      <c r="C4" s="6">
        <f>B4/B$18</f>
        <v>4.0592283377846351E-3</v>
      </c>
      <c r="D4" s="5">
        <f>D5+D6</f>
        <v>144247</v>
      </c>
      <c r="E4" s="6">
        <f>D4/D$18</f>
        <v>3.9085197151189398E-3</v>
      </c>
      <c r="F4" s="5">
        <f>F5+F6</f>
        <v>89607</v>
      </c>
      <c r="G4" s="6">
        <f>F4/F$18</f>
        <v>2.3073179524152848E-3</v>
      </c>
      <c r="H4" s="5">
        <f>H5+H6</f>
        <v>81677</v>
      </c>
      <c r="I4" s="6">
        <f>H4/H$18</f>
        <v>2.0821097175486897E-3</v>
      </c>
      <c r="J4" s="5">
        <f>J5+J6</f>
        <v>105015</v>
      </c>
      <c r="K4" s="6">
        <f>J4/J$18</f>
        <v>2.7084569158950817E-3</v>
      </c>
      <c r="L4" s="5">
        <f>L5+L6</f>
        <v>104562</v>
      </c>
      <c r="M4" s="6">
        <f>L4/L$18</f>
        <v>2.5999452967650498E-3</v>
      </c>
      <c r="N4" s="5">
        <f>N5+N6</f>
        <v>114072</v>
      </c>
      <c r="O4" s="6">
        <f>N4/N$18</f>
        <v>2.7649126208885767E-3</v>
      </c>
      <c r="P4" s="5">
        <f>P5+P6</f>
        <v>120162</v>
      </c>
      <c r="Q4" s="6">
        <f>P4/P$18</f>
        <v>2.9169782007088412E-3</v>
      </c>
      <c r="R4" s="5">
        <f>R5+R6</f>
        <v>154700</v>
      </c>
      <c r="S4" s="6">
        <f>R4/R$18</f>
        <v>3.6073219074268391E-3</v>
      </c>
      <c r="T4" s="5">
        <v>158000</v>
      </c>
      <c r="U4" s="6">
        <f>T4/T$18</f>
        <v>3.4035586575330663E-3</v>
      </c>
      <c r="V4" s="5">
        <v>132000</v>
      </c>
      <c r="W4" s="6">
        <f>V4/V$18</f>
        <v>2.6547070772077307E-3</v>
      </c>
      <c r="X4" s="5">
        <v>116000</v>
      </c>
      <c r="Y4" s="6">
        <f>X4/X$18</f>
        <v>2.2053231939163499E-3</v>
      </c>
      <c r="Z4" s="5">
        <v>59000</v>
      </c>
      <c r="AA4" s="33">
        <f>Z4/Z$18</f>
        <v>1.0858562620778504E-3</v>
      </c>
      <c r="AB4" s="5">
        <v>48000</v>
      </c>
      <c r="AC4" s="33">
        <f>AB4/AB$18</f>
        <v>8.4840129381197305E-4</v>
      </c>
      <c r="AD4" s="5">
        <v>17000</v>
      </c>
      <c r="AE4" s="33">
        <f>AD4/AD$18</f>
        <v>2.8949474652180575E-4</v>
      </c>
      <c r="AF4" s="5">
        <f>AF7+AF8</f>
        <v>19862</v>
      </c>
      <c r="AG4" s="33">
        <f>AF4/AF$18</f>
        <v>3.0296462986331295E-4</v>
      </c>
    </row>
    <row r="5" spans="1:33" ht="15.6" x14ac:dyDescent="0.3">
      <c r="A5" s="3" t="s">
        <v>54</v>
      </c>
      <c r="B5" s="5">
        <v>52148</v>
      </c>
      <c r="C5" s="6">
        <f>B5/B$18</f>
        <v>1.4444260618136687E-3</v>
      </c>
      <c r="D5" s="5">
        <v>51217</v>
      </c>
      <c r="E5" s="6">
        <f>D5/D$18</f>
        <v>1.3877768983011553E-3</v>
      </c>
      <c r="F5" s="5">
        <f>50850</f>
        <v>50850</v>
      </c>
      <c r="G5" s="6">
        <f>F5/F$18</f>
        <v>1.3093521474920177E-3</v>
      </c>
      <c r="H5" s="5">
        <v>43192</v>
      </c>
      <c r="I5" s="6">
        <f>H5/H$18</f>
        <v>1.1010502702151525E-3</v>
      </c>
      <c r="J5" s="5">
        <v>50878</v>
      </c>
      <c r="K5" s="6">
        <f>J5/J$18</f>
        <v>1.3122017899053465E-3</v>
      </c>
      <c r="L5" s="5">
        <v>50732</v>
      </c>
      <c r="M5" s="6">
        <f>L5/L$18</f>
        <v>1.2614565979560883E-3</v>
      </c>
      <c r="N5" s="5">
        <v>53546</v>
      </c>
      <c r="O5" s="6">
        <f>N5/N$18</f>
        <v>1.297864604794338E-3</v>
      </c>
      <c r="P5" s="5">
        <v>54886</v>
      </c>
      <c r="Q5" s="6">
        <f>P5/P$18</f>
        <v>1.332378501723552E-3</v>
      </c>
      <c r="R5" s="5">
        <v>44360</v>
      </c>
      <c r="S5" s="6">
        <f>R5/R$18</f>
        <v>1.0343943103649294E-3</v>
      </c>
      <c r="T5" s="5"/>
      <c r="U5" s="6">
        <f>T5/T$18</f>
        <v>0</v>
      </c>
      <c r="V5" s="5"/>
      <c r="W5" s="6">
        <f>V5/V$18</f>
        <v>0</v>
      </c>
      <c r="X5" s="5"/>
      <c r="Y5" s="6">
        <f>X5/X$18</f>
        <v>0</v>
      </c>
      <c r="Z5" s="5">
        <v>29000</v>
      </c>
      <c r="AA5" s="6">
        <f>Z5/Z$18</f>
        <v>5.3372595932640106E-4</v>
      </c>
      <c r="AB5" s="5"/>
      <c r="AC5" s="6">
        <f>AB5/AB$18</f>
        <v>0</v>
      </c>
      <c r="AD5" s="5"/>
      <c r="AE5" s="6">
        <f>AD5/AD$18</f>
        <v>0</v>
      </c>
      <c r="AF5" s="5"/>
      <c r="AG5" s="6">
        <f>AF5/AF$18</f>
        <v>0</v>
      </c>
    </row>
    <row r="6" spans="1:33" ht="15.6" x14ac:dyDescent="0.3">
      <c r="A6" s="3" t="s">
        <v>55</v>
      </c>
      <c r="B6" s="5">
        <f>13102+81300</f>
        <v>94402</v>
      </c>
      <c r="C6" s="6">
        <f>B6/B$18</f>
        <v>2.6148022759709664E-3</v>
      </c>
      <c r="D6" s="5">
        <f>14813+78217</f>
        <v>93030</v>
      </c>
      <c r="E6" s="6">
        <f>D6/D$18</f>
        <v>2.5207428168177847E-3</v>
      </c>
      <c r="F6" s="5">
        <f>10000+28757</f>
        <v>38757</v>
      </c>
      <c r="G6" s="6">
        <f>F6/F$18</f>
        <v>9.9796580492326711E-4</v>
      </c>
      <c r="H6" s="5">
        <f>10000+28485</f>
        <v>38485</v>
      </c>
      <c r="I6" s="6">
        <f>H6/H$18</f>
        <v>9.8105944733353724E-4</v>
      </c>
      <c r="J6" s="5">
        <f>10000+44137</f>
        <v>54137</v>
      </c>
      <c r="K6" s="6">
        <f>J6/J$18</f>
        <v>1.396255125989735E-3</v>
      </c>
      <c r="L6" s="5">
        <f>10000+43830</f>
        <v>53830</v>
      </c>
      <c r="M6" s="6">
        <f>L6/L$18</f>
        <v>1.3384886988089613E-3</v>
      </c>
      <c r="N6" s="5">
        <f>10000+50526</f>
        <v>60526</v>
      </c>
      <c r="O6" s="6">
        <f>N6/N$18</f>
        <v>1.4670480160942384E-3</v>
      </c>
      <c r="P6" s="5">
        <f>10000+55276</f>
        <v>65276</v>
      </c>
      <c r="Q6" s="6">
        <f>P6/P$18</f>
        <v>1.584599698985289E-3</v>
      </c>
      <c r="R6" s="5">
        <f>10000+100340</f>
        <v>110340</v>
      </c>
      <c r="S6" s="6">
        <f>R6/R$18</f>
        <v>2.5729275970619099E-3</v>
      </c>
      <c r="T6" s="5"/>
      <c r="U6" s="6">
        <f>T6/T$18</f>
        <v>0</v>
      </c>
      <c r="V6" s="5"/>
      <c r="W6" s="6">
        <f>V6/V$18</f>
        <v>0</v>
      </c>
      <c r="X6" s="5"/>
      <c r="Y6" s="6">
        <f>X6/X$18</f>
        <v>0</v>
      </c>
      <c r="Z6" s="5">
        <v>30000</v>
      </c>
      <c r="AA6" s="6">
        <f>Z6/Z$18</f>
        <v>5.521303027514493E-4</v>
      </c>
      <c r="AB6" s="5"/>
      <c r="AC6" s="6">
        <f>AB6/AB$18</f>
        <v>0</v>
      </c>
      <c r="AD6" s="5"/>
      <c r="AE6" s="6">
        <f>AD6/AD$18</f>
        <v>0</v>
      </c>
      <c r="AF6" s="5"/>
      <c r="AG6" s="6">
        <f>AF6/AF$18</f>
        <v>0</v>
      </c>
    </row>
    <row r="7" spans="1:33" ht="15.6" x14ac:dyDescent="0.3">
      <c r="A7" s="4" t="s">
        <v>31</v>
      </c>
      <c r="B7" s="7">
        <f>52148+13102</f>
        <v>65250</v>
      </c>
      <c r="C7" s="8">
        <f t="shared" ref="C7:C8" si="0">B7/B$18</f>
        <v>1.8073329856052368E-3</v>
      </c>
      <c r="D7" s="7">
        <f>51217+14813</f>
        <v>66030</v>
      </c>
      <c r="E7" s="8">
        <f t="shared" ref="E7:E8" si="1">D7/D$18</f>
        <v>1.7891502546971765E-3</v>
      </c>
      <c r="F7" s="7">
        <v>60850</v>
      </c>
      <c r="G7" s="8">
        <f t="shared" ref="G7:G8" si="2">F7/F$18</f>
        <v>1.5668451951797301E-3</v>
      </c>
      <c r="H7" s="7">
        <v>53192</v>
      </c>
      <c r="I7" s="8">
        <f t="shared" ref="I7:I8" si="3">H7/H$18</f>
        <v>1.3559702253492403E-3</v>
      </c>
      <c r="J7" s="7">
        <v>60878</v>
      </c>
      <c r="K7" s="8">
        <f t="shared" ref="K7:K8" si="4">J7/J$18</f>
        <v>1.5701132231191808E-3</v>
      </c>
      <c r="L7" s="7">
        <v>60732</v>
      </c>
      <c r="M7" s="8">
        <f t="shared" ref="M7:M8" si="5">L7/L$18</f>
        <v>1.5101076659124251E-3</v>
      </c>
      <c r="N7" s="7">
        <v>63546</v>
      </c>
      <c r="O7" s="8">
        <f t="shared" ref="O7:O8" si="6">N7/N$18</f>
        <v>1.5402477155391813E-3</v>
      </c>
      <c r="P7" s="7">
        <v>64886</v>
      </c>
      <c r="Q7" s="8">
        <f t="shared" ref="Q7:Q8" si="7">P7/P$18</f>
        <v>1.5751323008205077E-3</v>
      </c>
      <c r="R7" s="7">
        <v>54360</v>
      </c>
      <c r="S7" s="8">
        <f t="shared" ref="S7:S8" si="8">R7/R$18</f>
        <v>1.267576075550892E-3</v>
      </c>
      <c r="T7" s="5"/>
      <c r="U7" s="6"/>
      <c r="V7" s="5"/>
      <c r="W7" s="6"/>
      <c r="X7" s="5"/>
      <c r="Y7" s="6"/>
      <c r="Z7" s="7"/>
      <c r="AA7" s="8"/>
      <c r="AB7" s="5"/>
      <c r="AC7" s="6"/>
      <c r="AD7" s="5"/>
      <c r="AE7" s="6"/>
      <c r="AF7" s="7">
        <v>15167</v>
      </c>
      <c r="AG7" s="38">
        <f t="shared" ref="AG7:AG8" si="9">AF7/AF$18</f>
        <v>2.3134953887508144E-4</v>
      </c>
    </row>
    <row r="8" spans="1:33" ht="15.6" x14ac:dyDescent="0.3">
      <c r="A8" s="4" t="s">
        <v>33</v>
      </c>
      <c r="B8" s="7">
        <v>81300</v>
      </c>
      <c r="C8" s="8">
        <f t="shared" si="0"/>
        <v>2.2518953521793983E-3</v>
      </c>
      <c r="D8" s="7">
        <v>78217</v>
      </c>
      <c r="E8" s="8">
        <f t="shared" si="1"/>
        <v>2.1193694604217635E-3</v>
      </c>
      <c r="F8" s="7">
        <v>28757</v>
      </c>
      <c r="G8" s="8">
        <f t="shared" si="2"/>
        <v>7.4047275723555469E-4</v>
      </c>
      <c r="H8" s="7">
        <v>28485</v>
      </c>
      <c r="I8" s="8">
        <f t="shared" si="3"/>
        <v>7.2613949219944938E-4</v>
      </c>
      <c r="J8" s="7">
        <v>44137</v>
      </c>
      <c r="K8" s="8">
        <f t="shared" si="4"/>
        <v>1.1383436927759007E-3</v>
      </c>
      <c r="L8" s="7">
        <v>43830</v>
      </c>
      <c r="M8" s="8">
        <f t="shared" si="5"/>
        <v>1.0898376308526244E-3</v>
      </c>
      <c r="N8" s="7">
        <v>50526</v>
      </c>
      <c r="O8" s="8">
        <f t="shared" si="6"/>
        <v>1.2246649053493952E-3</v>
      </c>
      <c r="P8" s="7">
        <v>55276</v>
      </c>
      <c r="Q8" s="8">
        <f t="shared" si="7"/>
        <v>1.3418458998883333E-3</v>
      </c>
      <c r="R8" s="7">
        <v>100340</v>
      </c>
      <c r="S8" s="8">
        <f t="shared" si="8"/>
        <v>2.3397458318759473E-3</v>
      </c>
      <c r="T8" s="5"/>
      <c r="U8" s="6"/>
      <c r="V8" s="5"/>
      <c r="W8" s="6"/>
      <c r="X8" s="5"/>
      <c r="Y8" s="6"/>
      <c r="Z8" s="7"/>
      <c r="AA8" s="8"/>
      <c r="AB8" s="5"/>
      <c r="AC8" s="6"/>
      <c r="AD8" s="5"/>
      <c r="AE8" s="6"/>
      <c r="AF8" s="7">
        <v>4695</v>
      </c>
      <c r="AG8" s="38">
        <f t="shared" si="9"/>
        <v>7.1615090988231514E-5</v>
      </c>
    </row>
    <row r="9" spans="1:33" ht="15.6" x14ac:dyDescent="0.3">
      <c r="A9" s="4" t="s">
        <v>163</v>
      </c>
      <c r="B9" s="5"/>
      <c r="C9" s="36">
        <f>B7/B4</f>
        <v>0.4452405322415558</v>
      </c>
      <c r="D9" s="5"/>
      <c r="E9" s="36">
        <f>D7/D4</f>
        <v>0.45775648713664757</v>
      </c>
      <c r="F9" s="5"/>
      <c r="G9" s="36">
        <f>F7/F4</f>
        <v>0.67907641144107045</v>
      </c>
      <c r="H9" s="5"/>
      <c r="I9" s="36">
        <f>H7/H4</f>
        <v>0.65124820941023787</v>
      </c>
      <c r="J9" s="5"/>
      <c r="K9" s="36">
        <f>J7/J4</f>
        <v>0.5797076608103604</v>
      </c>
      <c r="L9" s="5"/>
      <c r="M9" s="36">
        <f>L7/L4</f>
        <v>0.58082286107763814</v>
      </c>
      <c r="N9" s="5"/>
      <c r="O9" s="36">
        <f>N7/N4</f>
        <v>0.55706921944035348</v>
      </c>
      <c r="P9" s="5"/>
      <c r="Q9" s="36">
        <f>P7/P4</f>
        <v>0.53998768329421942</v>
      </c>
      <c r="R9" s="5"/>
      <c r="S9" s="36">
        <f>R7/R4</f>
        <v>0.3513897866839043</v>
      </c>
      <c r="T9" s="5"/>
      <c r="U9" s="52">
        <v>0.4</v>
      </c>
      <c r="V9" s="5"/>
      <c r="W9" s="52">
        <v>0.5</v>
      </c>
      <c r="X9" s="5"/>
      <c r="Y9" s="52">
        <v>0.5</v>
      </c>
      <c r="Z9" s="5"/>
      <c r="AA9" s="52">
        <v>0.65</v>
      </c>
      <c r="AB9" s="5"/>
      <c r="AC9" s="52">
        <v>0.7</v>
      </c>
      <c r="AD9" s="5"/>
      <c r="AE9" s="53">
        <f>AG9</f>
        <v>0.7636189708992045</v>
      </c>
      <c r="AG9" s="36">
        <f>AF7/AF4</f>
        <v>0.7636189708992045</v>
      </c>
    </row>
    <row r="10" spans="1:33" ht="30" x14ac:dyDescent="0.3">
      <c r="A10" s="4" t="s">
        <v>164</v>
      </c>
      <c r="B10" s="5"/>
      <c r="C10" s="8">
        <f>C9*C4/0.3</f>
        <v>6.0244432853507899E-3</v>
      </c>
      <c r="D10" s="5"/>
      <c r="E10" s="8">
        <f>E9*E4/0.3</f>
        <v>5.963834182323921E-3</v>
      </c>
      <c r="F10" s="5"/>
      <c r="G10" s="8">
        <f>G9*G4/0.3</f>
        <v>5.2228173172657669E-3</v>
      </c>
      <c r="H10" s="5"/>
      <c r="I10" s="8">
        <f>I9*I4/0.3</f>
        <v>4.5199007511641347E-3</v>
      </c>
      <c r="J10" s="5"/>
      <c r="K10" s="8">
        <f>K9*K4/0.3</f>
        <v>5.2337107437306031E-3</v>
      </c>
      <c r="L10" s="5"/>
      <c r="M10" s="8">
        <f>M9*M4/0.3</f>
        <v>5.0336922197080844E-3</v>
      </c>
      <c r="N10" s="5"/>
      <c r="O10" s="8">
        <f>O9*O4/0.3</f>
        <v>5.1341590517972715E-3</v>
      </c>
      <c r="P10" s="5"/>
      <c r="Q10" s="8">
        <f>Q9*Q4/0.3</f>
        <v>5.2504410027350264E-3</v>
      </c>
      <c r="R10" s="5"/>
      <c r="S10" s="8">
        <f>S9*S4/0.3</f>
        <v>4.2252535851696393E-3</v>
      </c>
      <c r="T10" s="6"/>
      <c r="U10" s="8">
        <f>U9*U4/0.3</f>
        <v>4.538078210044089E-3</v>
      </c>
      <c r="V10" s="8"/>
      <c r="W10" s="8">
        <f>W9*W4/0.3</f>
        <v>4.4245117953462185E-3</v>
      </c>
      <c r="X10" s="6"/>
      <c r="Y10" s="8">
        <f>Y9*Y4/0.3</f>
        <v>3.67553865652725E-3</v>
      </c>
      <c r="Z10" s="6"/>
      <c r="AA10" s="38">
        <f>AA9*AA4/0.3</f>
        <v>2.3526885678353429E-3</v>
      </c>
      <c r="AB10" s="33"/>
      <c r="AC10" s="38">
        <f>AC9*AC4/0.3</f>
        <v>1.9796030188946037E-3</v>
      </c>
      <c r="AD10" s="33"/>
      <c r="AE10" s="38">
        <f>AE9*AE4/0.3</f>
        <v>7.3687893473235787E-4</v>
      </c>
      <c r="AF10" s="38"/>
      <c r="AG10" s="38">
        <f>AG9*AG4/0.3</f>
        <v>7.7116512958360479E-4</v>
      </c>
    </row>
    <row r="11" spans="1:33" ht="22.8" customHeight="1" x14ac:dyDescent="0.3">
      <c r="A11" s="4" t="s">
        <v>58</v>
      </c>
      <c r="B11" s="7">
        <f>B12+B13</f>
        <v>65419</v>
      </c>
      <c r="C11" s="8">
        <f t="shared" ref="C11:E13" si="10">B11/B$18</f>
        <v>1.8120140472844288E-3</v>
      </c>
      <c r="D11" s="7">
        <f>D12+D13</f>
        <v>85420</v>
      </c>
      <c r="E11" s="8">
        <f t="shared" si="10"/>
        <v>2.3145420983830506E-3</v>
      </c>
      <c r="F11" s="7"/>
      <c r="G11" s="8">
        <f t="shared" ref="G11:I11" si="11">F11/F$18</f>
        <v>0</v>
      </c>
      <c r="H11" s="7">
        <v>3761</v>
      </c>
      <c r="I11" s="8">
        <f t="shared" si="11"/>
        <v>9.5875395125930455E-5</v>
      </c>
      <c r="J11" s="7"/>
      <c r="K11" s="8">
        <f t="shared" ref="K11:M11" si="12">J11/J$18</f>
        <v>0</v>
      </c>
      <c r="L11" s="7"/>
      <c r="M11" s="8">
        <f t="shared" si="12"/>
        <v>0</v>
      </c>
      <c r="N11" s="7"/>
      <c r="O11" s="8">
        <f t="shared" ref="O11:Q11" si="13">N11/N$18</f>
        <v>0</v>
      </c>
      <c r="P11" s="7"/>
      <c r="Q11" s="8">
        <f t="shared" si="13"/>
        <v>0</v>
      </c>
      <c r="R11" s="7"/>
      <c r="S11" s="8">
        <f t="shared" ref="S11:U11" si="14">R11/R$18</f>
        <v>0</v>
      </c>
      <c r="T11" s="7"/>
      <c r="U11" s="8">
        <f t="shared" si="14"/>
        <v>0</v>
      </c>
      <c r="V11" s="7"/>
      <c r="W11" s="8">
        <f t="shared" ref="W11:Y11" si="15">V11/V$18</f>
        <v>0</v>
      </c>
      <c r="X11" s="7"/>
      <c r="Y11" s="8">
        <f t="shared" si="15"/>
        <v>0</v>
      </c>
      <c r="Z11" s="7"/>
      <c r="AA11" s="8">
        <f t="shared" ref="AA11:AC11" si="16">Z11/Z$18</f>
        <v>0</v>
      </c>
      <c r="AB11" s="7"/>
      <c r="AC11" s="8">
        <f t="shared" si="16"/>
        <v>0</v>
      </c>
      <c r="AD11" s="7"/>
      <c r="AE11" s="8">
        <f t="shared" ref="AE11" si="17">AD11/AD$18</f>
        <v>0</v>
      </c>
      <c r="AF11" s="7"/>
      <c r="AG11" s="8">
        <f t="shared" ref="AG11:AG13" si="18">AF11/AF$18</f>
        <v>0</v>
      </c>
    </row>
    <row r="12" spans="1:33" ht="15" x14ac:dyDescent="0.3">
      <c r="A12" s="4" t="s">
        <v>60</v>
      </c>
      <c r="B12" s="7">
        <f>101716-B5</f>
        <v>49568</v>
      </c>
      <c r="C12" s="8">
        <f t="shared" si="10"/>
        <v>1.3729637000839904E-3</v>
      </c>
      <c r="D12" s="7">
        <f>106026-D5</f>
        <v>54809</v>
      </c>
      <c r="E12" s="8">
        <f t="shared" si="10"/>
        <v>1.4851058050840155E-3</v>
      </c>
      <c r="F12" s="7"/>
      <c r="G12" s="8">
        <f t="shared" ref="G12:I12" si="19">F12/F$18</f>
        <v>0</v>
      </c>
      <c r="H12" s="7"/>
      <c r="I12" s="8">
        <f t="shared" si="19"/>
        <v>0</v>
      </c>
      <c r="J12" s="7"/>
      <c r="K12" s="8">
        <f t="shared" ref="K12:M12" si="20">J12/J$18</f>
        <v>0</v>
      </c>
      <c r="L12" s="7"/>
      <c r="M12" s="8">
        <f t="shared" si="20"/>
        <v>0</v>
      </c>
      <c r="N12" s="7"/>
      <c r="O12" s="8">
        <f t="shared" ref="O12:Q12" si="21">N12/N$18</f>
        <v>0</v>
      </c>
      <c r="P12" s="7"/>
      <c r="Q12" s="8">
        <f t="shared" si="21"/>
        <v>0</v>
      </c>
      <c r="R12" s="7"/>
      <c r="S12" s="8">
        <f t="shared" ref="S12:U12" si="22">R12/R$18</f>
        <v>0</v>
      </c>
      <c r="T12" s="7"/>
      <c r="U12" s="8">
        <f t="shared" si="22"/>
        <v>0</v>
      </c>
      <c r="V12" s="7"/>
      <c r="W12" s="8">
        <f t="shared" ref="W12:Y12" si="23">V12/V$18</f>
        <v>0</v>
      </c>
      <c r="X12" s="7"/>
      <c r="Y12" s="8">
        <f t="shared" si="23"/>
        <v>0</v>
      </c>
      <c r="Z12" s="7"/>
      <c r="AA12" s="8">
        <f t="shared" ref="AA12:AC12" si="24">Z12/Z$18</f>
        <v>0</v>
      </c>
      <c r="AB12" s="7"/>
      <c r="AC12" s="8">
        <f t="shared" si="24"/>
        <v>0</v>
      </c>
      <c r="AD12" s="7"/>
      <c r="AE12" s="8">
        <f t="shared" ref="AE12" si="25">AD12/AD$18</f>
        <v>0</v>
      </c>
      <c r="AF12" s="7"/>
      <c r="AG12" s="8">
        <f t="shared" si="18"/>
        <v>0</v>
      </c>
    </row>
    <row r="13" spans="1:33" ht="15" x14ac:dyDescent="0.3">
      <c r="A13" s="4" t="s">
        <v>61</v>
      </c>
      <c r="B13" s="7">
        <f>110253-B6</f>
        <v>15851</v>
      </c>
      <c r="C13" s="8">
        <f t="shared" si="10"/>
        <v>4.3905034720043845E-4</v>
      </c>
      <c r="D13" s="7">
        <f>123641-D6</f>
        <v>30611</v>
      </c>
      <c r="E13" s="8">
        <f t="shared" si="10"/>
        <v>8.2943629329903482E-4</v>
      </c>
      <c r="F13" s="7"/>
      <c r="G13" s="8">
        <f t="shared" ref="G13:I13" si="26">F13/F$18</f>
        <v>0</v>
      </c>
      <c r="H13" s="7"/>
      <c r="I13" s="8">
        <f t="shared" si="26"/>
        <v>0</v>
      </c>
      <c r="J13" s="7"/>
      <c r="K13" s="8">
        <f t="shared" ref="K13:M13" si="27">J13/J$18</f>
        <v>0</v>
      </c>
      <c r="L13" s="7"/>
      <c r="M13" s="8">
        <f t="shared" si="27"/>
        <v>0</v>
      </c>
      <c r="N13" s="7"/>
      <c r="O13" s="8">
        <f t="shared" ref="O13:Q13" si="28">N13/N$18</f>
        <v>0</v>
      </c>
      <c r="P13" s="7"/>
      <c r="Q13" s="8">
        <f t="shared" si="28"/>
        <v>0</v>
      </c>
      <c r="R13" s="7"/>
      <c r="S13" s="8">
        <f t="shared" ref="S13:U13" si="29">R13/R$18</f>
        <v>0</v>
      </c>
      <c r="T13" s="7"/>
      <c r="U13" s="8">
        <f t="shared" si="29"/>
        <v>0</v>
      </c>
      <c r="V13" s="7"/>
      <c r="W13" s="8">
        <f t="shared" ref="W13:Y13" si="30">V13/V$18</f>
        <v>0</v>
      </c>
      <c r="X13" s="7"/>
      <c r="Y13" s="8">
        <f t="shared" si="30"/>
        <v>0</v>
      </c>
      <c r="Z13" s="7"/>
      <c r="AA13" s="8">
        <f t="shared" ref="AA13:AC13" si="31">Z13/Z$18</f>
        <v>0</v>
      </c>
      <c r="AB13" s="7"/>
      <c r="AC13" s="8">
        <f t="shared" si="31"/>
        <v>0</v>
      </c>
      <c r="AD13" s="7"/>
      <c r="AE13" s="8">
        <f t="shared" ref="AE13" si="32">AD13/AD$18</f>
        <v>0</v>
      </c>
      <c r="AF13" s="7"/>
      <c r="AG13" s="8">
        <f t="shared" si="18"/>
        <v>0</v>
      </c>
    </row>
    <row r="14" spans="1:33" ht="22.8" customHeight="1" x14ac:dyDescent="0.3">
      <c r="A14" s="4" t="s">
        <v>56</v>
      </c>
      <c r="B14" s="7">
        <f>991+31</f>
        <v>1022</v>
      </c>
      <c r="C14" s="8">
        <f>B14/B$18</f>
        <v>2.8307958793694282E-5</v>
      </c>
      <c r="D14" s="7"/>
      <c r="E14" s="8">
        <f>D14/D$18</f>
        <v>0</v>
      </c>
      <c r="F14" s="7"/>
      <c r="G14" s="8">
        <f>F14/F$18</f>
        <v>0</v>
      </c>
      <c r="H14" s="7"/>
      <c r="I14" s="8">
        <f>H14/H$18</f>
        <v>0</v>
      </c>
      <c r="J14" s="7"/>
      <c r="K14" s="8">
        <f>J14/J$18</f>
        <v>0</v>
      </c>
      <c r="L14" s="7"/>
      <c r="M14" s="8">
        <f>L14/L$18</f>
        <v>0</v>
      </c>
      <c r="N14" s="7"/>
      <c r="O14" s="8">
        <f>N14/N$18</f>
        <v>0</v>
      </c>
      <c r="P14" s="7"/>
      <c r="Q14" s="8">
        <f>P14/P$18</f>
        <v>0</v>
      </c>
      <c r="R14" s="7"/>
      <c r="S14" s="8">
        <f>R14/R$18</f>
        <v>0</v>
      </c>
      <c r="T14" s="7"/>
      <c r="U14" s="8">
        <f>T14/T$18</f>
        <v>0</v>
      </c>
      <c r="V14" s="7"/>
      <c r="W14" s="8">
        <f>V14/V$18</f>
        <v>0</v>
      </c>
      <c r="X14" s="7"/>
      <c r="Y14" s="8">
        <f>X14/X$18</f>
        <v>0</v>
      </c>
      <c r="Z14" s="7"/>
      <c r="AA14" s="8">
        <f>Z14/Z$18</f>
        <v>0</v>
      </c>
      <c r="AB14" s="7"/>
      <c r="AC14" s="8">
        <f>AB14/AB$18</f>
        <v>0</v>
      </c>
      <c r="AD14" s="7"/>
      <c r="AE14" s="8">
        <f>AD14/AD$18</f>
        <v>0</v>
      </c>
      <c r="AF14" s="7"/>
      <c r="AG14" s="8">
        <f>AF14/AF$18</f>
        <v>0</v>
      </c>
    </row>
    <row r="15" spans="1:33" ht="22.8" customHeight="1" x14ac:dyDescent="0.3">
      <c r="A15" s="4" t="s">
        <v>59</v>
      </c>
      <c r="B15" s="7">
        <v>4301</v>
      </c>
      <c r="C15" s="8">
        <f t="shared" ref="C15:E17" si="33">B15/B$18</f>
        <v>1.1913163480594825E-4</v>
      </c>
      <c r="D15" s="7"/>
      <c r="E15" s="8">
        <f t="shared" si="33"/>
        <v>0</v>
      </c>
      <c r="F15" s="7"/>
      <c r="G15" s="8">
        <f t="shared" ref="G15:I15" si="34">F15/F$18</f>
        <v>0</v>
      </c>
      <c r="H15" s="7"/>
      <c r="I15" s="8">
        <f t="shared" si="34"/>
        <v>0</v>
      </c>
      <c r="J15" s="7"/>
      <c r="K15" s="8">
        <f t="shared" ref="K15:M15" si="35">J15/J$18</f>
        <v>0</v>
      </c>
      <c r="L15" s="7"/>
      <c r="M15" s="8">
        <f t="shared" si="35"/>
        <v>0</v>
      </c>
      <c r="N15" s="7"/>
      <c r="O15" s="8">
        <f t="shared" ref="O15:Q15" si="36">N15/N$18</f>
        <v>0</v>
      </c>
      <c r="P15" s="7"/>
      <c r="Q15" s="8">
        <f t="shared" si="36"/>
        <v>0</v>
      </c>
      <c r="R15" s="7"/>
      <c r="S15" s="8">
        <f t="shared" ref="S15:U15" si="37">R15/R$18</f>
        <v>0</v>
      </c>
      <c r="T15" s="7"/>
      <c r="U15" s="8">
        <f t="shared" si="37"/>
        <v>0</v>
      </c>
      <c r="V15" s="7"/>
      <c r="W15" s="8">
        <f t="shared" ref="W15:Y15" si="38">V15/V$18</f>
        <v>0</v>
      </c>
      <c r="X15" s="7"/>
      <c r="Y15" s="8">
        <f t="shared" si="38"/>
        <v>0</v>
      </c>
      <c r="Z15" s="7"/>
      <c r="AA15" s="8">
        <f t="shared" ref="AA15:AC15" si="39">Z15/Z$18</f>
        <v>0</v>
      </c>
      <c r="AB15" s="7"/>
      <c r="AC15" s="8">
        <f t="shared" si="39"/>
        <v>0</v>
      </c>
      <c r="AD15" s="7"/>
      <c r="AE15" s="8">
        <f t="shared" ref="AE15" si="40">AD15/AD$18</f>
        <v>0</v>
      </c>
      <c r="AF15" s="7"/>
      <c r="AG15" s="8">
        <f t="shared" ref="AG15:AG17" si="41">AF15/AF$18</f>
        <v>0</v>
      </c>
    </row>
    <row r="16" spans="1:33" ht="15" customHeight="1" x14ac:dyDescent="0.3">
      <c r="A16" s="4" t="s">
        <v>57</v>
      </c>
      <c r="B16" s="7">
        <v>82</v>
      </c>
      <c r="C16" s="8">
        <f t="shared" si="33"/>
        <v>2.2712843650517919E-6</v>
      </c>
      <c r="D16" s="7"/>
      <c r="E16" s="8">
        <f t="shared" si="33"/>
        <v>0</v>
      </c>
      <c r="F16" s="7"/>
      <c r="G16" s="8">
        <f t="shared" ref="G16:I16" si="42">F16/F$18</f>
        <v>0</v>
      </c>
      <c r="H16" s="7"/>
      <c r="I16" s="8">
        <f t="shared" si="42"/>
        <v>0</v>
      </c>
      <c r="J16" s="7"/>
      <c r="K16" s="8">
        <f t="shared" ref="K16:M16" si="43">J16/J$18</f>
        <v>0</v>
      </c>
      <c r="L16" s="7"/>
      <c r="M16" s="8">
        <f t="shared" si="43"/>
        <v>0</v>
      </c>
      <c r="N16" s="7"/>
      <c r="O16" s="8">
        <f t="shared" ref="O16:Q16" si="44">N16/N$18</f>
        <v>0</v>
      </c>
      <c r="P16" s="7"/>
      <c r="Q16" s="8">
        <f t="shared" si="44"/>
        <v>0</v>
      </c>
      <c r="R16" s="7"/>
      <c r="S16" s="8">
        <f t="shared" ref="S16:U16" si="45">R16/R$18</f>
        <v>0</v>
      </c>
      <c r="T16" s="7"/>
      <c r="U16" s="8">
        <f t="shared" si="45"/>
        <v>0</v>
      </c>
      <c r="V16" s="7"/>
      <c r="W16" s="8">
        <f t="shared" ref="W16:Y16" si="46">V16/V$18</f>
        <v>0</v>
      </c>
      <c r="X16" s="7"/>
      <c r="Y16" s="8">
        <f t="shared" si="46"/>
        <v>0</v>
      </c>
      <c r="Z16" s="7"/>
      <c r="AA16" s="8">
        <f t="shared" ref="AA16:AC16" si="47">Z16/Z$18</f>
        <v>0</v>
      </c>
      <c r="AB16" s="7"/>
      <c r="AC16" s="8">
        <f t="shared" si="47"/>
        <v>0</v>
      </c>
      <c r="AD16" s="7"/>
      <c r="AE16" s="8">
        <f t="shared" ref="AE16" si="48">AD16/AD$18</f>
        <v>0</v>
      </c>
      <c r="AF16" s="7"/>
      <c r="AG16" s="8">
        <f t="shared" si="41"/>
        <v>0</v>
      </c>
    </row>
    <row r="17" spans="1:33" ht="15" customHeight="1" x14ac:dyDescent="0.3">
      <c r="A17" s="4" t="s">
        <v>59</v>
      </c>
      <c r="B17" s="7">
        <v>375</v>
      </c>
      <c r="C17" s="8">
        <f t="shared" si="33"/>
        <v>1.0386971181639292E-5</v>
      </c>
      <c r="D17" s="7"/>
      <c r="E17" s="8">
        <f t="shared" si="33"/>
        <v>0</v>
      </c>
      <c r="F17" s="7"/>
      <c r="G17" s="8">
        <f t="shared" ref="G17:I17" si="49">F17/F$18</f>
        <v>0</v>
      </c>
      <c r="H17" s="7"/>
      <c r="I17" s="8">
        <f t="shared" si="49"/>
        <v>0</v>
      </c>
      <c r="J17" s="7"/>
      <c r="K17" s="8">
        <f t="shared" ref="K17:M17" si="50">J17/J$18</f>
        <v>0</v>
      </c>
      <c r="L17" s="7"/>
      <c r="M17" s="8">
        <f t="shared" si="50"/>
        <v>0</v>
      </c>
      <c r="N17" s="7"/>
      <c r="O17" s="8">
        <f t="shared" ref="O17:Q17" si="51">N17/N$18</f>
        <v>0</v>
      </c>
      <c r="P17" s="7"/>
      <c r="Q17" s="8">
        <f t="shared" si="51"/>
        <v>0</v>
      </c>
      <c r="R17" s="7"/>
      <c r="S17" s="8">
        <f t="shared" ref="S17:U17" si="52">R17/R$18</f>
        <v>0</v>
      </c>
      <c r="T17" s="7"/>
      <c r="U17" s="8">
        <f t="shared" si="52"/>
        <v>0</v>
      </c>
      <c r="V17" s="7"/>
      <c r="W17" s="8">
        <f t="shared" ref="W17:Y17" si="53">V17/V$18</f>
        <v>0</v>
      </c>
      <c r="X17" s="7"/>
      <c r="Y17" s="8">
        <f t="shared" si="53"/>
        <v>0</v>
      </c>
      <c r="Z17" s="7"/>
      <c r="AA17" s="8">
        <f t="shared" ref="AA17:AC17" si="54">Z17/Z$18</f>
        <v>0</v>
      </c>
      <c r="AB17" s="7"/>
      <c r="AC17" s="8">
        <f t="shared" si="54"/>
        <v>0</v>
      </c>
      <c r="AD17" s="7"/>
      <c r="AE17" s="8">
        <f t="shared" ref="AE17" si="55">AD17/AD$18</f>
        <v>0</v>
      </c>
      <c r="AF17" s="7"/>
      <c r="AG17" s="8">
        <f t="shared" si="41"/>
        <v>0</v>
      </c>
    </row>
    <row r="18" spans="1:33" ht="50.55" customHeight="1" x14ac:dyDescent="0.3">
      <c r="A18" s="3" t="s">
        <v>43</v>
      </c>
      <c r="B18" s="5">
        <v>36102921</v>
      </c>
      <c r="C18" s="6">
        <f>B18/B$18</f>
        <v>1</v>
      </c>
      <c r="D18" s="5">
        <v>36905788</v>
      </c>
      <c r="E18" s="6">
        <f>D18/D$18</f>
        <v>1</v>
      </c>
      <c r="F18" s="5">
        <v>38836000</v>
      </c>
      <c r="G18" s="6">
        <f>F18/F$18</f>
        <v>1</v>
      </c>
      <c r="H18" s="5">
        <v>39228000</v>
      </c>
      <c r="I18" s="6">
        <f>H18/H$18</f>
        <v>1</v>
      </c>
      <c r="J18" s="5">
        <v>38773000</v>
      </c>
      <c r="K18" s="6">
        <f>J18/J$18</f>
        <v>1</v>
      </c>
      <c r="L18" s="5">
        <v>40217000</v>
      </c>
      <c r="M18" s="6">
        <f>L18/L$18</f>
        <v>1</v>
      </c>
      <c r="N18" s="5">
        <v>41257000</v>
      </c>
      <c r="O18" s="6">
        <f>N18/N$18</f>
        <v>1</v>
      </c>
      <c r="P18" s="5">
        <v>41194000</v>
      </c>
      <c r="Q18" s="6">
        <f>P18/P$18</f>
        <v>1</v>
      </c>
      <c r="R18" s="5">
        <v>42885000</v>
      </c>
      <c r="S18" s="6">
        <f>R18/R$18</f>
        <v>1</v>
      </c>
      <c r="T18" s="5">
        <v>46422000</v>
      </c>
      <c r="U18" s="6">
        <f>T18/T$18</f>
        <v>1</v>
      </c>
      <c r="V18" s="5">
        <v>49723000</v>
      </c>
      <c r="W18" s="6">
        <f>V18/V$18</f>
        <v>1</v>
      </c>
      <c r="X18" s="5">
        <v>52600000</v>
      </c>
      <c r="Y18" s="6">
        <f>X18/X$18</f>
        <v>1</v>
      </c>
      <c r="Z18" s="5">
        <v>54335000</v>
      </c>
      <c r="AA18" s="6">
        <f>Z18/Z$18</f>
        <v>1</v>
      </c>
      <c r="AB18" s="5">
        <v>56577000</v>
      </c>
      <c r="AC18" s="6">
        <f>AB18/AB$18</f>
        <v>1</v>
      </c>
      <c r="AD18" s="5">
        <v>58723000</v>
      </c>
      <c r="AE18" s="6">
        <f>AD18/AD$18</f>
        <v>1</v>
      </c>
      <c r="AF18" s="5">
        <v>65558808</v>
      </c>
      <c r="AG18" s="6">
        <f>AF18/AF$18</f>
        <v>1</v>
      </c>
    </row>
    <row r="19" spans="1:33" ht="17.399999999999999" customHeight="1" x14ac:dyDescent="0.3">
      <c r="A19" s="43" t="s">
        <v>129</v>
      </c>
      <c r="B19" s="5"/>
      <c r="C19" s="6"/>
      <c r="D19" s="5"/>
      <c r="E19" s="6"/>
      <c r="F19" s="5"/>
      <c r="G19" s="6"/>
      <c r="H19" s="5"/>
      <c r="I19" s="6"/>
      <c r="J19" s="5"/>
      <c r="K19" s="6"/>
      <c r="L19" s="5"/>
      <c r="M19" s="6"/>
      <c r="N19" s="5"/>
      <c r="O19" s="6"/>
      <c r="P19" s="5"/>
      <c r="Q19" s="6"/>
      <c r="R19" s="5"/>
      <c r="S19" s="6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</row>
    <row r="20" spans="1:33" ht="15" x14ac:dyDescent="0.3">
      <c r="A20" s="9" t="s">
        <v>64</v>
      </c>
    </row>
    <row r="21" spans="1:33" ht="15.6" x14ac:dyDescent="0.3">
      <c r="A21" s="1" t="s">
        <v>62</v>
      </c>
    </row>
    <row r="22" spans="1:33" ht="15.6" x14ac:dyDescent="0.3">
      <c r="A22" s="1" t="s">
        <v>63</v>
      </c>
      <c r="B22" s="14"/>
      <c r="C22" s="14"/>
    </row>
    <row r="23" spans="1:33" ht="15.6" x14ac:dyDescent="0.3">
      <c r="A23" s="1" t="s">
        <v>70</v>
      </c>
      <c r="B23" s="14"/>
      <c r="C23" s="14"/>
    </row>
    <row r="24" spans="1:33" ht="15.6" x14ac:dyDescent="0.3">
      <c r="A24" s="1" t="s">
        <v>71</v>
      </c>
      <c r="B24" s="14"/>
      <c r="C24" s="14"/>
    </row>
    <row r="25" spans="1:33" ht="15.6" x14ac:dyDescent="0.3">
      <c r="A25" s="1" t="s">
        <v>68</v>
      </c>
      <c r="B25" s="14"/>
      <c r="C25" s="14"/>
    </row>
    <row r="26" spans="1:33" ht="15.6" x14ac:dyDescent="0.3">
      <c r="A26" s="1" t="s">
        <v>69</v>
      </c>
      <c r="B26" s="14"/>
      <c r="C26" s="14"/>
    </row>
    <row r="27" spans="1:33" ht="15.6" x14ac:dyDescent="0.3">
      <c r="A27" s="1" t="s">
        <v>67</v>
      </c>
      <c r="B27" s="14"/>
      <c r="C27" s="14"/>
    </row>
    <row r="28" spans="1:33" ht="15.6" x14ac:dyDescent="0.3">
      <c r="A28" s="1" t="s">
        <v>65</v>
      </c>
      <c r="B28" s="14"/>
      <c r="C28" s="14"/>
    </row>
    <row r="29" spans="1:33" ht="15.6" x14ac:dyDescent="0.3">
      <c r="A29" s="1" t="s">
        <v>66</v>
      </c>
      <c r="B29" s="14"/>
      <c r="C29" s="14"/>
    </row>
    <row r="30" spans="1:33" ht="15.6" x14ac:dyDescent="0.3">
      <c r="A30" s="1" t="s">
        <v>72</v>
      </c>
      <c r="B30" s="14"/>
      <c r="C30" s="14"/>
    </row>
    <row r="31" spans="1:33" ht="15.6" x14ac:dyDescent="0.3">
      <c r="A31" s="1" t="s">
        <v>107</v>
      </c>
      <c r="B31" s="14"/>
      <c r="C31" s="14"/>
    </row>
    <row r="32" spans="1:33" ht="15.6" x14ac:dyDescent="0.3">
      <c r="A32" s="1" t="s">
        <v>74</v>
      </c>
      <c r="B32" s="14"/>
      <c r="C32" s="14"/>
    </row>
    <row r="33" spans="1:1" ht="15.6" x14ac:dyDescent="0.3">
      <c r="A33" s="1" t="s">
        <v>73</v>
      </c>
    </row>
    <row r="34" spans="1:1" ht="15.6" x14ac:dyDescent="0.3">
      <c r="A34" s="1" t="s">
        <v>75</v>
      </c>
    </row>
    <row r="35" spans="1:1" ht="15.6" x14ac:dyDescent="0.3">
      <c r="A35" s="1" t="s">
        <v>130</v>
      </c>
    </row>
    <row r="36" spans="1:1" ht="15.6" x14ac:dyDescent="0.3">
      <c r="A36" s="1" t="s">
        <v>131</v>
      </c>
    </row>
    <row r="37" spans="1:1" ht="15.6" x14ac:dyDescent="0.3">
      <c r="A37" s="1" t="s">
        <v>132</v>
      </c>
    </row>
    <row r="38" spans="1:1" ht="15.6" x14ac:dyDescent="0.3">
      <c r="A38" s="1" t="s">
        <v>133</v>
      </c>
    </row>
    <row r="39" spans="1:1" ht="15.6" x14ac:dyDescent="0.3">
      <c r="A39" s="1" t="s">
        <v>136</v>
      </c>
    </row>
    <row r="40" spans="1:1" ht="15.6" x14ac:dyDescent="0.3">
      <c r="A40" s="1" t="s">
        <v>134</v>
      </c>
    </row>
    <row r="41" spans="1:1" ht="15.6" x14ac:dyDescent="0.3">
      <c r="A41" s="1" t="s">
        <v>135</v>
      </c>
    </row>
  </sheetData>
  <mergeCells count="16">
    <mergeCell ref="AF3:AG3"/>
    <mergeCell ref="X3:Y3"/>
    <mergeCell ref="Z3:AA3"/>
    <mergeCell ref="AB3:AC3"/>
    <mergeCell ref="AD3:AE3"/>
    <mergeCell ref="P3:Q3"/>
    <mergeCell ref="B3:C3"/>
    <mergeCell ref="N3:O3"/>
    <mergeCell ref="V3:W3"/>
    <mergeCell ref="D3:E3"/>
    <mergeCell ref="F3:G3"/>
    <mergeCell ref="H3:I3"/>
    <mergeCell ref="R3:S3"/>
    <mergeCell ref="T3:U3"/>
    <mergeCell ref="J3:K3"/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3</vt:i4>
      </vt:variant>
    </vt:vector>
  </HeadingPairs>
  <TitlesOfParts>
    <vt:vector size="11" baseType="lpstr">
      <vt:lpstr>ReadMe</vt:lpstr>
      <vt:lpstr>T2.1</vt:lpstr>
      <vt:lpstr>T2.2</vt:lpstr>
      <vt:lpstr>DataF2.2</vt:lpstr>
      <vt:lpstr>DataF2.3</vt:lpstr>
      <vt:lpstr>DataFR1</vt:lpstr>
      <vt:lpstr>DataFR2</vt:lpstr>
      <vt:lpstr>DataFR3</vt:lpstr>
      <vt:lpstr>F2.1</vt:lpstr>
      <vt:lpstr>F2.2</vt:lpstr>
      <vt:lpstr>F2.3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2020-01-06T14:27:39Z</dcterms:modified>
</cp:coreProperties>
</file>