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theme/themeOverride1.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240" yWindow="96" windowWidth="18516" windowHeight="11820"/>
  </bookViews>
  <sheets>
    <sheet name="ReadMe" sheetId="35" r:id="rId1"/>
    <sheet name="F8.1" sheetId="16" r:id="rId2"/>
    <sheet name="F8.2" sheetId="22" r:id="rId3"/>
    <sheet name="F8.3" sheetId="13" r:id="rId4"/>
    <sheet name="F8.4" sheetId="24" r:id="rId5"/>
    <sheet name="F8.5" sheetId="26" r:id="rId6"/>
    <sheet name="F8.6" sheetId="30" r:id="rId7"/>
    <sheet name="T8.1" sheetId="23" r:id="rId8"/>
    <sheet name="T8.2" sheetId="15" r:id="rId9"/>
    <sheet name="DataF8.1" sheetId="17" r:id="rId10"/>
    <sheet name="DataF8.2" sheetId="21" r:id="rId11"/>
    <sheet name="DataF8.3" sheetId="14" r:id="rId12"/>
    <sheet name="DataF8.4" sheetId="25" r:id="rId13"/>
    <sheet name="DataF8.5" sheetId="27" r:id="rId14"/>
    <sheet name="Dataf8.6" sheetId="31" r:id="rId15"/>
    <sheet name="DataT8.2" sheetId="11" r:id="rId16"/>
    <sheet name="Census1871" sheetId="5" r:id="rId17"/>
    <sheet name="Census1881" sheetId="7" r:id="rId18"/>
    <sheet name="Census1891" sheetId="8" r:id="rId19"/>
    <sheet name="Census1901" sheetId="9" r:id="rId20"/>
    <sheet name="Census1911" sheetId="10" r:id="rId21"/>
    <sheet name="Census1921" sheetId="32" r:id="rId22"/>
    <sheet name="Census1931" sheetId="33" r:id="rId23"/>
    <sheet name="NES1962-2014" sheetId="34" r:id="rId24"/>
    <sheet name="NESOld" sheetId="12" r:id="rId25"/>
    <sheet name="DataG8.1Details1" sheetId="18" r:id="rId26"/>
    <sheet name="DataG8.1Details2" sheetId="20" r:id="rId27"/>
    <sheet name="DataG8.5Details" sheetId="28" r:id="rId28"/>
    <sheet name="DataG8.6Details" sheetId="29" r:id="rId29"/>
    <sheet name="StatisticalAbstracts" sheetId="4" r:id="rId30"/>
    <sheet name="Cassan2015T1" sheetId="3" r:id="rId31"/>
  </sheets>
  <externalReferences>
    <externalReference r:id="rId32"/>
    <externalReference r:id="rId33"/>
    <externalReference r:id="rId34"/>
    <externalReference r:id="rId35"/>
    <externalReference r:id="rId36"/>
    <externalReference r:id="rId37"/>
    <externalReference r:id="rId38"/>
  </externalReferences>
  <definedNames>
    <definedName name="_10000" localSheetId="21">[1]Регион!#REF!</definedName>
    <definedName name="_10000" localSheetId="22">[1]Регион!#REF!</definedName>
    <definedName name="_10000" localSheetId="9">[1]Регион!#REF!</definedName>
    <definedName name="_10000" localSheetId="11">[1]Регион!#REF!</definedName>
    <definedName name="_10000" localSheetId="12">[1]Регион!#REF!</definedName>
    <definedName name="_10000" localSheetId="13">[1]Регион!#REF!</definedName>
    <definedName name="_10000" localSheetId="14">[1]Регион!#REF!</definedName>
    <definedName name="_10000" localSheetId="7">[1]Регион!#REF!</definedName>
    <definedName name="_10000" localSheetId="8">[1]Регион!#REF!</definedName>
    <definedName name="_10000">[1]Регион!#REF!</definedName>
    <definedName name="_1080" localSheetId="21">[2]Регион!#REF!</definedName>
    <definedName name="_1080" localSheetId="22">[2]Регион!#REF!</definedName>
    <definedName name="_1080" localSheetId="9">[2]Регион!#REF!</definedName>
    <definedName name="_1080" localSheetId="11">[2]Регион!#REF!</definedName>
    <definedName name="_1080" localSheetId="12">[2]Регион!#REF!</definedName>
    <definedName name="_1080" localSheetId="13">[2]Регион!#REF!</definedName>
    <definedName name="_1080" localSheetId="14">[2]Регион!#REF!</definedName>
    <definedName name="_1080" localSheetId="7">[2]Регион!#REF!</definedName>
    <definedName name="_1080" localSheetId="8">[2]Регион!#REF!</definedName>
    <definedName name="_1080">[2]Регион!#REF!</definedName>
    <definedName name="_1090" localSheetId="21">[2]Регион!#REF!</definedName>
    <definedName name="_1090" localSheetId="22">[2]Регион!#REF!</definedName>
    <definedName name="_1090" localSheetId="9">[2]Регион!#REF!</definedName>
    <definedName name="_1090" localSheetId="11">[2]Регион!#REF!</definedName>
    <definedName name="_1090" localSheetId="12">[2]Регион!#REF!</definedName>
    <definedName name="_1090" localSheetId="13">[2]Регион!#REF!</definedName>
    <definedName name="_1090" localSheetId="14">[2]Регион!#REF!</definedName>
    <definedName name="_1090" localSheetId="7">[2]Регион!#REF!</definedName>
    <definedName name="_1090" localSheetId="8">[2]Регион!#REF!</definedName>
    <definedName name="_1090">[2]Регион!#REF!</definedName>
    <definedName name="_1100" localSheetId="21">[2]Регион!#REF!</definedName>
    <definedName name="_1100" localSheetId="22">[2]Регион!#REF!</definedName>
    <definedName name="_1100" localSheetId="9">[2]Регион!#REF!</definedName>
    <definedName name="_1100" localSheetId="11">[2]Регион!#REF!</definedName>
    <definedName name="_1100" localSheetId="12">[2]Регион!#REF!</definedName>
    <definedName name="_1100" localSheetId="13">[2]Регион!#REF!</definedName>
    <definedName name="_1100" localSheetId="14">[2]Регион!#REF!</definedName>
    <definedName name="_1100" localSheetId="7">[2]Регион!#REF!</definedName>
    <definedName name="_1100" localSheetId="8">[2]Регион!#REF!</definedName>
    <definedName name="_1100">[2]Регион!#REF!</definedName>
    <definedName name="_1110" localSheetId="21">[2]Регион!#REF!</definedName>
    <definedName name="_1110" localSheetId="22">[2]Регион!#REF!</definedName>
    <definedName name="_1110" localSheetId="9">[2]Регион!#REF!</definedName>
    <definedName name="_1110" localSheetId="11">[2]Регион!#REF!</definedName>
    <definedName name="_1110" localSheetId="12">[2]Регион!#REF!</definedName>
    <definedName name="_1110" localSheetId="13">[2]Регион!#REF!</definedName>
    <definedName name="_1110" localSheetId="14">[2]Регион!#REF!</definedName>
    <definedName name="_1110" localSheetId="7">[2]Регион!#REF!</definedName>
    <definedName name="_1110" localSheetId="8">[2]Регион!#REF!</definedName>
    <definedName name="_1110">[2]Регион!#REF!</definedName>
    <definedName name="_2" localSheetId="21">[1]Регион!#REF!</definedName>
    <definedName name="_2" localSheetId="22">[1]Регион!#REF!</definedName>
    <definedName name="_2" localSheetId="9">[1]Регион!#REF!</definedName>
    <definedName name="_2" localSheetId="11">[1]Регион!#REF!</definedName>
    <definedName name="_2" localSheetId="12">[1]Регион!#REF!</definedName>
    <definedName name="_2" localSheetId="13">[1]Регион!#REF!</definedName>
    <definedName name="_2" localSheetId="14">[1]Регион!#REF!</definedName>
    <definedName name="_2" localSheetId="7">[1]Регион!#REF!</definedName>
    <definedName name="_2" localSheetId="8">[1]Регион!#REF!</definedName>
    <definedName name="_2">[1]Регион!#REF!</definedName>
    <definedName name="_2010" localSheetId="21">#REF!</definedName>
    <definedName name="_2010" localSheetId="22">#REF!</definedName>
    <definedName name="_2010" localSheetId="9">#REF!</definedName>
    <definedName name="_2010" localSheetId="11">#REF!</definedName>
    <definedName name="_2010" localSheetId="12">#REF!</definedName>
    <definedName name="_2010" localSheetId="13">#REF!</definedName>
    <definedName name="_2010" localSheetId="14">#REF!</definedName>
    <definedName name="_2010" localSheetId="0">#REF!</definedName>
    <definedName name="_2010" localSheetId="7">#REF!</definedName>
    <definedName name="_2010" localSheetId="8">#REF!</definedName>
    <definedName name="_2010">#REF!</definedName>
    <definedName name="_2080" localSheetId="21">[2]Регион!#REF!</definedName>
    <definedName name="_2080" localSheetId="22">[2]Регион!#REF!</definedName>
    <definedName name="_2080" localSheetId="9">[2]Регион!#REF!</definedName>
    <definedName name="_2080" localSheetId="11">[2]Регион!#REF!</definedName>
    <definedName name="_2080" localSheetId="12">[2]Регион!#REF!</definedName>
    <definedName name="_2080" localSheetId="13">[2]Регион!#REF!</definedName>
    <definedName name="_2080" localSheetId="14">[2]Регион!#REF!</definedName>
    <definedName name="_2080" localSheetId="0">[2]Регион!#REF!</definedName>
    <definedName name="_2080" localSheetId="7">[2]Регион!#REF!</definedName>
    <definedName name="_2080" localSheetId="8">[2]Регион!#REF!</definedName>
    <definedName name="_2080">[2]Регион!#REF!</definedName>
    <definedName name="_2090" localSheetId="21">[2]Регион!#REF!</definedName>
    <definedName name="_2090" localSheetId="22">[2]Регион!#REF!</definedName>
    <definedName name="_2090" localSheetId="9">[2]Регион!#REF!</definedName>
    <definedName name="_2090" localSheetId="11">[2]Регион!#REF!</definedName>
    <definedName name="_2090" localSheetId="12">[2]Регион!#REF!</definedName>
    <definedName name="_2090" localSheetId="13">[2]Регион!#REF!</definedName>
    <definedName name="_2090" localSheetId="14">[2]Регион!#REF!</definedName>
    <definedName name="_2090" localSheetId="7">[2]Регион!#REF!</definedName>
    <definedName name="_2090" localSheetId="8">[2]Регион!#REF!</definedName>
    <definedName name="_2090">[2]Регион!#REF!</definedName>
    <definedName name="_2100" localSheetId="21">[2]Регион!#REF!</definedName>
    <definedName name="_2100" localSheetId="22">[2]Регион!#REF!</definedName>
    <definedName name="_2100" localSheetId="9">[2]Регион!#REF!</definedName>
    <definedName name="_2100" localSheetId="11">[2]Регион!#REF!</definedName>
    <definedName name="_2100" localSheetId="12">[2]Регион!#REF!</definedName>
    <definedName name="_2100" localSheetId="13">[2]Регион!#REF!</definedName>
    <definedName name="_2100" localSheetId="14">[2]Регион!#REF!</definedName>
    <definedName name="_2100" localSheetId="7">[2]Регион!#REF!</definedName>
    <definedName name="_2100" localSheetId="8">[2]Регион!#REF!</definedName>
    <definedName name="_2100">[2]Регион!#REF!</definedName>
    <definedName name="_2110" localSheetId="21">[2]Регион!#REF!</definedName>
    <definedName name="_2110" localSheetId="22">[2]Регион!#REF!</definedName>
    <definedName name="_2110" localSheetId="9">[2]Регион!#REF!</definedName>
    <definedName name="_2110" localSheetId="11">[2]Регион!#REF!</definedName>
    <definedName name="_2110" localSheetId="12">[2]Регион!#REF!</definedName>
    <definedName name="_2110" localSheetId="13">[2]Регион!#REF!</definedName>
    <definedName name="_2110" localSheetId="14">[2]Регион!#REF!</definedName>
    <definedName name="_2110" localSheetId="7">[2]Регион!#REF!</definedName>
    <definedName name="_2110" localSheetId="8">[2]Регион!#REF!</definedName>
    <definedName name="_2110">[2]Регион!#REF!</definedName>
    <definedName name="_3080" localSheetId="21">[2]Регион!#REF!</definedName>
    <definedName name="_3080" localSheetId="22">[2]Регион!#REF!</definedName>
    <definedName name="_3080" localSheetId="9">[2]Регион!#REF!</definedName>
    <definedName name="_3080" localSheetId="11">[2]Регион!#REF!</definedName>
    <definedName name="_3080" localSheetId="12">[2]Регион!#REF!</definedName>
    <definedName name="_3080" localSheetId="13">[2]Регион!#REF!</definedName>
    <definedName name="_3080" localSheetId="14">[2]Регион!#REF!</definedName>
    <definedName name="_3080" localSheetId="7">[2]Регион!#REF!</definedName>
    <definedName name="_3080" localSheetId="8">[2]Регион!#REF!</definedName>
    <definedName name="_3080">[2]Регион!#REF!</definedName>
    <definedName name="_3090" localSheetId="21">[2]Регион!#REF!</definedName>
    <definedName name="_3090" localSheetId="22">[2]Регион!#REF!</definedName>
    <definedName name="_3090" localSheetId="9">[2]Регион!#REF!</definedName>
    <definedName name="_3090" localSheetId="11">[2]Регион!#REF!</definedName>
    <definedName name="_3090" localSheetId="12">[2]Регион!#REF!</definedName>
    <definedName name="_3090" localSheetId="13">[2]Регион!#REF!</definedName>
    <definedName name="_3090" localSheetId="14">[2]Регион!#REF!</definedName>
    <definedName name="_3090" localSheetId="7">[2]Регион!#REF!</definedName>
    <definedName name="_3090" localSheetId="8">[2]Регион!#REF!</definedName>
    <definedName name="_3090">[2]Регион!#REF!</definedName>
    <definedName name="_3100" localSheetId="21">[2]Регион!#REF!</definedName>
    <definedName name="_3100" localSheetId="22">[2]Регион!#REF!</definedName>
    <definedName name="_3100" localSheetId="9">[2]Регион!#REF!</definedName>
    <definedName name="_3100" localSheetId="11">[2]Регион!#REF!</definedName>
    <definedName name="_3100" localSheetId="12">[2]Регион!#REF!</definedName>
    <definedName name="_3100" localSheetId="13">[2]Регион!#REF!</definedName>
    <definedName name="_3100" localSheetId="14">[2]Регион!#REF!</definedName>
    <definedName name="_3100" localSheetId="7">[2]Регион!#REF!</definedName>
    <definedName name="_3100" localSheetId="8">[2]Регион!#REF!</definedName>
    <definedName name="_3100">[2]Регион!#REF!</definedName>
    <definedName name="_3110" localSheetId="21">[2]Регион!#REF!</definedName>
    <definedName name="_3110" localSheetId="22">[2]Регион!#REF!</definedName>
    <definedName name="_3110" localSheetId="9">[2]Регион!#REF!</definedName>
    <definedName name="_3110" localSheetId="11">[2]Регион!#REF!</definedName>
    <definedName name="_3110" localSheetId="12">[2]Регион!#REF!</definedName>
    <definedName name="_3110" localSheetId="13">[2]Регион!#REF!</definedName>
    <definedName name="_3110" localSheetId="14">[2]Регион!#REF!</definedName>
    <definedName name="_3110" localSheetId="7">[2]Регион!#REF!</definedName>
    <definedName name="_3110" localSheetId="8">[2]Регион!#REF!</definedName>
    <definedName name="_3110">[2]Регион!#REF!</definedName>
    <definedName name="_4080" localSheetId="21">[2]Регион!#REF!</definedName>
    <definedName name="_4080" localSheetId="22">[2]Регион!#REF!</definedName>
    <definedName name="_4080" localSheetId="9">[2]Регион!#REF!</definedName>
    <definedName name="_4080" localSheetId="11">[2]Регион!#REF!</definedName>
    <definedName name="_4080" localSheetId="12">[2]Регион!#REF!</definedName>
    <definedName name="_4080" localSheetId="13">[2]Регион!#REF!</definedName>
    <definedName name="_4080" localSheetId="14">[2]Регион!#REF!</definedName>
    <definedName name="_4080" localSheetId="7">[2]Регион!#REF!</definedName>
    <definedName name="_4080" localSheetId="8">[2]Регион!#REF!</definedName>
    <definedName name="_4080">[2]Регион!#REF!</definedName>
    <definedName name="_4090" localSheetId="21">[2]Регион!#REF!</definedName>
    <definedName name="_4090" localSheetId="22">[2]Регион!#REF!</definedName>
    <definedName name="_4090" localSheetId="9">[2]Регион!#REF!</definedName>
    <definedName name="_4090" localSheetId="11">[2]Регион!#REF!</definedName>
    <definedName name="_4090" localSheetId="12">[2]Регион!#REF!</definedName>
    <definedName name="_4090" localSheetId="13">[2]Регион!#REF!</definedName>
    <definedName name="_4090" localSheetId="14">[2]Регион!#REF!</definedName>
    <definedName name="_4090" localSheetId="7">[2]Регион!#REF!</definedName>
    <definedName name="_4090" localSheetId="8">[2]Регион!#REF!</definedName>
    <definedName name="_4090">[2]Регион!#REF!</definedName>
    <definedName name="_4100" localSheetId="21">[2]Регион!#REF!</definedName>
    <definedName name="_4100" localSheetId="22">[2]Регион!#REF!</definedName>
    <definedName name="_4100" localSheetId="9">[2]Регион!#REF!</definedName>
    <definedName name="_4100" localSheetId="11">[2]Регион!#REF!</definedName>
    <definedName name="_4100" localSheetId="12">[2]Регион!#REF!</definedName>
    <definedName name="_4100" localSheetId="13">[2]Регион!#REF!</definedName>
    <definedName name="_4100" localSheetId="14">[2]Регион!#REF!</definedName>
    <definedName name="_4100" localSheetId="7">[2]Регион!#REF!</definedName>
    <definedName name="_4100" localSheetId="8">[2]Регион!#REF!</definedName>
    <definedName name="_4100">[2]Регион!#REF!</definedName>
    <definedName name="_4110" localSheetId="21">[2]Регион!#REF!</definedName>
    <definedName name="_4110" localSheetId="22">[2]Регион!#REF!</definedName>
    <definedName name="_4110" localSheetId="9">[2]Регион!#REF!</definedName>
    <definedName name="_4110" localSheetId="11">[2]Регион!#REF!</definedName>
    <definedName name="_4110" localSheetId="12">[2]Регион!#REF!</definedName>
    <definedName name="_4110" localSheetId="13">[2]Регион!#REF!</definedName>
    <definedName name="_4110" localSheetId="14">[2]Регион!#REF!</definedName>
    <definedName name="_4110" localSheetId="7">[2]Регион!#REF!</definedName>
    <definedName name="_4110" localSheetId="8">[2]Регион!#REF!</definedName>
    <definedName name="_4110">[2]Регион!#REF!</definedName>
    <definedName name="_5080" localSheetId="21">[2]Регион!#REF!</definedName>
    <definedName name="_5080" localSheetId="22">[2]Регион!#REF!</definedName>
    <definedName name="_5080" localSheetId="9">[2]Регион!#REF!</definedName>
    <definedName name="_5080" localSheetId="11">[2]Регион!#REF!</definedName>
    <definedName name="_5080" localSheetId="12">[2]Регион!#REF!</definedName>
    <definedName name="_5080" localSheetId="13">[2]Регион!#REF!</definedName>
    <definedName name="_5080" localSheetId="14">[2]Регион!#REF!</definedName>
    <definedName name="_5080" localSheetId="7">[2]Регион!#REF!</definedName>
    <definedName name="_5080" localSheetId="8">[2]Регион!#REF!</definedName>
    <definedName name="_5080">[2]Регион!#REF!</definedName>
    <definedName name="_5090" localSheetId="21">[2]Регион!#REF!</definedName>
    <definedName name="_5090" localSheetId="22">[2]Регион!#REF!</definedName>
    <definedName name="_5090" localSheetId="9">[2]Регион!#REF!</definedName>
    <definedName name="_5090" localSheetId="11">[2]Регион!#REF!</definedName>
    <definedName name="_5090" localSheetId="12">[2]Регион!#REF!</definedName>
    <definedName name="_5090" localSheetId="13">[2]Регион!#REF!</definedName>
    <definedName name="_5090" localSheetId="14">[2]Регион!#REF!</definedName>
    <definedName name="_5090" localSheetId="7">[2]Регион!#REF!</definedName>
    <definedName name="_5090" localSheetId="8">[2]Регион!#REF!</definedName>
    <definedName name="_5090">[2]Регион!#REF!</definedName>
    <definedName name="_5100" localSheetId="21">[2]Регион!#REF!</definedName>
    <definedName name="_5100" localSheetId="22">[2]Регион!#REF!</definedName>
    <definedName name="_5100" localSheetId="9">[2]Регион!#REF!</definedName>
    <definedName name="_5100" localSheetId="11">[2]Регион!#REF!</definedName>
    <definedName name="_5100" localSheetId="12">[2]Регион!#REF!</definedName>
    <definedName name="_5100" localSheetId="13">[2]Регион!#REF!</definedName>
    <definedName name="_5100" localSheetId="14">[2]Регион!#REF!</definedName>
    <definedName name="_5100" localSheetId="7">[2]Регион!#REF!</definedName>
    <definedName name="_5100" localSheetId="8">[2]Регион!#REF!</definedName>
    <definedName name="_5100">[2]Регион!#REF!</definedName>
    <definedName name="_5110" localSheetId="21">[2]Регион!#REF!</definedName>
    <definedName name="_5110" localSheetId="22">[2]Регион!#REF!</definedName>
    <definedName name="_5110" localSheetId="9">[2]Регион!#REF!</definedName>
    <definedName name="_5110" localSheetId="11">[2]Регион!#REF!</definedName>
    <definedName name="_5110" localSheetId="12">[2]Регион!#REF!</definedName>
    <definedName name="_5110" localSheetId="13">[2]Регион!#REF!</definedName>
    <definedName name="_5110" localSheetId="14">[2]Регион!#REF!</definedName>
    <definedName name="_5110" localSheetId="7">[2]Регион!#REF!</definedName>
    <definedName name="_5110" localSheetId="8">[2]Регион!#REF!</definedName>
    <definedName name="_5110">[2]Регион!#REF!</definedName>
    <definedName name="_6080" localSheetId="21">[2]Регион!#REF!</definedName>
    <definedName name="_6080" localSheetId="22">[2]Регион!#REF!</definedName>
    <definedName name="_6080" localSheetId="9">[2]Регион!#REF!</definedName>
    <definedName name="_6080" localSheetId="11">[2]Регион!#REF!</definedName>
    <definedName name="_6080" localSheetId="12">[2]Регион!#REF!</definedName>
    <definedName name="_6080" localSheetId="13">[2]Регион!#REF!</definedName>
    <definedName name="_6080" localSheetId="14">[2]Регион!#REF!</definedName>
    <definedName name="_6080" localSheetId="7">[2]Регион!#REF!</definedName>
    <definedName name="_6080" localSheetId="8">[2]Регион!#REF!</definedName>
    <definedName name="_6080">[2]Регион!#REF!</definedName>
    <definedName name="_6090" localSheetId="21">[2]Регион!#REF!</definedName>
    <definedName name="_6090" localSheetId="22">[2]Регион!#REF!</definedName>
    <definedName name="_6090" localSheetId="9">[2]Регион!#REF!</definedName>
    <definedName name="_6090" localSheetId="11">[2]Регион!#REF!</definedName>
    <definedName name="_6090" localSheetId="12">[2]Регион!#REF!</definedName>
    <definedName name="_6090" localSheetId="13">[2]Регион!#REF!</definedName>
    <definedName name="_6090" localSheetId="14">[2]Регион!#REF!</definedName>
    <definedName name="_6090" localSheetId="7">[2]Регион!#REF!</definedName>
    <definedName name="_6090" localSheetId="8">[2]Регион!#REF!</definedName>
    <definedName name="_6090">[2]Регион!#REF!</definedName>
    <definedName name="_6100" localSheetId="21">[2]Регион!#REF!</definedName>
    <definedName name="_6100" localSheetId="22">[2]Регион!#REF!</definedName>
    <definedName name="_6100" localSheetId="9">[2]Регион!#REF!</definedName>
    <definedName name="_6100" localSheetId="11">[2]Регион!#REF!</definedName>
    <definedName name="_6100" localSheetId="12">[2]Регион!#REF!</definedName>
    <definedName name="_6100" localSheetId="13">[2]Регион!#REF!</definedName>
    <definedName name="_6100" localSheetId="14">[2]Регион!#REF!</definedName>
    <definedName name="_6100" localSheetId="7">[2]Регион!#REF!</definedName>
    <definedName name="_6100" localSheetId="8">[2]Регион!#REF!</definedName>
    <definedName name="_6100">[2]Регион!#REF!</definedName>
    <definedName name="_6110" localSheetId="21">[2]Регион!#REF!</definedName>
    <definedName name="_6110" localSheetId="22">[2]Регион!#REF!</definedName>
    <definedName name="_6110" localSheetId="9">[2]Регион!#REF!</definedName>
    <definedName name="_6110" localSheetId="11">[2]Регион!#REF!</definedName>
    <definedName name="_6110" localSheetId="12">[2]Регион!#REF!</definedName>
    <definedName name="_6110" localSheetId="13">[2]Регион!#REF!</definedName>
    <definedName name="_6110" localSheetId="14">[2]Регион!#REF!</definedName>
    <definedName name="_6110" localSheetId="7">[2]Регион!#REF!</definedName>
    <definedName name="_6110" localSheetId="8">[2]Регион!#REF!</definedName>
    <definedName name="_6110">[2]Регион!#REF!</definedName>
    <definedName name="_7031_1" localSheetId="21">[2]Регион!#REF!</definedName>
    <definedName name="_7031_1" localSheetId="22">[2]Регион!#REF!</definedName>
    <definedName name="_7031_1" localSheetId="9">[2]Регион!#REF!</definedName>
    <definedName name="_7031_1" localSheetId="11">[2]Регион!#REF!</definedName>
    <definedName name="_7031_1" localSheetId="12">[2]Регион!#REF!</definedName>
    <definedName name="_7031_1" localSheetId="13">[2]Регион!#REF!</definedName>
    <definedName name="_7031_1" localSheetId="14">[2]Регион!#REF!</definedName>
    <definedName name="_7031_1" localSheetId="7">[2]Регион!#REF!</definedName>
    <definedName name="_7031_1" localSheetId="8">[2]Регион!#REF!</definedName>
    <definedName name="_7031_1">[2]Регион!#REF!</definedName>
    <definedName name="_7031_2" localSheetId="21">[2]Регион!#REF!</definedName>
    <definedName name="_7031_2" localSheetId="22">[2]Регион!#REF!</definedName>
    <definedName name="_7031_2" localSheetId="9">[2]Регион!#REF!</definedName>
    <definedName name="_7031_2" localSheetId="11">[2]Регион!#REF!</definedName>
    <definedName name="_7031_2" localSheetId="12">[2]Регион!#REF!</definedName>
    <definedName name="_7031_2" localSheetId="13">[2]Регион!#REF!</definedName>
    <definedName name="_7031_2" localSheetId="14">[2]Регион!#REF!</definedName>
    <definedName name="_7031_2" localSheetId="7">[2]Регион!#REF!</definedName>
    <definedName name="_7031_2" localSheetId="8">[2]Регион!#REF!</definedName>
    <definedName name="_7031_2">[2]Регион!#REF!</definedName>
    <definedName name="_7032_1" localSheetId="21">[2]Регион!#REF!</definedName>
    <definedName name="_7032_1" localSheetId="22">[2]Регион!#REF!</definedName>
    <definedName name="_7032_1" localSheetId="9">[2]Регион!#REF!</definedName>
    <definedName name="_7032_1" localSheetId="11">[2]Регион!#REF!</definedName>
    <definedName name="_7032_1" localSheetId="12">[2]Регион!#REF!</definedName>
    <definedName name="_7032_1" localSheetId="13">[2]Регион!#REF!</definedName>
    <definedName name="_7032_1" localSheetId="14">[2]Регион!#REF!</definedName>
    <definedName name="_7032_1" localSheetId="7">[2]Регион!#REF!</definedName>
    <definedName name="_7032_1" localSheetId="8">[2]Регион!#REF!</definedName>
    <definedName name="_7032_1">[2]Регион!#REF!</definedName>
    <definedName name="_7032_2" localSheetId="21">[2]Регион!#REF!</definedName>
    <definedName name="_7032_2" localSheetId="22">[2]Регион!#REF!</definedName>
    <definedName name="_7032_2" localSheetId="9">[2]Регион!#REF!</definedName>
    <definedName name="_7032_2" localSheetId="11">[2]Регион!#REF!</definedName>
    <definedName name="_7032_2" localSheetId="12">[2]Регион!#REF!</definedName>
    <definedName name="_7032_2" localSheetId="13">[2]Регион!#REF!</definedName>
    <definedName name="_7032_2" localSheetId="14">[2]Регион!#REF!</definedName>
    <definedName name="_7032_2" localSheetId="7">[2]Регион!#REF!</definedName>
    <definedName name="_7032_2" localSheetId="8">[2]Регион!#REF!</definedName>
    <definedName name="_7032_2">[2]Регион!#REF!</definedName>
    <definedName name="_7033_1" localSheetId="21">[2]Регион!#REF!</definedName>
    <definedName name="_7033_1" localSheetId="22">[2]Регион!#REF!</definedName>
    <definedName name="_7033_1" localSheetId="9">[2]Регион!#REF!</definedName>
    <definedName name="_7033_1" localSheetId="11">[2]Регион!#REF!</definedName>
    <definedName name="_7033_1" localSheetId="12">[2]Регион!#REF!</definedName>
    <definedName name="_7033_1" localSheetId="13">[2]Регион!#REF!</definedName>
    <definedName name="_7033_1" localSheetId="14">[2]Регион!#REF!</definedName>
    <definedName name="_7033_1" localSheetId="7">[2]Регион!#REF!</definedName>
    <definedName name="_7033_1" localSheetId="8">[2]Регион!#REF!</definedName>
    <definedName name="_7033_1">[2]Регион!#REF!</definedName>
    <definedName name="_7033_2" localSheetId="21">[2]Регион!#REF!</definedName>
    <definedName name="_7033_2" localSheetId="22">[2]Регион!#REF!</definedName>
    <definedName name="_7033_2" localSheetId="9">[2]Регион!#REF!</definedName>
    <definedName name="_7033_2" localSheetId="11">[2]Регион!#REF!</definedName>
    <definedName name="_7033_2" localSheetId="12">[2]Регион!#REF!</definedName>
    <definedName name="_7033_2" localSheetId="13">[2]Регион!#REF!</definedName>
    <definedName name="_7033_2" localSheetId="14">[2]Регион!#REF!</definedName>
    <definedName name="_7033_2" localSheetId="7">[2]Регион!#REF!</definedName>
    <definedName name="_7033_2" localSheetId="8">[2]Регион!#REF!</definedName>
    <definedName name="_7033_2">[2]Регион!#REF!</definedName>
    <definedName name="_7034_1" localSheetId="21">[2]Регион!#REF!</definedName>
    <definedName name="_7034_1" localSheetId="22">[2]Регион!#REF!</definedName>
    <definedName name="_7034_1" localSheetId="9">[2]Регион!#REF!</definedName>
    <definedName name="_7034_1" localSheetId="11">[2]Регион!#REF!</definedName>
    <definedName name="_7034_1" localSheetId="12">[2]Регион!#REF!</definedName>
    <definedName name="_7034_1" localSheetId="13">[2]Регион!#REF!</definedName>
    <definedName name="_7034_1" localSheetId="14">[2]Регион!#REF!</definedName>
    <definedName name="_7034_1" localSheetId="7">[2]Регион!#REF!</definedName>
    <definedName name="_7034_1" localSheetId="8">[2]Регион!#REF!</definedName>
    <definedName name="_7034_1">[2]Регион!#REF!</definedName>
    <definedName name="_7034_2" localSheetId="21">[2]Регион!#REF!</definedName>
    <definedName name="_7034_2" localSheetId="22">[2]Регион!#REF!</definedName>
    <definedName name="_7034_2" localSheetId="9">[2]Регион!#REF!</definedName>
    <definedName name="_7034_2" localSheetId="11">[2]Регион!#REF!</definedName>
    <definedName name="_7034_2" localSheetId="12">[2]Регион!#REF!</definedName>
    <definedName name="_7034_2" localSheetId="13">[2]Регион!#REF!</definedName>
    <definedName name="_7034_2" localSheetId="14">[2]Регион!#REF!</definedName>
    <definedName name="_7034_2" localSheetId="7">[2]Регион!#REF!</definedName>
    <definedName name="_7034_2" localSheetId="8">[2]Регион!#REF!</definedName>
    <definedName name="_7034_2">[2]Регион!#REF!</definedName>
    <definedName name="column_head" localSheetId="21">#REF!</definedName>
    <definedName name="column_head" localSheetId="22">#REF!</definedName>
    <definedName name="column_head" localSheetId="9">#REF!</definedName>
    <definedName name="column_head" localSheetId="11">#REF!</definedName>
    <definedName name="column_head" localSheetId="12">#REF!</definedName>
    <definedName name="column_head" localSheetId="13">#REF!</definedName>
    <definedName name="column_head" localSheetId="14">#REF!</definedName>
    <definedName name="column_head" localSheetId="0">#REF!</definedName>
    <definedName name="column_head" localSheetId="7">#REF!</definedName>
    <definedName name="column_head" localSheetId="8">#REF!</definedName>
    <definedName name="column_head">#REF!</definedName>
    <definedName name="column_headings" localSheetId="21">#REF!</definedName>
    <definedName name="column_headings" localSheetId="22">#REF!</definedName>
    <definedName name="column_headings" localSheetId="9">#REF!</definedName>
    <definedName name="column_headings" localSheetId="11">#REF!</definedName>
    <definedName name="column_headings" localSheetId="12">#REF!</definedName>
    <definedName name="column_headings" localSheetId="13">#REF!</definedName>
    <definedName name="column_headings" localSheetId="14">#REF!</definedName>
    <definedName name="column_headings" localSheetId="25">#REF!</definedName>
    <definedName name="column_headings" localSheetId="26">#REF!</definedName>
    <definedName name="column_headings" localSheetId="0">#REF!</definedName>
    <definedName name="column_headings" localSheetId="7">#REF!</definedName>
    <definedName name="column_headings" localSheetId="8">#REF!</definedName>
    <definedName name="column_headings">#REF!</definedName>
    <definedName name="column_numbers" localSheetId="21">#REF!</definedName>
    <definedName name="column_numbers" localSheetId="22">#REF!</definedName>
    <definedName name="column_numbers" localSheetId="9">#REF!</definedName>
    <definedName name="column_numbers" localSheetId="11">#REF!</definedName>
    <definedName name="column_numbers" localSheetId="12">#REF!</definedName>
    <definedName name="column_numbers" localSheetId="13">#REF!</definedName>
    <definedName name="column_numbers" localSheetId="14">#REF!</definedName>
    <definedName name="column_numbers" localSheetId="25">#REF!</definedName>
    <definedName name="column_numbers" localSheetId="26">#REF!</definedName>
    <definedName name="column_numbers" localSheetId="7">#REF!</definedName>
    <definedName name="column_numbers" localSheetId="8">#REF!</definedName>
    <definedName name="column_numbers">#REF!</definedName>
    <definedName name="data" localSheetId="21">#REF!</definedName>
    <definedName name="data" localSheetId="22">#REF!</definedName>
    <definedName name="data" localSheetId="9">#REF!</definedName>
    <definedName name="data" localSheetId="11">#REF!</definedName>
    <definedName name="data" localSheetId="12">#REF!</definedName>
    <definedName name="data" localSheetId="13">#REF!</definedName>
    <definedName name="data" localSheetId="14">#REF!</definedName>
    <definedName name="data" localSheetId="25">#REF!</definedName>
    <definedName name="data" localSheetId="26">#REF!</definedName>
    <definedName name="data" localSheetId="7">#REF!</definedName>
    <definedName name="data" localSheetId="8">#REF!</definedName>
    <definedName name="data">#REF!</definedName>
    <definedName name="data2" localSheetId="21">#REF!</definedName>
    <definedName name="data2" localSheetId="22">#REF!</definedName>
    <definedName name="data2" localSheetId="9">#REF!</definedName>
    <definedName name="data2" localSheetId="11">#REF!</definedName>
    <definedName name="data2" localSheetId="12">#REF!</definedName>
    <definedName name="data2" localSheetId="13">#REF!</definedName>
    <definedName name="data2" localSheetId="14">#REF!</definedName>
    <definedName name="data2" localSheetId="25">#REF!</definedName>
    <definedName name="data2" localSheetId="26">#REF!</definedName>
    <definedName name="data2" localSheetId="7">#REF!</definedName>
    <definedName name="data2" localSheetId="8">#REF!</definedName>
    <definedName name="data2">#REF!</definedName>
    <definedName name="Diag" localSheetId="21">#REF!,#REF!</definedName>
    <definedName name="Diag" localSheetId="22">#REF!,#REF!</definedName>
    <definedName name="Diag" localSheetId="9">#REF!,#REF!</definedName>
    <definedName name="Diag" localSheetId="11">#REF!,#REF!</definedName>
    <definedName name="Diag" localSheetId="12">#REF!,#REF!</definedName>
    <definedName name="Diag" localSheetId="13">#REF!,#REF!</definedName>
    <definedName name="Diag" localSheetId="14">#REF!,#REF!</definedName>
    <definedName name="Diag" localSheetId="0">#REF!,#REF!</definedName>
    <definedName name="Diag" localSheetId="7">#REF!,#REF!</definedName>
    <definedName name="Diag" localSheetId="8">#REF!,#REF!</definedName>
    <definedName name="Diag">#REF!,#REF!</definedName>
    <definedName name="ea_flux" localSheetId="21">#REF!</definedName>
    <definedName name="ea_flux" localSheetId="22">#REF!</definedName>
    <definedName name="ea_flux" localSheetId="9">#REF!</definedName>
    <definedName name="ea_flux" localSheetId="11">#REF!</definedName>
    <definedName name="ea_flux" localSheetId="12">#REF!</definedName>
    <definedName name="ea_flux" localSheetId="13">#REF!</definedName>
    <definedName name="ea_flux" localSheetId="14">#REF!</definedName>
    <definedName name="ea_flux" localSheetId="25">#REF!</definedName>
    <definedName name="ea_flux" localSheetId="26">#REF!</definedName>
    <definedName name="ea_flux" localSheetId="0">#REF!</definedName>
    <definedName name="ea_flux" localSheetId="7">#REF!</definedName>
    <definedName name="ea_flux" localSheetId="8">#REF!</definedName>
    <definedName name="ea_flux">#REF!</definedName>
    <definedName name="Equilibre" localSheetId="21">#REF!</definedName>
    <definedName name="Equilibre" localSheetId="22">#REF!</definedName>
    <definedName name="Equilibre" localSheetId="9">#REF!</definedName>
    <definedName name="Equilibre" localSheetId="11">#REF!</definedName>
    <definedName name="Equilibre" localSheetId="12">#REF!</definedName>
    <definedName name="Equilibre" localSheetId="13">#REF!</definedName>
    <definedName name="Equilibre" localSheetId="14">#REF!</definedName>
    <definedName name="Equilibre" localSheetId="25">#REF!</definedName>
    <definedName name="Equilibre" localSheetId="26">#REF!</definedName>
    <definedName name="Equilibre" localSheetId="7">#REF!</definedName>
    <definedName name="Equilibre" localSheetId="8">#REF!</definedName>
    <definedName name="Equilibre">#REF!</definedName>
    <definedName name="females" localSheetId="11">'[3]rba table'!$I$10:$I$49</definedName>
    <definedName name="females">'[4]rba table'!$I$10:$I$49</definedName>
    <definedName name="fig4b" localSheetId="21">#REF!</definedName>
    <definedName name="fig4b" localSheetId="22">#REF!</definedName>
    <definedName name="fig4b" localSheetId="9">#REF!</definedName>
    <definedName name="fig4b" localSheetId="11">#REF!</definedName>
    <definedName name="fig4b" localSheetId="12">#REF!</definedName>
    <definedName name="fig4b" localSheetId="13">#REF!</definedName>
    <definedName name="fig4b" localSheetId="14">#REF!</definedName>
    <definedName name="fig4b" localSheetId="0">#REF!</definedName>
    <definedName name="fig4b" localSheetId="7">#REF!</definedName>
    <definedName name="fig4b" localSheetId="8">#REF!</definedName>
    <definedName name="fig4b">#REF!</definedName>
    <definedName name="fmtr" localSheetId="21">#REF!</definedName>
    <definedName name="fmtr" localSheetId="22">#REF!</definedName>
    <definedName name="fmtr" localSheetId="9">#REF!</definedName>
    <definedName name="fmtr" localSheetId="11">#REF!</definedName>
    <definedName name="fmtr" localSheetId="12">#REF!</definedName>
    <definedName name="fmtr" localSheetId="13">#REF!</definedName>
    <definedName name="fmtr" localSheetId="14">#REF!</definedName>
    <definedName name="fmtr" localSheetId="0">#REF!</definedName>
    <definedName name="fmtr" localSheetId="7">#REF!</definedName>
    <definedName name="fmtr" localSheetId="8">#REF!</definedName>
    <definedName name="fmtr">#REF!</definedName>
    <definedName name="footno" localSheetId="21">#REF!</definedName>
    <definedName name="footno" localSheetId="22">#REF!</definedName>
    <definedName name="footno" localSheetId="9">#REF!</definedName>
    <definedName name="footno" localSheetId="11">#REF!</definedName>
    <definedName name="footno" localSheetId="12">#REF!</definedName>
    <definedName name="footno" localSheetId="13">#REF!</definedName>
    <definedName name="footno" localSheetId="14">#REF!</definedName>
    <definedName name="footno" localSheetId="7">#REF!</definedName>
    <definedName name="footno" localSheetId="8">#REF!</definedName>
    <definedName name="footno">#REF!</definedName>
    <definedName name="footnotes" localSheetId="21">#REF!</definedName>
    <definedName name="footnotes" localSheetId="22">#REF!</definedName>
    <definedName name="footnotes" localSheetId="9">#REF!</definedName>
    <definedName name="footnotes" localSheetId="11">#REF!</definedName>
    <definedName name="footnotes" localSheetId="12">#REF!</definedName>
    <definedName name="footnotes" localSheetId="13">#REF!</definedName>
    <definedName name="footnotes" localSheetId="14">#REF!</definedName>
    <definedName name="footnotes" localSheetId="25">#REF!</definedName>
    <definedName name="footnotes" localSheetId="26">#REF!</definedName>
    <definedName name="footnotes" localSheetId="7">#REF!</definedName>
    <definedName name="footnotes" localSheetId="8">#REF!</definedName>
    <definedName name="footnotes">#REF!</definedName>
    <definedName name="footnotes2" localSheetId="21">#REF!</definedName>
    <definedName name="footnotes2" localSheetId="22">#REF!</definedName>
    <definedName name="footnotes2" localSheetId="9">#REF!</definedName>
    <definedName name="footnotes2" localSheetId="11">#REF!</definedName>
    <definedName name="footnotes2" localSheetId="12">#REF!</definedName>
    <definedName name="footnotes2" localSheetId="13">#REF!</definedName>
    <definedName name="footnotes2" localSheetId="14">#REF!</definedName>
    <definedName name="footnotes2" localSheetId="7">#REF!</definedName>
    <definedName name="footnotes2" localSheetId="8">#REF!</definedName>
    <definedName name="footnotes2">#REF!</definedName>
    <definedName name="GEOG9703" localSheetId="21">#REF!</definedName>
    <definedName name="GEOG9703" localSheetId="22">#REF!</definedName>
    <definedName name="GEOG9703" localSheetId="9">#REF!</definedName>
    <definedName name="GEOG9703" localSheetId="11">#REF!</definedName>
    <definedName name="GEOG9703" localSheetId="12">#REF!</definedName>
    <definedName name="GEOG9703" localSheetId="13">#REF!</definedName>
    <definedName name="GEOG9703" localSheetId="14">#REF!</definedName>
    <definedName name="GEOG9703" localSheetId="7">#REF!</definedName>
    <definedName name="GEOG9703" localSheetId="8">#REF!</definedName>
    <definedName name="GEOG9703">#REF!</definedName>
    <definedName name="HTML_CodePage" hidden="1">1252</definedName>
    <definedName name="HTML_Control" localSheetId="11" hidden="1">{"'swa xoffs'!$A$4:$Q$37"}</definedName>
    <definedName name="HTML_Control" localSheetId="0" hidden="1">{"'swa xoffs'!$A$4:$Q$37"}</definedName>
    <definedName name="HTML_Control" localSheetId="7" hidden="1">{"'swa xoffs'!$A$4:$Q$37"}</definedName>
    <definedName name="HTML_Control" localSheetId="8"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11">'[3]rba table'!$C$10:$C$49</definedName>
    <definedName name="males">'[4]rba table'!$C$10:$C$49</definedName>
    <definedName name="PIB" localSheetId="21">#REF!</definedName>
    <definedName name="PIB" localSheetId="22">#REF!</definedName>
    <definedName name="PIB" localSheetId="9">#REF!</definedName>
    <definedName name="PIB" localSheetId="11">#REF!</definedName>
    <definedName name="PIB" localSheetId="12">#REF!</definedName>
    <definedName name="PIB" localSheetId="13">#REF!</definedName>
    <definedName name="PIB" localSheetId="14">#REF!</definedName>
    <definedName name="PIB" localSheetId="25">#REF!</definedName>
    <definedName name="PIB" localSheetId="26">#REF!</definedName>
    <definedName name="PIB" localSheetId="0">#REF!</definedName>
    <definedName name="PIB" localSheetId="7">#REF!</definedName>
    <definedName name="PIB" localSheetId="8">#REF!</definedName>
    <definedName name="PIB">#REF!</definedName>
    <definedName name="Rentflag" localSheetId="11">IF([5]Comparison!$B$7,"","not ")</definedName>
    <definedName name="Rentflag">IF([6]Comparison!$B$7,"","not ")</definedName>
    <definedName name="ressources" localSheetId="21">#REF!</definedName>
    <definedName name="ressources" localSheetId="22">#REF!</definedName>
    <definedName name="ressources" localSheetId="9">#REF!</definedName>
    <definedName name="ressources" localSheetId="11">#REF!</definedName>
    <definedName name="ressources" localSheetId="12">#REF!</definedName>
    <definedName name="ressources" localSheetId="13">#REF!</definedName>
    <definedName name="ressources" localSheetId="14">#REF!</definedName>
    <definedName name="ressources" localSheetId="25">#REF!</definedName>
    <definedName name="ressources" localSheetId="26">#REF!</definedName>
    <definedName name="ressources" localSheetId="0">#REF!</definedName>
    <definedName name="ressources" localSheetId="7">#REF!</definedName>
    <definedName name="ressources" localSheetId="8">#REF!</definedName>
    <definedName name="ressources">#REF!</definedName>
    <definedName name="rpflux" localSheetId="21">#REF!</definedName>
    <definedName name="rpflux" localSheetId="22">#REF!</definedName>
    <definedName name="rpflux" localSheetId="9">#REF!</definedName>
    <definedName name="rpflux" localSheetId="11">#REF!</definedName>
    <definedName name="rpflux" localSheetId="12">#REF!</definedName>
    <definedName name="rpflux" localSheetId="13">#REF!</definedName>
    <definedName name="rpflux" localSheetId="14">#REF!</definedName>
    <definedName name="rpflux" localSheetId="25">#REF!</definedName>
    <definedName name="rpflux" localSheetId="26">#REF!</definedName>
    <definedName name="rpflux" localSheetId="7">#REF!</definedName>
    <definedName name="rpflux" localSheetId="8">#REF!</definedName>
    <definedName name="rpflux">#REF!</definedName>
    <definedName name="rptof" localSheetId="21">#REF!</definedName>
    <definedName name="rptof" localSheetId="22">#REF!</definedName>
    <definedName name="rptof" localSheetId="9">#REF!</definedName>
    <definedName name="rptof" localSheetId="11">#REF!</definedName>
    <definedName name="rptof" localSheetId="12">#REF!</definedName>
    <definedName name="rptof" localSheetId="13">#REF!</definedName>
    <definedName name="rptof" localSheetId="14">#REF!</definedName>
    <definedName name="rptof" localSheetId="25">#REF!</definedName>
    <definedName name="rptof" localSheetId="26">#REF!</definedName>
    <definedName name="rptof" localSheetId="7">#REF!</definedName>
    <definedName name="rptof" localSheetId="8">#REF!</definedName>
    <definedName name="rptof">#REF!</definedName>
    <definedName name="rq" localSheetId="21">#REF!</definedName>
    <definedName name="rq" localSheetId="22">#REF!</definedName>
    <definedName name="rq" localSheetId="9">#REF!</definedName>
    <definedName name="rq" localSheetId="11">#REF!</definedName>
    <definedName name="rq" localSheetId="12">#REF!</definedName>
    <definedName name="rq" localSheetId="13">#REF!</definedName>
    <definedName name="rq" localSheetId="14">#REF!</definedName>
    <definedName name="rq" localSheetId="7">#REF!</definedName>
    <definedName name="rq" localSheetId="8">#REF!</definedName>
    <definedName name="rq">#REF!</definedName>
    <definedName name="spanners_level1" localSheetId="21">#REF!</definedName>
    <definedName name="spanners_level1" localSheetId="22">#REF!</definedName>
    <definedName name="spanners_level1" localSheetId="9">#REF!</definedName>
    <definedName name="spanners_level1" localSheetId="11">#REF!</definedName>
    <definedName name="spanners_level1" localSheetId="12">#REF!</definedName>
    <definedName name="spanners_level1" localSheetId="13">#REF!</definedName>
    <definedName name="spanners_level1" localSheetId="14">#REF!</definedName>
    <definedName name="spanners_level1" localSheetId="25">#REF!</definedName>
    <definedName name="spanners_level1" localSheetId="26">#REF!</definedName>
    <definedName name="spanners_level1" localSheetId="7">#REF!</definedName>
    <definedName name="spanners_level1" localSheetId="8">#REF!</definedName>
    <definedName name="spanners_level1">#REF!</definedName>
    <definedName name="spanners_level2" localSheetId="21">#REF!</definedName>
    <definedName name="spanners_level2" localSheetId="22">#REF!</definedName>
    <definedName name="spanners_level2" localSheetId="9">#REF!</definedName>
    <definedName name="spanners_level2" localSheetId="11">#REF!</definedName>
    <definedName name="spanners_level2" localSheetId="12">#REF!</definedName>
    <definedName name="spanners_level2" localSheetId="13">#REF!</definedName>
    <definedName name="spanners_level2" localSheetId="14">#REF!</definedName>
    <definedName name="spanners_level2" localSheetId="25">#REF!</definedName>
    <definedName name="spanners_level2" localSheetId="26">#REF!</definedName>
    <definedName name="spanners_level2" localSheetId="7">#REF!</definedName>
    <definedName name="spanners_level2" localSheetId="8">#REF!</definedName>
    <definedName name="spanners_level2">#REF!</definedName>
    <definedName name="spanners_level3" localSheetId="21">#REF!</definedName>
    <definedName name="spanners_level3" localSheetId="22">#REF!</definedName>
    <definedName name="spanners_level3" localSheetId="9">#REF!</definedName>
    <definedName name="spanners_level3" localSheetId="11">#REF!</definedName>
    <definedName name="spanners_level3" localSheetId="12">#REF!</definedName>
    <definedName name="spanners_level3" localSheetId="13">#REF!</definedName>
    <definedName name="spanners_level3" localSheetId="14">#REF!</definedName>
    <definedName name="spanners_level3" localSheetId="25">#REF!</definedName>
    <definedName name="spanners_level3" localSheetId="26">#REF!</definedName>
    <definedName name="spanners_level3" localSheetId="7">#REF!</definedName>
    <definedName name="spanners_level3" localSheetId="8">#REF!</definedName>
    <definedName name="spanners_level3">#REF!</definedName>
    <definedName name="spanners_level4" localSheetId="21">#REF!</definedName>
    <definedName name="spanners_level4" localSheetId="22">#REF!</definedName>
    <definedName name="spanners_level4" localSheetId="9">#REF!</definedName>
    <definedName name="spanners_level4" localSheetId="11">#REF!</definedName>
    <definedName name="spanners_level4" localSheetId="12">#REF!</definedName>
    <definedName name="spanners_level4" localSheetId="13">#REF!</definedName>
    <definedName name="spanners_level4" localSheetId="14">#REF!</definedName>
    <definedName name="spanners_level4" localSheetId="25">#REF!</definedName>
    <definedName name="spanners_level4" localSheetId="26">#REF!</definedName>
    <definedName name="spanners_level4" localSheetId="7">#REF!</definedName>
    <definedName name="spanners_level4" localSheetId="8">#REF!</definedName>
    <definedName name="spanners_level4">#REF!</definedName>
    <definedName name="spanners_level5" localSheetId="21">#REF!</definedName>
    <definedName name="spanners_level5" localSheetId="22">#REF!</definedName>
    <definedName name="spanners_level5" localSheetId="9">#REF!</definedName>
    <definedName name="spanners_level5" localSheetId="11">#REF!</definedName>
    <definedName name="spanners_level5" localSheetId="12">#REF!</definedName>
    <definedName name="spanners_level5" localSheetId="13">#REF!</definedName>
    <definedName name="spanners_level5" localSheetId="14">#REF!</definedName>
    <definedName name="spanners_level5" localSheetId="25">#REF!</definedName>
    <definedName name="spanners_level5" localSheetId="26">#REF!</definedName>
    <definedName name="spanners_level5" localSheetId="7">#REF!</definedName>
    <definedName name="spanners_level5" localSheetId="8">#REF!</definedName>
    <definedName name="spanners_level5">#REF!</definedName>
    <definedName name="spanners_levelV" localSheetId="21">#REF!</definedName>
    <definedName name="spanners_levelV" localSheetId="22">#REF!</definedName>
    <definedName name="spanners_levelV" localSheetId="9">#REF!</definedName>
    <definedName name="spanners_levelV" localSheetId="11">#REF!</definedName>
    <definedName name="spanners_levelV" localSheetId="12">#REF!</definedName>
    <definedName name="spanners_levelV" localSheetId="13">#REF!</definedName>
    <definedName name="spanners_levelV" localSheetId="14">#REF!</definedName>
    <definedName name="spanners_levelV" localSheetId="7">#REF!</definedName>
    <definedName name="spanners_levelV" localSheetId="8">#REF!</definedName>
    <definedName name="spanners_levelV">#REF!</definedName>
    <definedName name="spanners_levelX" localSheetId="21">#REF!</definedName>
    <definedName name="spanners_levelX" localSheetId="22">#REF!</definedName>
    <definedName name="spanners_levelX" localSheetId="9">#REF!</definedName>
    <definedName name="spanners_levelX" localSheetId="11">#REF!</definedName>
    <definedName name="spanners_levelX" localSheetId="12">#REF!</definedName>
    <definedName name="spanners_levelX" localSheetId="13">#REF!</definedName>
    <definedName name="spanners_levelX" localSheetId="14">#REF!</definedName>
    <definedName name="spanners_levelX" localSheetId="7">#REF!</definedName>
    <definedName name="spanners_levelX" localSheetId="8">#REF!</definedName>
    <definedName name="spanners_levelX">#REF!</definedName>
    <definedName name="spanners_levelY" localSheetId="21">#REF!</definedName>
    <definedName name="spanners_levelY" localSheetId="22">#REF!</definedName>
    <definedName name="spanners_levelY" localSheetId="9">#REF!</definedName>
    <definedName name="spanners_levelY" localSheetId="11">#REF!</definedName>
    <definedName name="spanners_levelY" localSheetId="12">#REF!</definedName>
    <definedName name="spanners_levelY" localSheetId="13">#REF!</definedName>
    <definedName name="spanners_levelY" localSheetId="14">#REF!</definedName>
    <definedName name="spanners_levelY" localSheetId="7">#REF!</definedName>
    <definedName name="spanners_levelY" localSheetId="8">#REF!</definedName>
    <definedName name="spanners_levelY">#REF!</definedName>
    <definedName name="spanners_levelZ" localSheetId="21">#REF!</definedName>
    <definedName name="spanners_levelZ" localSheetId="22">#REF!</definedName>
    <definedName name="spanners_levelZ" localSheetId="9">#REF!</definedName>
    <definedName name="spanners_levelZ" localSheetId="11">#REF!</definedName>
    <definedName name="spanners_levelZ" localSheetId="12">#REF!</definedName>
    <definedName name="spanners_levelZ" localSheetId="13">#REF!</definedName>
    <definedName name="spanners_levelZ" localSheetId="14">#REF!</definedName>
    <definedName name="spanners_levelZ" localSheetId="7">#REF!</definedName>
    <definedName name="spanners_levelZ" localSheetId="8">#REF!</definedName>
    <definedName name="spanners_levelZ">#REF!</definedName>
    <definedName name="stub_lines" localSheetId="21">#REF!</definedName>
    <definedName name="stub_lines" localSheetId="22">#REF!</definedName>
    <definedName name="stub_lines" localSheetId="9">#REF!</definedName>
    <definedName name="stub_lines" localSheetId="11">#REF!</definedName>
    <definedName name="stub_lines" localSheetId="12">#REF!</definedName>
    <definedName name="stub_lines" localSheetId="13">#REF!</definedName>
    <definedName name="stub_lines" localSheetId="14">#REF!</definedName>
    <definedName name="stub_lines" localSheetId="25">#REF!</definedName>
    <definedName name="stub_lines" localSheetId="26">#REF!</definedName>
    <definedName name="stub_lines" localSheetId="7">#REF!</definedName>
    <definedName name="stub_lines" localSheetId="8">#REF!</definedName>
    <definedName name="stub_lines">#REF!</definedName>
    <definedName name="Table_DE.4b__Sources_of_private_wealth_accumulation_in_Germany__1870_2010___Multiplicative_decomposition">[7]TableDE4b!$A$3</definedName>
    <definedName name="temp" localSheetId="21">#REF!</definedName>
    <definedName name="temp" localSheetId="22">#REF!</definedName>
    <definedName name="temp" localSheetId="9">#REF!</definedName>
    <definedName name="temp" localSheetId="11">#REF!</definedName>
    <definedName name="temp" localSheetId="12">#REF!</definedName>
    <definedName name="temp" localSheetId="13">#REF!</definedName>
    <definedName name="temp" localSheetId="14">#REF!</definedName>
    <definedName name="temp" localSheetId="26">#REF!</definedName>
    <definedName name="temp" localSheetId="0">#REF!</definedName>
    <definedName name="temp" localSheetId="7">#REF!</definedName>
    <definedName name="temp" localSheetId="8">#REF!</definedName>
    <definedName name="temp">#REF!</definedName>
    <definedName name="test" localSheetId="21">[1]Регион!#REF!</definedName>
    <definedName name="test" localSheetId="22">[1]Регион!#REF!</definedName>
    <definedName name="test" localSheetId="9">[1]Регион!#REF!</definedName>
    <definedName name="test" localSheetId="11">[1]Регион!#REF!</definedName>
    <definedName name="test" localSheetId="12">[1]Регион!#REF!</definedName>
    <definedName name="test" localSheetId="13">[1]Регион!#REF!</definedName>
    <definedName name="test" localSheetId="14">[1]Регион!#REF!</definedName>
    <definedName name="test" localSheetId="0">[1]Регион!#REF!</definedName>
    <definedName name="test" localSheetId="7">[1]Регион!#REF!</definedName>
    <definedName name="test" localSheetId="8">[1]Регион!#REF!</definedName>
    <definedName name="test">[1]Регион!#REF!</definedName>
    <definedName name="titles" localSheetId="21">#REF!</definedName>
    <definedName name="titles" localSheetId="22">#REF!</definedName>
    <definedName name="titles" localSheetId="9">#REF!</definedName>
    <definedName name="titles" localSheetId="11">#REF!</definedName>
    <definedName name="titles" localSheetId="12">#REF!</definedName>
    <definedName name="titles" localSheetId="13">#REF!</definedName>
    <definedName name="titles" localSheetId="14">#REF!</definedName>
    <definedName name="titles" localSheetId="25">#REF!</definedName>
    <definedName name="titles" localSheetId="26">#REF!</definedName>
    <definedName name="titles" localSheetId="0">#REF!</definedName>
    <definedName name="titles" localSheetId="7">#REF!</definedName>
    <definedName name="titles" localSheetId="8">#REF!</definedName>
    <definedName name="titles">#REF!</definedName>
    <definedName name="totals" localSheetId="21">#REF!</definedName>
    <definedName name="totals" localSheetId="22">#REF!</definedName>
    <definedName name="totals" localSheetId="9">#REF!</definedName>
    <definedName name="totals" localSheetId="11">#REF!</definedName>
    <definedName name="totals" localSheetId="12">#REF!</definedName>
    <definedName name="totals" localSheetId="13">#REF!</definedName>
    <definedName name="totals" localSheetId="14">#REF!</definedName>
    <definedName name="totals" localSheetId="25">#REF!</definedName>
    <definedName name="totals" localSheetId="26">#REF!</definedName>
    <definedName name="totals" localSheetId="7">#REF!</definedName>
    <definedName name="totals" localSheetId="8">#REF!</definedName>
    <definedName name="totals">#REF!</definedName>
    <definedName name="tt" localSheetId="21">#REF!</definedName>
    <definedName name="tt" localSheetId="22">#REF!</definedName>
    <definedName name="tt" localSheetId="9">#REF!</definedName>
    <definedName name="tt" localSheetId="11">#REF!</definedName>
    <definedName name="tt" localSheetId="12">#REF!</definedName>
    <definedName name="tt" localSheetId="13">#REF!</definedName>
    <definedName name="tt" localSheetId="14">#REF!</definedName>
    <definedName name="tt" localSheetId="7">#REF!</definedName>
    <definedName name="tt" localSheetId="8">#REF!</definedName>
    <definedName name="tt">#REF!</definedName>
    <definedName name="xxx" localSheetId="21">#REF!</definedName>
    <definedName name="xxx" localSheetId="22">#REF!</definedName>
    <definedName name="xxx" localSheetId="9">#REF!</definedName>
    <definedName name="xxx" localSheetId="11">#REF!</definedName>
    <definedName name="xxx" localSheetId="12">#REF!</definedName>
    <definedName name="xxx" localSheetId="13">#REF!</definedName>
    <definedName name="xxx" localSheetId="14">#REF!</definedName>
    <definedName name="xxx" localSheetId="26">#REF!</definedName>
    <definedName name="xxx" localSheetId="7">#REF!</definedName>
    <definedName name="xxx" localSheetId="8">#REF!</definedName>
    <definedName name="xxx">#REF!</definedName>
    <definedName name="Year" localSheetId="11">[5]Output!$C$4:$C$38</definedName>
    <definedName name="Year">[6]Output!$C$4:$C$38</definedName>
    <definedName name="YearLabel" localSheetId="11">[5]Output!$B$15</definedName>
    <definedName name="YearLabel">[6]Output!$B$15</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R14" i="34" l="1"/>
  <c r="N4" i="11"/>
  <c r="N6" i="15"/>
  <c r="R22" i="34"/>
  <c r="N5" i="11"/>
  <c r="N7" i="15"/>
  <c r="R20" i="34"/>
  <c r="N6" i="11"/>
  <c r="N8" i="15"/>
  <c r="N5" i="15"/>
  <c r="T14" i="34"/>
  <c r="P4" i="11"/>
  <c r="P6" i="15"/>
  <c r="T22" i="34"/>
  <c r="P5" i="11"/>
  <c r="P7" i="15"/>
  <c r="T20" i="34"/>
  <c r="P6" i="11"/>
  <c r="P8" i="15"/>
  <c r="P5" i="15"/>
  <c r="D11" i="5"/>
  <c r="D8" i="5"/>
  <c r="F9" i="5"/>
  <c r="I13" i="7"/>
  <c r="I7" i="7"/>
  <c r="J13" i="7"/>
  <c r="F13" i="7"/>
  <c r="F8" i="7"/>
  <c r="H9" i="7"/>
  <c r="I9" i="7"/>
  <c r="M11" i="5"/>
  <c r="M8" i="5"/>
  <c r="P11" i="5"/>
  <c r="P8" i="5"/>
  <c r="I8" i="7"/>
  <c r="K9" i="7"/>
  <c r="E9" i="7"/>
  <c r="C13" i="11"/>
  <c r="C4" i="11"/>
  <c r="C6" i="15"/>
  <c r="F10" i="5"/>
  <c r="H10" i="7"/>
  <c r="I10" i="7"/>
  <c r="K10" i="7"/>
  <c r="E10" i="7"/>
  <c r="C14" i="11"/>
  <c r="C5" i="11"/>
  <c r="C7" i="15"/>
  <c r="B8" i="8"/>
  <c r="B11" i="8"/>
  <c r="B19" i="8"/>
  <c r="B14" i="8"/>
  <c r="D23" i="8"/>
  <c r="D16" i="11"/>
  <c r="B6" i="9"/>
  <c r="D8" i="9"/>
  <c r="F8" i="9"/>
  <c r="B8" i="9"/>
  <c r="B9" i="9"/>
  <c r="B10" i="9"/>
  <c r="D11" i="9"/>
  <c r="F11" i="9"/>
  <c r="B11" i="9"/>
  <c r="B21" i="9"/>
  <c r="B16" i="9"/>
  <c r="D25" i="9"/>
  <c r="E16" i="11"/>
  <c r="C16" i="11"/>
  <c r="D24" i="8"/>
  <c r="D17" i="11"/>
  <c r="D27" i="9"/>
  <c r="E17" i="11"/>
  <c r="C17" i="11"/>
  <c r="C6" i="11"/>
  <c r="C8" i="15"/>
  <c r="C5" i="15"/>
  <c r="E5" i="23"/>
  <c r="N5" i="23"/>
  <c r="G7" i="23"/>
  <c r="C5" i="23"/>
  <c r="O14" i="34"/>
  <c r="L4" i="11"/>
  <c r="L6" i="15"/>
  <c r="B114" i="25"/>
  <c r="P14" i="34"/>
  <c r="M4" i="11"/>
  <c r="M6" i="15"/>
  <c r="B133" i="25"/>
  <c r="B121" i="25"/>
  <c r="P22" i="34"/>
  <c r="Q22" i="34"/>
  <c r="S22" i="34"/>
  <c r="U22" i="34"/>
  <c r="O22" i="34"/>
  <c r="L5" i="11"/>
  <c r="L7" i="15"/>
  <c r="C114" i="25"/>
  <c r="M5" i="11"/>
  <c r="M7" i="15"/>
  <c r="C133" i="25"/>
  <c r="C121" i="25"/>
  <c r="Q20" i="34"/>
  <c r="P20" i="34"/>
  <c r="S20" i="34"/>
  <c r="U20" i="34"/>
  <c r="O20" i="34"/>
  <c r="L6" i="11"/>
  <c r="L8" i="15"/>
  <c r="D114" i="25"/>
  <c r="M6" i="11"/>
  <c r="M8" i="15"/>
  <c r="D133" i="25"/>
  <c r="D121" i="25"/>
  <c r="E121" i="25"/>
  <c r="U14" i="34"/>
  <c r="N14" i="34"/>
  <c r="M14" i="34"/>
  <c r="L14" i="34"/>
  <c r="B146" i="25"/>
  <c r="O6" i="11"/>
  <c r="O8" i="15"/>
  <c r="D141" i="25"/>
  <c r="O5" i="11"/>
  <c r="O7" i="15"/>
  <c r="C141" i="25"/>
  <c r="S14" i="34"/>
  <c r="O4" i="11"/>
  <c r="O6" i="15"/>
  <c r="B141" i="25"/>
  <c r="E141" i="25"/>
  <c r="D136" i="25"/>
  <c r="C136" i="25"/>
  <c r="B136" i="25"/>
  <c r="P19" i="23"/>
  <c r="O19" i="23"/>
  <c r="Q9" i="15"/>
  <c r="P9" i="15"/>
  <c r="O9" i="15"/>
  <c r="N19" i="23"/>
  <c r="N9" i="15"/>
  <c r="M19" i="23"/>
  <c r="L19" i="23"/>
  <c r="L9" i="15"/>
  <c r="K9" i="15"/>
  <c r="K19" i="23"/>
  <c r="J9" i="15"/>
  <c r="I9" i="15"/>
  <c r="O5" i="15"/>
  <c r="Q6" i="11"/>
  <c r="Q8" i="15"/>
  <c r="Q5" i="11"/>
  <c r="Q7" i="15"/>
  <c r="Q4" i="11"/>
  <c r="Q6" i="15"/>
  <c r="N7" i="11"/>
  <c r="M7" i="11"/>
  <c r="K4" i="11"/>
  <c r="J4" i="11"/>
  <c r="J6" i="15"/>
  <c r="B104" i="25"/>
  <c r="I4" i="11"/>
  <c r="N20" i="34"/>
  <c r="M20" i="34"/>
  <c r="L20" i="34"/>
  <c r="I6" i="11"/>
  <c r="I8" i="15"/>
  <c r="D99" i="25"/>
  <c r="N23" i="34"/>
  <c r="M23" i="34"/>
  <c r="L23" i="34"/>
  <c r="N22" i="34"/>
  <c r="O23" i="34"/>
  <c r="U23" i="34"/>
  <c r="T23" i="34"/>
  <c r="S23" i="34"/>
  <c r="R23" i="34"/>
  <c r="Q23" i="34"/>
  <c r="U21" i="34"/>
  <c r="T21" i="34"/>
  <c r="S21" i="34"/>
  <c r="R21" i="34"/>
  <c r="Q21" i="34"/>
  <c r="U19" i="34"/>
  <c r="T19" i="34"/>
  <c r="S19" i="34"/>
  <c r="R19" i="34"/>
  <c r="Q19" i="34"/>
  <c r="Q14" i="34"/>
  <c r="P23" i="34"/>
  <c r="P21" i="34"/>
  <c r="P19" i="34"/>
  <c r="M22" i="34"/>
  <c r="K5" i="11"/>
  <c r="L7" i="11"/>
  <c r="K6" i="11"/>
  <c r="J6" i="11"/>
  <c r="J8" i="15"/>
  <c r="D104" i="25"/>
  <c r="Q7" i="11"/>
  <c r="Q5" i="15"/>
  <c r="I6" i="15"/>
  <c r="B99" i="25"/>
  <c r="E136" i="25"/>
  <c r="P7" i="11"/>
  <c r="O7" i="11"/>
  <c r="K7" i="11"/>
  <c r="L22" i="34"/>
  <c r="I5" i="11"/>
  <c r="J5" i="11"/>
  <c r="B8" i="33"/>
  <c r="B11" i="33"/>
  <c r="B16" i="33"/>
  <c r="D24" i="33"/>
  <c r="H18" i="11"/>
  <c r="D27" i="33"/>
  <c r="H17" i="11"/>
  <c r="D25" i="33"/>
  <c r="H16" i="11"/>
  <c r="H6" i="11"/>
  <c r="D26" i="33"/>
  <c r="H15" i="11"/>
  <c r="D18" i="33"/>
  <c r="H14" i="11"/>
  <c r="D17" i="33"/>
  <c r="H13" i="11"/>
  <c r="H4" i="11"/>
  <c r="C8" i="33"/>
  <c r="C27" i="33"/>
  <c r="C26" i="33"/>
  <c r="C25" i="33"/>
  <c r="C24" i="33"/>
  <c r="C21" i="33"/>
  <c r="B20" i="33"/>
  <c r="C20" i="33"/>
  <c r="C18" i="33"/>
  <c r="C17" i="33"/>
  <c r="B14" i="33"/>
  <c r="B15" i="33"/>
  <c r="C11" i="33"/>
  <c r="C10" i="33"/>
  <c r="C9" i="33"/>
  <c r="C7" i="33"/>
  <c r="C6" i="33"/>
  <c r="F5" i="33"/>
  <c r="D5" i="33"/>
  <c r="B5" i="33"/>
  <c r="B8" i="32"/>
  <c r="B11" i="32"/>
  <c r="B16" i="32"/>
  <c r="D24" i="32"/>
  <c r="G18" i="11"/>
  <c r="D27" i="32"/>
  <c r="G17" i="11"/>
  <c r="D25" i="32"/>
  <c r="G16" i="11"/>
  <c r="G6" i="11"/>
  <c r="D26" i="32"/>
  <c r="G15" i="11"/>
  <c r="D18" i="32"/>
  <c r="G14" i="11"/>
  <c r="D17" i="32"/>
  <c r="G13" i="11"/>
  <c r="G20" i="11"/>
  <c r="C27" i="32"/>
  <c r="C26" i="32"/>
  <c r="C25" i="32"/>
  <c r="C24" i="32"/>
  <c r="C21" i="32"/>
  <c r="C18" i="32"/>
  <c r="C17" i="32"/>
  <c r="B14" i="32"/>
  <c r="B15" i="32"/>
  <c r="C10" i="32"/>
  <c r="C9" i="32"/>
  <c r="C7" i="32"/>
  <c r="F5" i="32"/>
  <c r="D5" i="32"/>
  <c r="B5" i="32"/>
  <c r="C24" i="7"/>
  <c r="C12" i="7"/>
  <c r="C13" i="7"/>
  <c r="C8" i="7"/>
  <c r="C10" i="7"/>
  <c r="E23" i="7"/>
  <c r="D8" i="7"/>
  <c r="C23" i="7"/>
  <c r="E24" i="7"/>
  <c r="C9" i="7"/>
  <c r="D23" i="7"/>
  <c r="D24" i="7"/>
  <c r="B13" i="11"/>
  <c r="J7" i="15"/>
  <c r="J7" i="11"/>
  <c r="I7" i="15"/>
  <c r="I7" i="11"/>
  <c r="G5" i="11"/>
  <c r="H5" i="11"/>
  <c r="H7" i="11"/>
  <c r="G21" i="11"/>
  <c r="G4" i="11"/>
  <c r="H20" i="11"/>
  <c r="H21" i="11"/>
  <c r="C8" i="32"/>
  <c r="B20" i="32"/>
  <c r="C20" i="32"/>
  <c r="C11" i="32"/>
  <c r="C6" i="32"/>
  <c r="F48" i="31"/>
  <c r="G48" i="31"/>
  <c r="C48" i="31"/>
  <c r="F38" i="31"/>
  <c r="G38" i="31"/>
  <c r="C38" i="31"/>
  <c r="F18" i="31"/>
  <c r="G18" i="31"/>
  <c r="C18" i="31"/>
  <c r="G72" i="31"/>
  <c r="F72" i="31"/>
  <c r="C72" i="31"/>
  <c r="G68" i="31"/>
  <c r="F68" i="31"/>
  <c r="C68" i="31"/>
  <c r="G65" i="31"/>
  <c r="F65" i="31"/>
  <c r="C65" i="31"/>
  <c r="G58" i="31"/>
  <c r="F58" i="31"/>
  <c r="C58" i="31"/>
  <c r="G28" i="31"/>
  <c r="F28" i="31"/>
  <c r="C28" i="31"/>
  <c r="G8" i="31"/>
  <c r="F8" i="31"/>
  <c r="C8" i="31"/>
  <c r="D16" i="29"/>
  <c r="E16" i="29"/>
  <c r="G16" i="29"/>
  <c r="H16" i="29"/>
  <c r="J16" i="29"/>
  <c r="B72" i="31"/>
  <c r="D15" i="29"/>
  <c r="E15" i="29"/>
  <c r="G15" i="29"/>
  <c r="H15" i="29"/>
  <c r="J15" i="29"/>
  <c r="B69" i="31"/>
  <c r="D14" i="29"/>
  <c r="E14" i="29"/>
  <c r="G14" i="29"/>
  <c r="H14" i="29"/>
  <c r="J14" i="29"/>
  <c r="B67" i="31"/>
  <c r="D13" i="29"/>
  <c r="E13" i="29"/>
  <c r="G13" i="29"/>
  <c r="H13" i="29"/>
  <c r="J13" i="29"/>
  <c r="B62" i="31"/>
  <c r="D12" i="29"/>
  <c r="E12" i="29"/>
  <c r="G12" i="29"/>
  <c r="H12" i="29"/>
  <c r="J12" i="29"/>
  <c r="B57" i="31"/>
  <c r="D11" i="29"/>
  <c r="E11" i="29"/>
  <c r="G11" i="29"/>
  <c r="H11" i="29"/>
  <c r="J11" i="29"/>
  <c r="B51" i="31"/>
  <c r="D10" i="29"/>
  <c r="E10" i="29"/>
  <c r="G10" i="29"/>
  <c r="H10" i="29"/>
  <c r="J10" i="29"/>
  <c r="B45" i="31"/>
  <c r="D9" i="29"/>
  <c r="E9" i="29"/>
  <c r="G9" i="29"/>
  <c r="H9" i="29"/>
  <c r="J9" i="29"/>
  <c r="B41" i="31"/>
  <c r="J8" i="29"/>
  <c r="B39" i="31"/>
  <c r="J55" i="29"/>
  <c r="J44" i="29"/>
  <c r="L44" i="29"/>
  <c r="K55" i="29"/>
  <c r="L46" i="29"/>
  <c r="N21" i="29"/>
  <c r="N46" i="29"/>
  <c r="O46" i="29"/>
  <c r="L47" i="29"/>
  <c r="N22" i="29"/>
  <c r="N47" i="29"/>
  <c r="O47" i="29"/>
  <c r="J7" i="29"/>
  <c r="B29" i="31"/>
  <c r="L45" i="29"/>
  <c r="N20" i="29"/>
  <c r="N45" i="29"/>
  <c r="O45" i="29"/>
  <c r="J6" i="29"/>
  <c r="B19" i="31"/>
  <c r="B40" i="27"/>
  <c r="C40" i="27"/>
  <c r="D40" i="27"/>
  <c r="C71" i="27"/>
  <c r="B71" i="27"/>
  <c r="D71" i="27"/>
  <c r="F71" i="27"/>
  <c r="C68" i="27"/>
  <c r="C66" i="27"/>
  <c r="C61" i="27"/>
  <c r="C56" i="27"/>
  <c r="C50" i="27"/>
  <c r="C44" i="27"/>
  <c r="B68" i="27"/>
  <c r="B66" i="27"/>
  <c r="D66" i="27"/>
  <c r="F66" i="27"/>
  <c r="B61" i="27"/>
  <c r="D61" i="27"/>
  <c r="F61" i="27"/>
  <c r="B56" i="27"/>
  <c r="D56" i="27"/>
  <c r="F56" i="27"/>
  <c r="B50" i="27"/>
  <c r="D50" i="27"/>
  <c r="B44" i="27"/>
  <c r="D44" i="27"/>
  <c r="C58" i="27"/>
  <c r="C48" i="27"/>
  <c r="C38" i="27"/>
  <c r="C28" i="27"/>
  <c r="C18" i="27"/>
  <c r="B58" i="27"/>
  <c r="B48" i="27"/>
  <c r="B38" i="27"/>
  <c r="B28" i="27"/>
  <c r="B18" i="27"/>
  <c r="C8" i="27"/>
  <c r="B8" i="27"/>
  <c r="K61" i="29"/>
  <c r="K60" i="29"/>
  <c r="K59" i="29"/>
  <c r="K58" i="29"/>
  <c r="K57" i="29"/>
  <c r="K56" i="29"/>
  <c r="L50" i="29"/>
  <c r="K50" i="29"/>
  <c r="L49" i="29"/>
  <c r="M49" i="29"/>
  <c r="K49" i="29"/>
  <c r="L48" i="29"/>
  <c r="M48" i="29"/>
  <c r="K48" i="29"/>
  <c r="K47" i="29"/>
  <c r="M46" i="29"/>
  <c r="K46" i="29"/>
  <c r="K45" i="29"/>
  <c r="I26" i="29"/>
  <c r="H26" i="29"/>
  <c r="G26" i="29"/>
  <c r="E26" i="29"/>
  <c r="D26" i="29"/>
  <c r="C26" i="29"/>
  <c r="B26" i="29"/>
  <c r="N25" i="29"/>
  <c r="N50" i="29"/>
  <c r="I25" i="29"/>
  <c r="H25" i="29"/>
  <c r="G25" i="29"/>
  <c r="E25" i="29"/>
  <c r="D25" i="29"/>
  <c r="C25" i="29"/>
  <c r="B25" i="29"/>
  <c r="N24" i="29"/>
  <c r="I24" i="29"/>
  <c r="H24" i="29"/>
  <c r="G24" i="29"/>
  <c r="E24" i="29"/>
  <c r="D24" i="29"/>
  <c r="C24" i="29"/>
  <c r="B24" i="29"/>
  <c r="N23" i="29"/>
  <c r="I23" i="29"/>
  <c r="H23" i="29"/>
  <c r="G23" i="29"/>
  <c r="E23" i="29"/>
  <c r="D23" i="29"/>
  <c r="C23" i="29"/>
  <c r="B23" i="29"/>
  <c r="I22" i="29"/>
  <c r="H22" i="29"/>
  <c r="G22" i="29"/>
  <c r="E22" i="29"/>
  <c r="D22" i="29"/>
  <c r="C22" i="29"/>
  <c r="B22" i="29"/>
  <c r="I21" i="29"/>
  <c r="H21" i="29"/>
  <c r="G21" i="29"/>
  <c r="F21" i="29"/>
  <c r="C21" i="29"/>
  <c r="B21" i="29"/>
  <c r="I20" i="29"/>
  <c r="H20" i="29"/>
  <c r="G20" i="29"/>
  <c r="F20" i="29"/>
  <c r="C20" i="29"/>
  <c r="B20" i="29"/>
  <c r="N19" i="29"/>
  <c r="I19" i="29"/>
  <c r="H19" i="29"/>
  <c r="G19" i="29"/>
  <c r="F19" i="29"/>
  <c r="C19" i="29"/>
  <c r="B19" i="29"/>
  <c r="C99" i="25"/>
  <c r="I5" i="15"/>
  <c r="C104" i="25"/>
  <c r="J5" i="15"/>
  <c r="G7" i="11"/>
  <c r="D16" i="33"/>
  <c r="C16" i="33"/>
  <c r="B19" i="33"/>
  <c r="D48" i="27"/>
  <c r="F48" i="27"/>
  <c r="D28" i="27"/>
  <c r="D58" i="27"/>
  <c r="D38" i="27"/>
  <c r="F38" i="27"/>
  <c r="D8" i="27"/>
  <c r="D18" i="27"/>
  <c r="D68" i="27"/>
  <c r="F68" i="27"/>
  <c r="O50" i="29"/>
  <c r="N48" i="29"/>
  <c r="O48" i="29"/>
  <c r="N49" i="29"/>
  <c r="O49" i="29"/>
  <c r="I10" i="29"/>
  <c r="M44" i="29"/>
  <c r="N44" i="29"/>
  <c r="O44" i="29"/>
  <c r="J5" i="29"/>
  <c r="B9" i="31"/>
  <c r="I14" i="29"/>
  <c r="I9" i="29"/>
  <c r="I13" i="29"/>
  <c r="M45" i="29"/>
  <c r="K44" i="29"/>
  <c r="M50" i="29"/>
  <c r="M47" i="29"/>
  <c r="D19" i="33"/>
  <c r="C19" i="33"/>
  <c r="C16" i="32"/>
  <c r="B19" i="32"/>
  <c r="C19" i="32"/>
  <c r="D16" i="32"/>
  <c r="I16" i="29"/>
  <c r="I12" i="29"/>
  <c r="I15" i="29"/>
  <c r="I11" i="29"/>
  <c r="M9" i="15"/>
  <c r="J19" i="23"/>
  <c r="I5" i="23"/>
  <c r="I19" i="23"/>
  <c r="H19" i="23"/>
  <c r="G19" i="23"/>
  <c r="F19" i="23"/>
  <c r="E19" i="23"/>
  <c r="D19" i="23"/>
  <c r="C19" i="23"/>
  <c r="B19" i="23"/>
  <c r="H9" i="15"/>
  <c r="G9" i="15"/>
  <c r="F9" i="15"/>
  <c r="E9" i="15"/>
  <c r="D9" i="15"/>
  <c r="C9" i="15"/>
  <c r="B9" i="15"/>
  <c r="B6" i="10"/>
  <c r="D8" i="10"/>
  <c r="F8" i="10"/>
  <c r="B8" i="10"/>
  <c r="B9" i="10"/>
  <c r="B10" i="10"/>
  <c r="D11" i="10"/>
  <c r="F11" i="10"/>
  <c r="B11" i="10"/>
  <c r="B16" i="10"/>
  <c r="D25" i="10"/>
  <c r="F16" i="11"/>
  <c r="D24" i="10"/>
  <c r="F18" i="11"/>
  <c r="D27" i="10"/>
  <c r="F17" i="11"/>
  <c r="D26" i="10"/>
  <c r="F15" i="11"/>
  <c r="D18" i="10"/>
  <c r="F14" i="11"/>
  <c r="F5" i="11"/>
  <c r="F7" i="15"/>
  <c r="C48" i="25"/>
  <c r="D17" i="10"/>
  <c r="F13" i="11"/>
  <c r="D151" i="25"/>
  <c r="F4" i="11"/>
  <c r="G6" i="15"/>
  <c r="B58" i="25"/>
  <c r="F21" i="11"/>
  <c r="F20" i="11"/>
  <c r="D19" i="32"/>
  <c r="H6" i="15"/>
  <c r="G7" i="15"/>
  <c r="C58" i="25"/>
  <c r="F6" i="11"/>
  <c r="K8" i="15"/>
  <c r="D108" i="25"/>
  <c r="F6" i="15"/>
  <c r="G8" i="15"/>
  <c r="F8" i="15"/>
  <c r="D48" i="25"/>
  <c r="B48" i="25"/>
  <c r="H7" i="15"/>
  <c r="B68" i="25"/>
  <c r="B9" i="14"/>
  <c r="F7" i="11"/>
  <c r="D146" i="25"/>
  <c r="F5" i="15"/>
  <c r="E48" i="25"/>
  <c r="C9" i="14"/>
  <c r="C68" i="25"/>
  <c r="H8" i="15"/>
  <c r="D68" i="25"/>
  <c r="E68" i="25"/>
  <c r="D58" i="25"/>
  <c r="E58" i="25"/>
  <c r="G5" i="15"/>
  <c r="J11" i="5"/>
  <c r="J8" i="5"/>
  <c r="L18" i="5"/>
  <c r="B17" i="11"/>
  <c r="L17" i="5"/>
  <c r="B16" i="11"/>
  <c r="B6" i="11"/>
  <c r="B8" i="15"/>
  <c r="D8" i="25"/>
  <c r="H5" i="15"/>
  <c r="I8" i="23"/>
  <c r="P8" i="23"/>
  <c r="O8" i="23"/>
  <c r="N8" i="23"/>
  <c r="M8" i="23"/>
  <c r="L8" i="23"/>
  <c r="K8" i="23"/>
  <c r="J8" i="23"/>
  <c r="H8" i="23"/>
  <c r="G8" i="23"/>
  <c r="F8" i="23"/>
  <c r="E8" i="23"/>
  <c r="D8" i="23"/>
  <c r="C8" i="23"/>
  <c r="B8" i="23"/>
  <c r="D18" i="23"/>
  <c r="E18" i="23"/>
  <c r="F18" i="23"/>
  <c r="G18" i="23"/>
  <c r="H18" i="23"/>
  <c r="I18" i="23"/>
  <c r="J18" i="23"/>
  <c r="K18" i="23"/>
  <c r="L18" i="23"/>
  <c r="M18" i="23"/>
  <c r="N18" i="23"/>
  <c r="O18" i="23"/>
  <c r="P18" i="23"/>
  <c r="A7" i="21"/>
  <c r="A8" i="21"/>
  <c r="A9" i="21"/>
  <c r="A10" i="21"/>
  <c r="A11" i="21"/>
  <c r="A12" i="21"/>
  <c r="A13" i="21"/>
  <c r="A14" i="21"/>
  <c r="A15" i="21"/>
  <c r="A16" i="21"/>
  <c r="A17" i="21"/>
  <c r="A18" i="21"/>
  <c r="A19" i="21"/>
  <c r="S39" i="17"/>
  <c r="C39" i="17"/>
  <c r="R39" i="17"/>
  <c r="D39" i="17"/>
  <c r="AG19" i="20"/>
  <c r="B39" i="17"/>
  <c r="K39" i="17"/>
  <c r="L39" i="17"/>
  <c r="M39" i="17"/>
  <c r="H39" i="17"/>
  <c r="N39" i="17"/>
  <c r="O39" i="17"/>
  <c r="I39" i="17"/>
  <c r="P39" i="17"/>
  <c r="Q39" i="17"/>
  <c r="F39" i="17"/>
  <c r="E39" i="17"/>
  <c r="J39" i="17"/>
  <c r="S37" i="17"/>
  <c r="C37" i="17"/>
  <c r="R37" i="17"/>
  <c r="D37" i="17"/>
  <c r="AG18" i="20"/>
  <c r="B37" i="17"/>
  <c r="K37" i="17"/>
  <c r="L37" i="17"/>
  <c r="M37" i="17"/>
  <c r="H37" i="17"/>
  <c r="N37" i="17"/>
  <c r="O37" i="17"/>
  <c r="I37" i="17"/>
  <c r="P37" i="17"/>
  <c r="Q37" i="17"/>
  <c r="F37" i="17"/>
  <c r="E37" i="17"/>
  <c r="J37" i="17"/>
  <c r="S35" i="17"/>
  <c r="S36" i="17"/>
  <c r="C36" i="17"/>
  <c r="R35" i="17"/>
  <c r="R36" i="17"/>
  <c r="D36" i="17"/>
  <c r="O18" i="18"/>
  <c r="H18" i="18"/>
  <c r="B35" i="17"/>
  <c r="B36" i="17"/>
  <c r="K35" i="17"/>
  <c r="K36" i="17"/>
  <c r="L35" i="17"/>
  <c r="L36" i="17"/>
  <c r="M35" i="17"/>
  <c r="M36" i="17"/>
  <c r="H36" i="17"/>
  <c r="N35" i="17"/>
  <c r="N36" i="17"/>
  <c r="O35" i="17"/>
  <c r="O36" i="17"/>
  <c r="I36" i="17"/>
  <c r="P35" i="17"/>
  <c r="P36" i="17"/>
  <c r="Q35" i="17"/>
  <c r="Q36" i="17"/>
  <c r="F36" i="17"/>
  <c r="E36" i="17"/>
  <c r="J36" i="17"/>
  <c r="C35" i="17"/>
  <c r="D35" i="17"/>
  <c r="H35" i="17"/>
  <c r="I35" i="17"/>
  <c r="F35" i="17"/>
  <c r="E35" i="17"/>
  <c r="J35" i="17"/>
  <c r="S33" i="17"/>
  <c r="C33" i="17"/>
  <c r="R33" i="17"/>
  <c r="D33" i="17"/>
  <c r="O17" i="18"/>
  <c r="H17" i="18"/>
  <c r="B33" i="17"/>
  <c r="K33" i="17"/>
  <c r="L33" i="17"/>
  <c r="M33" i="17"/>
  <c r="H33" i="17"/>
  <c r="N33" i="17"/>
  <c r="O33" i="17"/>
  <c r="I33" i="17"/>
  <c r="P33" i="17"/>
  <c r="Q33" i="17"/>
  <c r="F33" i="17"/>
  <c r="E33" i="17"/>
  <c r="J33" i="17"/>
  <c r="S31" i="17"/>
  <c r="C31" i="17"/>
  <c r="R31" i="17"/>
  <c r="D31" i="17"/>
  <c r="O16" i="18"/>
  <c r="H16" i="18"/>
  <c r="B31" i="17"/>
  <c r="K31" i="17"/>
  <c r="L31" i="17"/>
  <c r="M31" i="17"/>
  <c r="H31" i="17"/>
  <c r="N31" i="17"/>
  <c r="O31" i="17"/>
  <c r="I31" i="17"/>
  <c r="P31" i="17"/>
  <c r="Q31" i="17"/>
  <c r="F31" i="17"/>
  <c r="E31" i="17"/>
  <c r="J31" i="17"/>
  <c r="S29" i="17"/>
  <c r="C29" i="17"/>
  <c r="R29" i="17"/>
  <c r="D29" i="17"/>
  <c r="O15" i="18"/>
  <c r="H15" i="18"/>
  <c r="B29" i="17"/>
  <c r="K29" i="17"/>
  <c r="L29" i="17"/>
  <c r="M29" i="17"/>
  <c r="H29" i="17"/>
  <c r="N29" i="17"/>
  <c r="O29" i="17"/>
  <c r="I29" i="17"/>
  <c r="P29" i="17"/>
  <c r="Q29" i="17"/>
  <c r="F29" i="17"/>
  <c r="E29" i="17"/>
  <c r="J29" i="17"/>
  <c r="S25" i="17"/>
  <c r="C25" i="17"/>
  <c r="R25" i="17"/>
  <c r="D25" i="17"/>
  <c r="O14" i="18"/>
  <c r="H14" i="18"/>
  <c r="B25" i="17"/>
  <c r="K25" i="17"/>
  <c r="L25" i="17"/>
  <c r="M25" i="17"/>
  <c r="H25" i="17"/>
  <c r="N25" i="17"/>
  <c r="O25" i="17"/>
  <c r="I25" i="17"/>
  <c r="P25" i="17"/>
  <c r="Q25" i="17"/>
  <c r="F25" i="17"/>
  <c r="E25" i="17"/>
  <c r="J25" i="17"/>
  <c r="S21" i="17"/>
  <c r="C21" i="17"/>
  <c r="R21" i="17"/>
  <c r="D21" i="17"/>
  <c r="O13" i="18"/>
  <c r="H13" i="18"/>
  <c r="B21" i="17"/>
  <c r="K21" i="17"/>
  <c r="L21" i="17"/>
  <c r="M21" i="17"/>
  <c r="H21" i="17"/>
  <c r="N21" i="17"/>
  <c r="O21" i="17"/>
  <c r="I21" i="17"/>
  <c r="P21" i="17"/>
  <c r="Q21" i="17"/>
  <c r="F21" i="17"/>
  <c r="E21" i="17"/>
  <c r="J21" i="17"/>
  <c r="S16" i="17"/>
  <c r="C16" i="17"/>
  <c r="R16" i="17"/>
  <c r="D16" i="17"/>
  <c r="O12" i="18"/>
  <c r="H12" i="18"/>
  <c r="B16" i="17"/>
  <c r="K16" i="17"/>
  <c r="L16" i="17"/>
  <c r="M16" i="17"/>
  <c r="H16" i="17"/>
  <c r="N16" i="17"/>
  <c r="O16" i="17"/>
  <c r="I16" i="17"/>
  <c r="P16" i="17"/>
  <c r="Q16" i="17"/>
  <c r="F16" i="17"/>
  <c r="E16" i="17"/>
  <c r="J16" i="17"/>
  <c r="S4" i="17"/>
  <c r="S10" i="17"/>
  <c r="C10" i="17"/>
  <c r="R4" i="17"/>
  <c r="R10" i="17"/>
  <c r="D10" i="17"/>
  <c r="O11" i="18"/>
  <c r="H11" i="18"/>
  <c r="B4" i="17"/>
  <c r="B10" i="17"/>
  <c r="K4" i="17"/>
  <c r="K10" i="17"/>
  <c r="L4" i="17"/>
  <c r="L10" i="17"/>
  <c r="M4" i="17"/>
  <c r="M10" i="17"/>
  <c r="H10" i="17"/>
  <c r="N4" i="17"/>
  <c r="N10" i="17"/>
  <c r="O4" i="17"/>
  <c r="O10" i="17"/>
  <c r="I10" i="17"/>
  <c r="P4" i="17"/>
  <c r="P10" i="17"/>
  <c r="Q4" i="17"/>
  <c r="Q10" i="17"/>
  <c r="F10" i="17"/>
  <c r="E10" i="17"/>
  <c r="J10" i="17"/>
  <c r="C4" i="17"/>
  <c r="D4" i="17"/>
  <c r="H4" i="17"/>
  <c r="I4" i="17"/>
  <c r="F4" i="17"/>
  <c r="E4" i="17"/>
  <c r="J4" i="17"/>
  <c r="G39" i="17"/>
  <c r="G37" i="17"/>
  <c r="G36" i="17"/>
  <c r="G35" i="17"/>
  <c r="G33" i="17"/>
  <c r="G31" i="17"/>
  <c r="G29" i="17"/>
  <c r="G25" i="17"/>
  <c r="G21" i="17"/>
  <c r="G16" i="17"/>
  <c r="G10" i="17"/>
  <c r="G4" i="17"/>
  <c r="Q3" i="17"/>
  <c r="P3" i="17"/>
  <c r="O3" i="17"/>
  <c r="N3" i="17"/>
  <c r="M3" i="17"/>
  <c r="L3" i="17"/>
  <c r="K3" i="17"/>
  <c r="S3" i="17"/>
  <c r="R3" i="17"/>
  <c r="L10" i="20"/>
  <c r="AG9" i="20"/>
  <c r="Z9" i="20"/>
  <c r="AG8" i="20"/>
  <c r="Z8" i="20"/>
  <c r="B8" i="20"/>
  <c r="AA9" i="20"/>
  <c r="AA8" i="20"/>
  <c r="C8" i="20"/>
  <c r="AB9" i="20"/>
  <c r="AB8" i="20"/>
  <c r="D8" i="20"/>
  <c r="AC9" i="20"/>
  <c r="AC8" i="20"/>
  <c r="E8" i="20"/>
  <c r="AD9" i="20"/>
  <c r="AD8" i="20"/>
  <c r="F8" i="20"/>
  <c r="I8" i="20"/>
  <c r="J8" i="20"/>
  <c r="K8" i="20"/>
  <c r="L8" i="20"/>
  <c r="M8" i="20"/>
  <c r="N8" i="20"/>
  <c r="O8" i="20"/>
  <c r="P8" i="20"/>
  <c r="Q8" i="20"/>
  <c r="R8" i="20"/>
  <c r="S8" i="20"/>
  <c r="T8" i="20"/>
  <c r="U8" i="20"/>
  <c r="V8" i="20"/>
  <c r="W8" i="20"/>
  <c r="AG10" i="20"/>
  <c r="Z10" i="20"/>
  <c r="B9" i="20"/>
  <c r="AA10" i="20"/>
  <c r="C9" i="20"/>
  <c r="AB10" i="20"/>
  <c r="D9" i="20"/>
  <c r="AC10" i="20"/>
  <c r="E9" i="20"/>
  <c r="AD10" i="20"/>
  <c r="F9" i="20"/>
  <c r="I9" i="20"/>
  <c r="J9" i="20"/>
  <c r="K9" i="20"/>
  <c r="L9" i="20"/>
  <c r="M9" i="20"/>
  <c r="N9" i="20"/>
  <c r="O9" i="20"/>
  <c r="P9" i="20"/>
  <c r="Q9" i="20"/>
  <c r="R9" i="20"/>
  <c r="S9" i="20"/>
  <c r="T9" i="20"/>
  <c r="U9" i="20"/>
  <c r="V9" i="20"/>
  <c r="W9" i="20"/>
  <c r="AG11" i="20"/>
  <c r="Z11" i="20"/>
  <c r="B10" i="20"/>
  <c r="AA11" i="20"/>
  <c r="C10" i="20"/>
  <c r="AB11" i="20"/>
  <c r="D10" i="20"/>
  <c r="AC11" i="20"/>
  <c r="E10" i="20"/>
  <c r="AD11" i="20"/>
  <c r="F10" i="20"/>
  <c r="I10" i="20"/>
  <c r="J10" i="20"/>
  <c r="K10" i="20"/>
  <c r="M10" i="20"/>
  <c r="N10" i="20"/>
  <c r="O10" i="20"/>
  <c r="P10" i="20"/>
  <c r="Q10" i="20"/>
  <c r="R10" i="20"/>
  <c r="S10" i="20"/>
  <c r="T10" i="20"/>
  <c r="U10" i="20"/>
  <c r="V10" i="20"/>
  <c r="W10" i="20"/>
  <c r="AG12" i="20"/>
  <c r="Z12" i="20"/>
  <c r="B11" i="20"/>
  <c r="AA12" i="20"/>
  <c r="C11" i="20"/>
  <c r="AB12" i="20"/>
  <c r="D11" i="20"/>
  <c r="AC12" i="20"/>
  <c r="E11" i="20"/>
  <c r="AD12" i="20"/>
  <c r="F11" i="20"/>
  <c r="I11" i="20"/>
  <c r="J11" i="20"/>
  <c r="K11" i="20"/>
  <c r="L11" i="20"/>
  <c r="M11" i="20"/>
  <c r="N11" i="20"/>
  <c r="O11" i="20"/>
  <c r="P11" i="20"/>
  <c r="Q11" i="20"/>
  <c r="R11" i="20"/>
  <c r="S11" i="20"/>
  <c r="T11" i="20"/>
  <c r="U11" i="20"/>
  <c r="V11" i="20"/>
  <c r="W11" i="20"/>
  <c r="AG13" i="20"/>
  <c r="Z13" i="20"/>
  <c r="B12" i="20"/>
  <c r="AA13" i="20"/>
  <c r="C12" i="20"/>
  <c r="AB13" i="20"/>
  <c r="D12" i="20"/>
  <c r="AC13" i="20"/>
  <c r="E12" i="20"/>
  <c r="AD13" i="20"/>
  <c r="F12" i="20"/>
  <c r="I12" i="20"/>
  <c r="J12" i="20"/>
  <c r="K12" i="20"/>
  <c r="L12" i="20"/>
  <c r="M12" i="20"/>
  <c r="N12" i="20"/>
  <c r="O12" i="20"/>
  <c r="P12" i="20"/>
  <c r="Q12" i="20"/>
  <c r="R12" i="20"/>
  <c r="S12" i="20"/>
  <c r="T12" i="20"/>
  <c r="U12" i="20"/>
  <c r="V12" i="20"/>
  <c r="W12" i="20"/>
  <c r="AG14" i="20"/>
  <c r="Z14" i="20"/>
  <c r="B13" i="20"/>
  <c r="AA14" i="20"/>
  <c r="C13" i="20"/>
  <c r="AB14" i="20"/>
  <c r="D13" i="20"/>
  <c r="AC14" i="20"/>
  <c r="E13" i="20"/>
  <c r="AD14" i="20"/>
  <c r="F13" i="20"/>
  <c r="I13" i="20"/>
  <c r="J13" i="20"/>
  <c r="K13" i="20"/>
  <c r="L13" i="20"/>
  <c r="M13" i="20"/>
  <c r="N13" i="20"/>
  <c r="O13" i="20"/>
  <c r="P13" i="20"/>
  <c r="Q13" i="20"/>
  <c r="R13" i="20"/>
  <c r="S13" i="20"/>
  <c r="T13" i="20"/>
  <c r="U13" i="20"/>
  <c r="V13" i="20"/>
  <c r="W13" i="20"/>
  <c r="AG15" i="20"/>
  <c r="Z15" i="20"/>
  <c r="B14" i="20"/>
  <c r="AA15" i="20"/>
  <c r="C14" i="20"/>
  <c r="AB15" i="20"/>
  <c r="D14" i="20"/>
  <c r="AC15" i="20"/>
  <c r="E14" i="20"/>
  <c r="AD15" i="20"/>
  <c r="F14" i="20"/>
  <c r="I14" i="20"/>
  <c r="J14" i="20"/>
  <c r="K14" i="20"/>
  <c r="L14" i="20"/>
  <c r="M14" i="20"/>
  <c r="N14" i="20"/>
  <c r="O14" i="20"/>
  <c r="P14" i="20"/>
  <c r="Q14" i="20"/>
  <c r="R14" i="20"/>
  <c r="S14" i="20"/>
  <c r="T14" i="20"/>
  <c r="U14" i="20"/>
  <c r="V14" i="20"/>
  <c r="W14" i="20"/>
  <c r="AG16" i="20"/>
  <c r="Z16" i="20"/>
  <c r="B15" i="20"/>
  <c r="AA16" i="20"/>
  <c r="C15" i="20"/>
  <c r="AB16" i="20"/>
  <c r="D15" i="20"/>
  <c r="AC16" i="20"/>
  <c r="E15" i="20"/>
  <c r="AD16" i="20"/>
  <c r="F15" i="20"/>
  <c r="I15" i="20"/>
  <c r="J15" i="20"/>
  <c r="K15" i="20"/>
  <c r="L15" i="20"/>
  <c r="M15" i="20"/>
  <c r="N15" i="20"/>
  <c r="O15" i="20"/>
  <c r="P15" i="20"/>
  <c r="Q15" i="20"/>
  <c r="R15" i="20"/>
  <c r="S15" i="20"/>
  <c r="T15" i="20"/>
  <c r="U15" i="20"/>
  <c r="V15" i="20"/>
  <c r="W15" i="20"/>
  <c r="AG17" i="20"/>
  <c r="Z17" i="20"/>
  <c r="B16" i="20"/>
  <c r="AA17" i="20"/>
  <c r="C16" i="20"/>
  <c r="AB17" i="20"/>
  <c r="D16" i="20"/>
  <c r="AC17" i="20"/>
  <c r="E16" i="20"/>
  <c r="AD17" i="20"/>
  <c r="F16" i="20"/>
  <c r="I16" i="20"/>
  <c r="J16" i="20"/>
  <c r="K16" i="20"/>
  <c r="L16" i="20"/>
  <c r="M16" i="20"/>
  <c r="N16" i="20"/>
  <c r="O16" i="20"/>
  <c r="P16" i="20"/>
  <c r="Q16" i="20"/>
  <c r="R16" i="20"/>
  <c r="S16" i="20"/>
  <c r="T16" i="20"/>
  <c r="U16" i="20"/>
  <c r="V16" i="20"/>
  <c r="W16" i="20"/>
  <c r="Z18" i="20"/>
  <c r="B17" i="20"/>
  <c r="AA18" i="20"/>
  <c r="C17" i="20"/>
  <c r="AB18" i="20"/>
  <c r="D17" i="20"/>
  <c r="AC18" i="20"/>
  <c r="E17" i="20"/>
  <c r="AD18" i="20"/>
  <c r="F17" i="20"/>
  <c r="I17" i="20"/>
  <c r="J17" i="20"/>
  <c r="K17" i="20"/>
  <c r="L17" i="20"/>
  <c r="M17" i="20"/>
  <c r="N17" i="20"/>
  <c r="O17" i="20"/>
  <c r="P17" i="20"/>
  <c r="Q17" i="20"/>
  <c r="R17" i="20"/>
  <c r="S17" i="20"/>
  <c r="T17" i="20"/>
  <c r="U17" i="20"/>
  <c r="V17" i="20"/>
  <c r="W17" i="20"/>
  <c r="Z19" i="20"/>
  <c r="B18" i="20"/>
  <c r="AA19" i="20"/>
  <c r="C18" i="20"/>
  <c r="AB19" i="20"/>
  <c r="D18" i="20"/>
  <c r="AC19" i="20"/>
  <c r="E18" i="20"/>
  <c r="AD19" i="20"/>
  <c r="F18" i="20"/>
  <c r="I18" i="20"/>
  <c r="J18" i="20"/>
  <c r="K18" i="20"/>
  <c r="L18" i="20"/>
  <c r="M18" i="20"/>
  <c r="N18" i="20"/>
  <c r="O18" i="20"/>
  <c r="P18" i="20"/>
  <c r="Q18" i="20"/>
  <c r="R18" i="20"/>
  <c r="S18" i="20"/>
  <c r="T18" i="20"/>
  <c r="U18" i="20"/>
  <c r="V18" i="20"/>
  <c r="W18" i="20"/>
  <c r="AG20" i="20"/>
  <c r="Z20" i="20"/>
  <c r="B19" i="20"/>
  <c r="AA20" i="20"/>
  <c r="C19" i="20"/>
  <c r="AB20" i="20"/>
  <c r="D19" i="20"/>
  <c r="AC20" i="20"/>
  <c r="E19" i="20"/>
  <c r="AD20" i="20"/>
  <c r="F19" i="20"/>
  <c r="I19" i="20"/>
  <c r="J19" i="20"/>
  <c r="K19" i="20"/>
  <c r="L19" i="20"/>
  <c r="M19" i="20"/>
  <c r="N19" i="20"/>
  <c r="O19" i="20"/>
  <c r="P19" i="20"/>
  <c r="Q19" i="20"/>
  <c r="R19" i="20"/>
  <c r="S19" i="20"/>
  <c r="T19" i="20"/>
  <c r="U19" i="20"/>
  <c r="V19" i="20"/>
  <c r="W19" i="20"/>
  <c r="AG21" i="20"/>
  <c r="Z21" i="20"/>
  <c r="B20" i="20"/>
  <c r="AA21" i="20"/>
  <c r="C20" i="20"/>
  <c r="AB21" i="20"/>
  <c r="D20" i="20"/>
  <c r="AC21" i="20"/>
  <c r="E20" i="20"/>
  <c r="AD21" i="20"/>
  <c r="F20" i="20"/>
  <c r="I20" i="20"/>
  <c r="J20" i="20"/>
  <c r="K20" i="20"/>
  <c r="L20" i="20"/>
  <c r="M20" i="20"/>
  <c r="N20" i="20"/>
  <c r="O20" i="20"/>
  <c r="P20" i="20"/>
  <c r="Q20" i="20"/>
  <c r="R20" i="20"/>
  <c r="S20" i="20"/>
  <c r="T20" i="20"/>
  <c r="U20" i="20"/>
  <c r="V20" i="20"/>
  <c r="W20" i="20"/>
  <c r="AG22" i="20"/>
  <c r="Z22" i="20"/>
  <c r="B21" i="20"/>
  <c r="AA22" i="20"/>
  <c r="C21" i="20"/>
  <c r="AB22" i="20"/>
  <c r="D21" i="20"/>
  <c r="AC22" i="20"/>
  <c r="E21" i="20"/>
  <c r="AD22" i="20"/>
  <c r="F21" i="20"/>
  <c r="I21" i="20"/>
  <c r="J21" i="20"/>
  <c r="K21" i="20"/>
  <c r="L21" i="20"/>
  <c r="M21" i="20"/>
  <c r="N21" i="20"/>
  <c r="O21" i="20"/>
  <c r="P21" i="20"/>
  <c r="Q21" i="20"/>
  <c r="R21" i="20"/>
  <c r="S21" i="20"/>
  <c r="T21" i="20"/>
  <c r="U21" i="20"/>
  <c r="V21" i="20"/>
  <c r="W21" i="20"/>
  <c r="AG23" i="20"/>
  <c r="Z23" i="20"/>
  <c r="B22" i="20"/>
  <c r="AA23" i="20"/>
  <c r="C22" i="20"/>
  <c r="AB23" i="20"/>
  <c r="D22" i="20"/>
  <c r="AC23" i="20"/>
  <c r="E22" i="20"/>
  <c r="AD23" i="20"/>
  <c r="F22" i="20"/>
  <c r="I22" i="20"/>
  <c r="J22" i="20"/>
  <c r="K22" i="20"/>
  <c r="L22" i="20"/>
  <c r="M22" i="20"/>
  <c r="N22" i="20"/>
  <c r="O22" i="20"/>
  <c r="P22" i="20"/>
  <c r="Q22" i="20"/>
  <c r="R22" i="20"/>
  <c r="S22" i="20"/>
  <c r="T22" i="20"/>
  <c r="U22" i="20"/>
  <c r="V22" i="20"/>
  <c r="W22" i="20"/>
  <c r="AG24" i="20"/>
  <c r="Z24" i="20"/>
  <c r="B23" i="20"/>
  <c r="AA24" i="20"/>
  <c r="C23" i="20"/>
  <c r="AB24" i="20"/>
  <c r="D23" i="20"/>
  <c r="AC24" i="20"/>
  <c r="E23" i="20"/>
  <c r="AD24" i="20"/>
  <c r="F23" i="20"/>
  <c r="I23" i="20"/>
  <c r="J23" i="20"/>
  <c r="K23" i="20"/>
  <c r="L23" i="20"/>
  <c r="M23" i="20"/>
  <c r="N23" i="20"/>
  <c r="O23" i="20"/>
  <c r="P23" i="20"/>
  <c r="Q23" i="20"/>
  <c r="R23" i="20"/>
  <c r="S23" i="20"/>
  <c r="T23" i="20"/>
  <c r="U23" i="20"/>
  <c r="V23" i="20"/>
  <c r="W23" i="20"/>
  <c r="AG25" i="20"/>
  <c r="Z25" i="20"/>
  <c r="B24" i="20"/>
  <c r="AA25" i="20"/>
  <c r="C24" i="20"/>
  <c r="AB25" i="20"/>
  <c r="D24" i="20"/>
  <c r="AC25" i="20"/>
  <c r="E24" i="20"/>
  <c r="AD25" i="20"/>
  <c r="F24" i="20"/>
  <c r="I24" i="20"/>
  <c r="J24" i="20"/>
  <c r="K24" i="20"/>
  <c r="L24" i="20"/>
  <c r="M24" i="20"/>
  <c r="N24" i="20"/>
  <c r="O24" i="20"/>
  <c r="P24" i="20"/>
  <c r="Q24" i="20"/>
  <c r="R24" i="20"/>
  <c r="S24" i="20"/>
  <c r="T24" i="20"/>
  <c r="U24" i="20"/>
  <c r="V24" i="20"/>
  <c r="W24" i="20"/>
  <c r="AG26" i="20"/>
  <c r="Z26" i="20"/>
  <c r="B25" i="20"/>
  <c r="AA26" i="20"/>
  <c r="C25" i="20"/>
  <c r="AB26" i="20"/>
  <c r="D25" i="20"/>
  <c r="AC26" i="20"/>
  <c r="E25" i="20"/>
  <c r="AD26" i="20"/>
  <c r="F25" i="20"/>
  <c r="I25" i="20"/>
  <c r="J25" i="20"/>
  <c r="K25" i="20"/>
  <c r="L25" i="20"/>
  <c r="M25" i="20"/>
  <c r="N25" i="20"/>
  <c r="O25" i="20"/>
  <c r="P25" i="20"/>
  <c r="Q25" i="20"/>
  <c r="R25" i="20"/>
  <c r="S25" i="20"/>
  <c r="T25" i="20"/>
  <c r="U25" i="20"/>
  <c r="V25" i="20"/>
  <c r="W25" i="20"/>
  <c r="AG27" i="20"/>
  <c r="Z27" i="20"/>
  <c r="B26" i="20"/>
  <c r="AA27" i="20"/>
  <c r="C26" i="20"/>
  <c r="AB27" i="20"/>
  <c r="D26" i="20"/>
  <c r="AC27" i="20"/>
  <c r="E26" i="20"/>
  <c r="AD27" i="20"/>
  <c r="F26" i="20"/>
  <c r="I26" i="20"/>
  <c r="J26" i="20"/>
  <c r="K26" i="20"/>
  <c r="L26" i="20"/>
  <c r="M26" i="20"/>
  <c r="N26" i="20"/>
  <c r="O26" i="20"/>
  <c r="P26" i="20"/>
  <c r="Q26" i="20"/>
  <c r="R26" i="20"/>
  <c r="S26" i="20"/>
  <c r="T26" i="20"/>
  <c r="U26" i="20"/>
  <c r="V26" i="20"/>
  <c r="W26" i="20"/>
  <c r="AG28" i="20"/>
  <c r="Z28" i="20"/>
  <c r="B27" i="20"/>
  <c r="AA28" i="20"/>
  <c r="C27" i="20"/>
  <c r="AB28" i="20"/>
  <c r="D27" i="20"/>
  <c r="AC28" i="20"/>
  <c r="E27" i="20"/>
  <c r="AD28" i="20"/>
  <c r="F27" i="20"/>
  <c r="I27" i="20"/>
  <c r="J27" i="20"/>
  <c r="K27" i="20"/>
  <c r="L27" i="20"/>
  <c r="M27" i="20"/>
  <c r="N27" i="20"/>
  <c r="O27" i="20"/>
  <c r="P27" i="20"/>
  <c r="Q27" i="20"/>
  <c r="R27" i="20"/>
  <c r="S27" i="20"/>
  <c r="T27" i="20"/>
  <c r="U27" i="20"/>
  <c r="V27" i="20"/>
  <c r="W27" i="20"/>
  <c r="AG29" i="20"/>
  <c r="Z29" i="20"/>
  <c r="B28" i="20"/>
  <c r="AA29" i="20"/>
  <c r="C28" i="20"/>
  <c r="AB29" i="20"/>
  <c r="D28" i="20"/>
  <c r="AC29" i="20"/>
  <c r="E28" i="20"/>
  <c r="AD29" i="20"/>
  <c r="F28" i="20"/>
  <c r="I28" i="20"/>
  <c r="J28" i="20"/>
  <c r="K28" i="20"/>
  <c r="L28" i="20"/>
  <c r="M28" i="20"/>
  <c r="N28" i="20"/>
  <c r="O28" i="20"/>
  <c r="P28" i="20"/>
  <c r="Q28" i="20"/>
  <c r="R28" i="20"/>
  <c r="S28" i="20"/>
  <c r="T28" i="20"/>
  <c r="U28" i="20"/>
  <c r="V28" i="20"/>
  <c r="W28" i="20"/>
  <c r="O8" i="18"/>
  <c r="H8" i="18"/>
  <c r="B8" i="18"/>
  <c r="I8" i="18"/>
  <c r="C8" i="18"/>
  <c r="J8" i="18"/>
  <c r="D8" i="18"/>
  <c r="K8" i="18"/>
  <c r="E8" i="18"/>
  <c r="L8" i="18"/>
  <c r="F8" i="18"/>
  <c r="O9" i="18"/>
  <c r="H9" i="18"/>
  <c r="B9" i="18"/>
  <c r="I9" i="18"/>
  <c r="C9" i="18"/>
  <c r="J9" i="18"/>
  <c r="D9" i="18"/>
  <c r="K9" i="18"/>
  <c r="E9" i="18"/>
  <c r="L9" i="18"/>
  <c r="F9" i="18"/>
  <c r="O10" i="18"/>
  <c r="H10" i="18"/>
  <c r="B10" i="18"/>
  <c r="I10" i="18"/>
  <c r="C10" i="18"/>
  <c r="J10" i="18"/>
  <c r="D10" i="18"/>
  <c r="K10" i="18"/>
  <c r="E10" i="18"/>
  <c r="L10" i="18"/>
  <c r="F10" i="18"/>
  <c r="B11" i="18"/>
  <c r="I11" i="18"/>
  <c r="C11" i="18"/>
  <c r="J11" i="18"/>
  <c r="D11" i="18"/>
  <c r="K11" i="18"/>
  <c r="E11" i="18"/>
  <c r="L11" i="18"/>
  <c r="F11" i="18"/>
  <c r="B12" i="18"/>
  <c r="I12" i="18"/>
  <c r="C12" i="18"/>
  <c r="J12" i="18"/>
  <c r="D12" i="18"/>
  <c r="K12" i="18"/>
  <c r="E12" i="18"/>
  <c r="L12" i="18"/>
  <c r="F12" i="18"/>
  <c r="B13" i="18"/>
  <c r="I13" i="18"/>
  <c r="C13" i="18"/>
  <c r="J13" i="18"/>
  <c r="D13" i="18"/>
  <c r="K13" i="18"/>
  <c r="E13" i="18"/>
  <c r="L13" i="18"/>
  <c r="F13" i="18"/>
  <c r="B14" i="18"/>
  <c r="I14" i="18"/>
  <c r="C14" i="18"/>
  <c r="J14" i="18"/>
  <c r="D14" i="18"/>
  <c r="K14" i="18"/>
  <c r="E14" i="18"/>
  <c r="L14" i="18"/>
  <c r="F14" i="18"/>
  <c r="B15" i="18"/>
  <c r="I15" i="18"/>
  <c r="C15" i="18"/>
  <c r="J15" i="18"/>
  <c r="D15" i="18"/>
  <c r="K15" i="18"/>
  <c r="E15" i="18"/>
  <c r="L15" i="18"/>
  <c r="F15" i="18"/>
  <c r="B16" i="18"/>
  <c r="I16" i="18"/>
  <c r="C16" i="18"/>
  <c r="J16" i="18"/>
  <c r="D16" i="18"/>
  <c r="K16" i="18"/>
  <c r="E16" i="18"/>
  <c r="L16" i="18"/>
  <c r="F16" i="18"/>
  <c r="B17" i="18"/>
  <c r="I17" i="18"/>
  <c r="C17" i="18"/>
  <c r="J17" i="18"/>
  <c r="D17" i="18"/>
  <c r="K17" i="18"/>
  <c r="E17" i="18"/>
  <c r="L17" i="18"/>
  <c r="F17" i="18"/>
  <c r="B18" i="18"/>
  <c r="I18" i="18"/>
  <c r="C18" i="18"/>
  <c r="J18" i="18"/>
  <c r="D18" i="18"/>
  <c r="K18" i="18"/>
  <c r="E18" i="18"/>
  <c r="L18" i="18"/>
  <c r="F18" i="18"/>
  <c r="W22" i="18"/>
  <c r="W23" i="18"/>
  <c r="W24" i="18"/>
  <c r="W25" i="18"/>
  <c r="W26" i="18"/>
  <c r="W27" i="18"/>
  <c r="W28" i="18"/>
  <c r="K13" i="12"/>
  <c r="K5" i="12"/>
  <c r="M8" i="12"/>
  <c r="M9" i="12"/>
  <c r="M11" i="12"/>
  <c r="M16" i="12"/>
  <c r="L8" i="12"/>
  <c r="L9" i="12"/>
  <c r="L11" i="12"/>
  <c r="L16" i="12"/>
  <c r="H13" i="12"/>
  <c r="H5" i="12"/>
  <c r="J8" i="12"/>
  <c r="J9" i="12"/>
  <c r="J11" i="12"/>
  <c r="J16" i="12"/>
  <c r="I8" i="12"/>
  <c r="I9" i="12"/>
  <c r="I11" i="12"/>
  <c r="I16" i="12"/>
  <c r="E8" i="12"/>
  <c r="E13" i="12"/>
  <c r="E5" i="12"/>
  <c r="G8" i="12"/>
  <c r="G9" i="12"/>
  <c r="G11" i="12"/>
  <c r="G16" i="12"/>
  <c r="F8" i="12"/>
  <c r="F9" i="12"/>
  <c r="F11" i="12"/>
  <c r="F16" i="12"/>
  <c r="B8" i="12"/>
  <c r="B13" i="12"/>
  <c r="B5" i="12"/>
  <c r="D8" i="12"/>
  <c r="D9" i="12"/>
  <c r="D11" i="12"/>
  <c r="D16" i="12"/>
  <c r="M7" i="12"/>
  <c r="M15" i="12"/>
  <c r="L7" i="12"/>
  <c r="L15" i="12"/>
  <c r="J7" i="12"/>
  <c r="J15" i="12"/>
  <c r="I7" i="12"/>
  <c r="I15" i="12"/>
  <c r="G7" i="12"/>
  <c r="G15" i="12"/>
  <c r="F7" i="12"/>
  <c r="F15" i="12"/>
  <c r="D7" i="12"/>
  <c r="D15" i="12"/>
  <c r="M6" i="12"/>
  <c r="M14" i="12"/>
  <c r="L6" i="12"/>
  <c r="L14" i="12"/>
  <c r="J6" i="12"/>
  <c r="J14" i="12"/>
  <c r="I6" i="12"/>
  <c r="I14" i="12"/>
  <c r="G6" i="12"/>
  <c r="G14" i="12"/>
  <c r="F6" i="12"/>
  <c r="F14" i="12"/>
  <c r="D6" i="12"/>
  <c r="D14" i="12"/>
  <c r="C8" i="12"/>
  <c r="C9" i="12"/>
  <c r="C11" i="12"/>
  <c r="C16" i="12"/>
  <c r="C7" i="12"/>
  <c r="C15" i="12"/>
  <c r="C6" i="12"/>
  <c r="C14" i="12"/>
  <c r="D5" i="14"/>
  <c r="D6" i="14"/>
  <c r="D7" i="14"/>
  <c r="D9" i="14"/>
  <c r="D4" i="14"/>
  <c r="F66" i="10"/>
  <c r="X72" i="10"/>
  <c r="X71" i="10"/>
  <c r="X70" i="10"/>
  <c r="X69" i="10"/>
  <c r="G81" i="10"/>
  <c r="F81" i="10"/>
  <c r="N81" i="10"/>
  <c r="H66" i="10"/>
  <c r="G66" i="10"/>
  <c r="W86" i="10"/>
  <c r="V86" i="10"/>
  <c r="W85" i="10"/>
  <c r="W84" i="10"/>
  <c r="W91" i="10"/>
  <c r="V85" i="10"/>
  <c r="V84" i="10"/>
  <c r="T90" i="10"/>
  <c r="S90" i="10"/>
  <c r="R90" i="10"/>
  <c r="Q90" i="10"/>
  <c r="P90" i="10"/>
  <c r="O90" i="10"/>
  <c r="N90" i="10"/>
  <c r="T88" i="10"/>
  <c r="S88" i="10"/>
  <c r="R88" i="10"/>
  <c r="Q88" i="10"/>
  <c r="P88" i="10"/>
  <c r="O88" i="10"/>
  <c r="N88" i="10"/>
  <c r="T87" i="10"/>
  <c r="S87" i="10"/>
  <c r="R87" i="10"/>
  <c r="Q87" i="10"/>
  <c r="P87" i="10"/>
  <c r="O87" i="10"/>
  <c r="N87" i="10"/>
  <c r="T86" i="10"/>
  <c r="S86" i="10"/>
  <c r="R86" i="10"/>
  <c r="Q86" i="10"/>
  <c r="P86" i="10"/>
  <c r="O86" i="10"/>
  <c r="T85" i="10"/>
  <c r="S85" i="10"/>
  <c r="R85" i="10"/>
  <c r="Q85" i="10"/>
  <c r="P85" i="10"/>
  <c r="T84" i="10"/>
  <c r="S84" i="10"/>
  <c r="R84" i="10"/>
  <c r="Q84" i="10"/>
  <c r="P84" i="10"/>
  <c r="T83" i="10"/>
  <c r="S83" i="10"/>
  <c r="R83" i="10"/>
  <c r="Q83" i="10"/>
  <c r="P83" i="10"/>
  <c r="O83" i="10"/>
  <c r="N83" i="10"/>
  <c r="T82" i="10"/>
  <c r="S82" i="10"/>
  <c r="R82" i="10"/>
  <c r="Q82" i="10"/>
  <c r="P82" i="10"/>
  <c r="O82" i="10"/>
  <c r="N82" i="10"/>
  <c r="T81" i="10"/>
  <c r="S81" i="10"/>
  <c r="R81" i="10"/>
  <c r="Q81" i="10"/>
  <c r="P81" i="10"/>
  <c r="O81" i="10"/>
  <c r="AB91" i="10"/>
  <c r="AA91" i="10"/>
  <c r="S91" i="10"/>
  <c r="Z91" i="10"/>
  <c r="Y91" i="10"/>
  <c r="X91" i="10"/>
  <c r="E91" i="10"/>
  <c r="E90" i="10"/>
  <c r="AB89" i="10"/>
  <c r="AA89" i="10"/>
  <c r="Z89" i="10"/>
  <c r="Y89" i="10"/>
  <c r="Q89" i="10"/>
  <c r="X89" i="10"/>
  <c r="E89" i="10"/>
  <c r="E88" i="10"/>
  <c r="E87" i="10"/>
  <c r="E86" i="10"/>
  <c r="E85" i="10"/>
  <c r="E84" i="10"/>
  <c r="E83" i="10"/>
  <c r="E82" i="10"/>
  <c r="W72" i="10"/>
  <c r="W71" i="10"/>
  <c r="O71" i="10"/>
  <c r="V72" i="10"/>
  <c r="V71" i="10"/>
  <c r="W69" i="10"/>
  <c r="O69" i="10"/>
  <c r="W70" i="10"/>
  <c r="O70" i="10"/>
  <c r="V70" i="10"/>
  <c r="N70" i="10"/>
  <c r="V69" i="10"/>
  <c r="N69" i="10"/>
  <c r="P75" i="10"/>
  <c r="O75" i="10"/>
  <c r="N75" i="10"/>
  <c r="P73" i="10"/>
  <c r="O73" i="10"/>
  <c r="N73" i="10"/>
  <c r="P72" i="10"/>
  <c r="P71" i="10"/>
  <c r="P70" i="10"/>
  <c r="P69" i="10"/>
  <c r="P68" i="10"/>
  <c r="O68" i="10"/>
  <c r="N68" i="10"/>
  <c r="P67" i="10"/>
  <c r="O67" i="10"/>
  <c r="N67" i="10"/>
  <c r="P66" i="10"/>
  <c r="O66" i="10"/>
  <c r="N66" i="10"/>
  <c r="X76" i="10"/>
  <c r="X74" i="10"/>
  <c r="M51" i="10"/>
  <c r="L51" i="10"/>
  <c r="K51" i="10"/>
  <c r="J51" i="10"/>
  <c r="I51" i="10"/>
  <c r="H51" i="10"/>
  <c r="G51" i="10"/>
  <c r="U50" i="10"/>
  <c r="T50" i="10"/>
  <c r="S50" i="10"/>
  <c r="R50" i="10"/>
  <c r="Q50" i="10"/>
  <c r="P50" i="10"/>
  <c r="O50" i="10"/>
  <c r="F60" i="10"/>
  <c r="F58" i="10"/>
  <c r="F57" i="10"/>
  <c r="F56" i="10"/>
  <c r="F55" i="10"/>
  <c r="F54" i="10"/>
  <c r="F53" i="10"/>
  <c r="F52" i="10"/>
  <c r="F51" i="10"/>
  <c r="E60" i="10"/>
  <c r="E58" i="10"/>
  <c r="E57" i="10"/>
  <c r="E56" i="10"/>
  <c r="E55" i="10"/>
  <c r="E54" i="10"/>
  <c r="E53" i="10"/>
  <c r="E52" i="10"/>
  <c r="D61" i="10"/>
  <c r="E61" i="10"/>
  <c r="D59" i="10"/>
  <c r="E59" i="10"/>
  <c r="V51" i="10"/>
  <c r="N51" i="10"/>
  <c r="L46" i="10"/>
  <c r="K46" i="10"/>
  <c r="J46" i="10"/>
  <c r="I46" i="10"/>
  <c r="H46" i="10"/>
  <c r="G46" i="10"/>
  <c r="F46" i="10"/>
  <c r="L44" i="10"/>
  <c r="K44" i="10"/>
  <c r="J44" i="10"/>
  <c r="I44" i="10"/>
  <c r="H44" i="10"/>
  <c r="G44" i="10"/>
  <c r="F44" i="10"/>
  <c r="L43" i="10"/>
  <c r="K43" i="10"/>
  <c r="J43" i="10"/>
  <c r="I43" i="10"/>
  <c r="H43" i="10"/>
  <c r="G43" i="10"/>
  <c r="F43" i="10"/>
  <c r="L42" i="10"/>
  <c r="K42" i="10"/>
  <c r="J42" i="10"/>
  <c r="I42" i="10"/>
  <c r="H42" i="10"/>
  <c r="G42" i="10"/>
  <c r="F42" i="10"/>
  <c r="L41" i="10"/>
  <c r="K41" i="10"/>
  <c r="J41" i="10"/>
  <c r="I41" i="10"/>
  <c r="H41" i="10"/>
  <c r="G41" i="10"/>
  <c r="F41" i="10"/>
  <c r="L40" i="10"/>
  <c r="K40" i="10"/>
  <c r="J40" i="10"/>
  <c r="I40" i="10"/>
  <c r="H40" i="10"/>
  <c r="G40" i="10"/>
  <c r="F40" i="10"/>
  <c r="L39" i="10"/>
  <c r="K39" i="10"/>
  <c r="J39" i="10"/>
  <c r="I39" i="10"/>
  <c r="H39" i="10"/>
  <c r="G39" i="10"/>
  <c r="F39" i="10"/>
  <c r="L38" i="10"/>
  <c r="K38" i="10"/>
  <c r="J38" i="10"/>
  <c r="I38" i="10"/>
  <c r="H38" i="10"/>
  <c r="G38" i="10"/>
  <c r="F38" i="10"/>
  <c r="L37" i="10"/>
  <c r="K37" i="10"/>
  <c r="J37" i="10"/>
  <c r="I37" i="10"/>
  <c r="H37" i="10"/>
  <c r="G37" i="10"/>
  <c r="F37" i="10"/>
  <c r="T47" i="10"/>
  <c r="L47" i="10"/>
  <c r="S47" i="10"/>
  <c r="K47" i="10"/>
  <c r="R47" i="10"/>
  <c r="J47" i="10"/>
  <c r="Q47" i="10"/>
  <c r="I47" i="10"/>
  <c r="P47" i="10"/>
  <c r="H47" i="10"/>
  <c r="O47" i="10"/>
  <c r="G47" i="10"/>
  <c r="N47" i="10"/>
  <c r="F47" i="10"/>
  <c r="T45" i="10"/>
  <c r="L45" i="10"/>
  <c r="S45" i="10"/>
  <c r="K45" i="10"/>
  <c r="R45" i="10"/>
  <c r="J45" i="10"/>
  <c r="Q45" i="10"/>
  <c r="I45" i="10"/>
  <c r="P45" i="10"/>
  <c r="H45" i="10"/>
  <c r="O45" i="10"/>
  <c r="G45" i="10"/>
  <c r="N45" i="10"/>
  <c r="F45" i="10"/>
  <c r="U46" i="10"/>
  <c r="U44" i="10"/>
  <c r="U43" i="10"/>
  <c r="U42" i="10"/>
  <c r="U41" i="10"/>
  <c r="U40" i="10"/>
  <c r="U39" i="10"/>
  <c r="U38" i="10"/>
  <c r="U37" i="10"/>
  <c r="D47" i="10"/>
  <c r="E47" i="10"/>
  <c r="E40" i="10"/>
  <c r="E39" i="10"/>
  <c r="E46" i="10"/>
  <c r="D45" i="10"/>
  <c r="E45" i="10"/>
  <c r="E44" i="10"/>
  <c r="E43" i="10"/>
  <c r="E42" i="10"/>
  <c r="E41" i="10"/>
  <c r="E38" i="10"/>
  <c r="O27" i="10"/>
  <c r="O26" i="10"/>
  <c r="O25" i="10"/>
  <c r="O24" i="10"/>
  <c r="O21" i="10"/>
  <c r="O20" i="10"/>
  <c r="O18" i="10"/>
  <c r="O17" i="10"/>
  <c r="K7" i="15"/>
  <c r="C108" i="25"/>
  <c r="B12" i="12"/>
  <c r="C12" i="12"/>
  <c r="C13" i="12"/>
  <c r="F4" i="12"/>
  <c r="I4" i="12"/>
  <c r="L4" i="12"/>
  <c r="M5" i="12"/>
  <c r="L5" i="12"/>
  <c r="F10" i="12"/>
  <c r="I10" i="12"/>
  <c r="L10" i="12"/>
  <c r="M10" i="12"/>
  <c r="E12" i="12"/>
  <c r="F12" i="12"/>
  <c r="I12" i="12"/>
  <c r="L12" i="12"/>
  <c r="F13" i="12"/>
  <c r="I13" i="12"/>
  <c r="L13" i="12"/>
  <c r="C10" i="12"/>
  <c r="C4" i="12"/>
  <c r="D18" i="9"/>
  <c r="E14" i="11"/>
  <c r="D17" i="9"/>
  <c r="E13" i="11"/>
  <c r="E4" i="11"/>
  <c r="E6" i="15"/>
  <c r="D26" i="9"/>
  <c r="E15" i="11"/>
  <c r="D24" i="9"/>
  <c r="E18" i="11"/>
  <c r="D22" i="8"/>
  <c r="D18" i="11"/>
  <c r="D16" i="8"/>
  <c r="D14" i="11"/>
  <c r="D15" i="8"/>
  <c r="D13" i="11"/>
  <c r="B14" i="11"/>
  <c r="B5" i="11"/>
  <c r="B7" i="15"/>
  <c r="C8" i="25"/>
  <c r="B4" i="11"/>
  <c r="A12" i="5"/>
  <c r="Y11" i="5"/>
  <c r="Y8" i="5"/>
  <c r="S11" i="5"/>
  <c r="S8" i="5"/>
  <c r="AB11" i="5"/>
  <c r="AB8" i="5"/>
  <c r="V11" i="5"/>
  <c r="V8" i="5"/>
  <c r="G11" i="5"/>
  <c r="G8" i="5"/>
  <c r="E8" i="10"/>
  <c r="G8" i="10"/>
  <c r="D13" i="7"/>
  <c r="D12" i="7"/>
  <c r="T27" i="10"/>
  <c r="S27" i="10"/>
  <c r="R27" i="10"/>
  <c r="Q27" i="10"/>
  <c r="P27" i="10"/>
  <c r="N27" i="10"/>
  <c r="M27" i="10"/>
  <c r="C27" i="10"/>
  <c r="T26" i="10"/>
  <c r="S26" i="10"/>
  <c r="R26" i="10"/>
  <c r="Q26" i="10"/>
  <c r="P26" i="10"/>
  <c r="N26" i="10"/>
  <c r="M26" i="10"/>
  <c r="C26" i="10"/>
  <c r="T25" i="10"/>
  <c r="S25" i="10"/>
  <c r="R25" i="10"/>
  <c r="Q25" i="10"/>
  <c r="P25" i="10"/>
  <c r="N25" i="10"/>
  <c r="M25" i="10"/>
  <c r="C25" i="10"/>
  <c r="T24" i="10"/>
  <c r="S24" i="10"/>
  <c r="R24" i="10"/>
  <c r="Q24" i="10"/>
  <c r="P24" i="10"/>
  <c r="N24" i="10"/>
  <c r="M24" i="10"/>
  <c r="C24" i="10"/>
  <c r="T21" i="10"/>
  <c r="S21" i="10"/>
  <c r="L16" i="10"/>
  <c r="K16" i="10"/>
  <c r="J16" i="10"/>
  <c r="I16" i="10"/>
  <c r="P21" i="10"/>
  <c r="N21" i="10"/>
  <c r="C21" i="10"/>
  <c r="T20" i="10"/>
  <c r="S20" i="10"/>
  <c r="R20" i="10"/>
  <c r="Q20" i="10"/>
  <c r="P20" i="10"/>
  <c r="N20" i="10"/>
  <c r="T18" i="10"/>
  <c r="S18" i="10"/>
  <c r="R18" i="10"/>
  <c r="Q18" i="10"/>
  <c r="P18" i="10"/>
  <c r="N18" i="10"/>
  <c r="M18" i="10"/>
  <c r="C18" i="10"/>
  <c r="T17" i="10"/>
  <c r="S17" i="10"/>
  <c r="R17" i="10"/>
  <c r="Q17" i="10"/>
  <c r="P17" i="10"/>
  <c r="N17" i="10"/>
  <c r="M17" i="10"/>
  <c r="C17" i="10"/>
  <c r="B14" i="10"/>
  <c r="L15" i="10"/>
  <c r="G10" i="10"/>
  <c r="E10" i="10"/>
  <c r="C10" i="10"/>
  <c r="G9" i="10"/>
  <c r="E9" i="10"/>
  <c r="C9" i="10"/>
  <c r="G7" i="10"/>
  <c r="E7" i="10"/>
  <c r="B7" i="10"/>
  <c r="C7" i="10"/>
  <c r="G6" i="10"/>
  <c r="E6" i="10"/>
  <c r="C6" i="10"/>
  <c r="F5" i="10"/>
  <c r="D5" i="10"/>
  <c r="B5" i="10"/>
  <c r="L27" i="9"/>
  <c r="B14" i="9"/>
  <c r="L14" i="9"/>
  <c r="B7" i="9"/>
  <c r="B20" i="9"/>
  <c r="L20" i="9"/>
  <c r="F21" i="9"/>
  <c r="G21" i="9"/>
  <c r="H21" i="9"/>
  <c r="I21" i="9"/>
  <c r="J21" i="9"/>
  <c r="K21" i="9"/>
  <c r="L21" i="9"/>
  <c r="L16" i="9"/>
  <c r="Z27" i="9"/>
  <c r="K16" i="9"/>
  <c r="Y27" i="9"/>
  <c r="J16" i="9"/>
  <c r="X27" i="9"/>
  <c r="I16" i="9"/>
  <c r="W27" i="9"/>
  <c r="H16" i="9"/>
  <c r="V27" i="9"/>
  <c r="G16" i="9"/>
  <c r="U27" i="9"/>
  <c r="F16" i="9"/>
  <c r="T27" i="9"/>
  <c r="L26" i="9"/>
  <c r="Z26" i="9"/>
  <c r="Y26" i="9"/>
  <c r="X26" i="9"/>
  <c r="W26" i="9"/>
  <c r="V26" i="9"/>
  <c r="U26" i="9"/>
  <c r="T26" i="9"/>
  <c r="L25" i="9"/>
  <c r="Z25" i="9"/>
  <c r="Y25" i="9"/>
  <c r="X25" i="9"/>
  <c r="W25" i="9"/>
  <c r="V25" i="9"/>
  <c r="U25" i="9"/>
  <c r="T25" i="9"/>
  <c r="L24" i="9"/>
  <c r="Z24" i="9"/>
  <c r="Y24" i="9"/>
  <c r="X24" i="9"/>
  <c r="W24" i="9"/>
  <c r="V24" i="9"/>
  <c r="U24" i="9"/>
  <c r="T24" i="9"/>
  <c r="L17" i="9"/>
  <c r="L18" i="9"/>
  <c r="L19" i="9"/>
  <c r="Z19" i="9"/>
  <c r="K19" i="9"/>
  <c r="Y19" i="9"/>
  <c r="J19" i="9"/>
  <c r="X19" i="9"/>
  <c r="I19" i="9"/>
  <c r="W19" i="9"/>
  <c r="H19" i="9"/>
  <c r="V19" i="9"/>
  <c r="G19" i="9"/>
  <c r="U19" i="9"/>
  <c r="F19" i="9"/>
  <c r="T19" i="9"/>
  <c r="Z18" i="9"/>
  <c r="Y18" i="9"/>
  <c r="X18" i="9"/>
  <c r="W18" i="9"/>
  <c r="V18" i="9"/>
  <c r="U18" i="9"/>
  <c r="T18" i="9"/>
  <c r="Z17" i="9"/>
  <c r="Y17" i="9"/>
  <c r="X17" i="9"/>
  <c r="W17" i="9"/>
  <c r="V17" i="9"/>
  <c r="U17" i="9"/>
  <c r="T17" i="9"/>
  <c r="Z16" i="9"/>
  <c r="Y16" i="9"/>
  <c r="X16" i="9"/>
  <c r="W16" i="9"/>
  <c r="V16" i="9"/>
  <c r="U16" i="9"/>
  <c r="T16" i="9"/>
  <c r="Z14" i="9"/>
  <c r="S27" i="9"/>
  <c r="R27" i="9"/>
  <c r="Q27" i="9"/>
  <c r="P27" i="9"/>
  <c r="O27" i="9"/>
  <c r="N27" i="9"/>
  <c r="M27" i="9"/>
  <c r="S26" i="9"/>
  <c r="R26" i="9"/>
  <c r="Q26" i="9"/>
  <c r="P26" i="9"/>
  <c r="O26" i="9"/>
  <c r="N26" i="9"/>
  <c r="M26" i="9"/>
  <c r="S25" i="9"/>
  <c r="R25" i="9"/>
  <c r="Q25" i="9"/>
  <c r="P25" i="9"/>
  <c r="O25" i="9"/>
  <c r="N25" i="9"/>
  <c r="M25" i="9"/>
  <c r="S24" i="9"/>
  <c r="R24" i="9"/>
  <c r="Q24" i="9"/>
  <c r="P24" i="9"/>
  <c r="O24" i="9"/>
  <c r="N24" i="9"/>
  <c r="M24" i="9"/>
  <c r="S21" i="9"/>
  <c r="R21" i="9"/>
  <c r="Q21" i="9"/>
  <c r="P21" i="9"/>
  <c r="O21" i="9"/>
  <c r="N21" i="9"/>
  <c r="M21" i="9"/>
  <c r="S20" i="9"/>
  <c r="R20" i="9"/>
  <c r="Q20" i="9"/>
  <c r="P20" i="9"/>
  <c r="O20" i="9"/>
  <c r="N20" i="9"/>
  <c r="M20" i="9"/>
  <c r="S19" i="9"/>
  <c r="R19" i="9"/>
  <c r="Q19" i="9"/>
  <c r="P19" i="9"/>
  <c r="O19" i="9"/>
  <c r="N19" i="9"/>
  <c r="M19" i="9"/>
  <c r="S18" i="9"/>
  <c r="R18" i="9"/>
  <c r="Q18" i="9"/>
  <c r="P18" i="9"/>
  <c r="O18" i="9"/>
  <c r="N18" i="9"/>
  <c r="M18" i="9"/>
  <c r="S17" i="9"/>
  <c r="R17" i="9"/>
  <c r="Q17" i="9"/>
  <c r="P17" i="9"/>
  <c r="O17" i="9"/>
  <c r="N17" i="9"/>
  <c r="M17" i="9"/>
  <c r="S16" i="9"/>
  <c r="R16" i="9"/>
  <c r="Q16" i="9"/>
  <c r="P16" i="9"/>
  <c r="O16" i="9"/>
  <c r="N16" i="9"/>
  <c r="M16" i="9"/>
  <c r="S14" i="9"/>
  <c r="B15" i="9"/>
  <c r="L15" i="9"/>
  <c r="K15" i="9"/>
  <c r="J15" i="9"/>
  <c r="I15" i="9"/>
  <c r="H15" i="9"/>
  <c r="G15" i="9"/>
  <c r="F15" i="9"/>
  <c r="C26" i="9"/>
  <c r="C10" i="9"/>
  <c r="C9" i="9"/>
  <c r="C7" i="9"/>
  <c r="C6" i="9"/>
  <c r="C27" i="9"/>
  <c r="C25" i="9"/>
  <c r="C24" i="9"/>
  <c r="C18" i="9"/>
  <c r="C17" i="9"/>
  <c r="G10" i="9"/>
  <c r="E10" i="9"/>
  <c r="G9" i="9"/>
  <c r="E9" i="9"/>
  <c r="G11" i="9"/>
  <c r="G7" i="9"/>
  <c r="E7" i="9"/>
  <c r="G6" i="9"/>
  <c r="E6" i="9"/>
  <c r="F5" i="9"/>
  <c r="D5" i="9"/>
  <c r="B5" i="9"/>
  <c r="B17" i="8"/>
  <c r="C17" i="8"/>
  <c r="C24" i="8"/>
  <c r="C23" i="8"/>
  <c r="C22" i="8"/>
  <c r="B18" i="8"/>
  <c r="C16" i="8"/>
  <c r="C15" i="8"/>
  <c r="D14" i="8"/>
  <c r="C19" i="8"/>
  <c r="C18" i="8"/>
  <c r="F8" i="8"/>
  <c r="G8" i="8"/>
  <c r="D8" i="8"/>
  <c r="E8" i="8"/>
  <c r="E10" i="8"/>
  <c r="E9" i="8"/>
  <c r="E7" i="8"/>
  <c r="E6" i="8"/>
  <c r="C10" i="8"/>
  <c r="C9" i="8"/>
  <c r="C7" i="8"/>
  <c r="C6" i="8"/>
  <c r="X5" i="8"/>
  <c r="G10" i="8"/>
  <c r="G9" i="8"/>
  <c r="G7" i="8"/>
  <c r="G6" i="8"/>
  <c r="AE5" i="8"/>
  <c r="AB5" i="8"/>
  <c r="S5" i="8"/>
  <c r="V5" i="8"/>
  <c r="P5" i="8"/>
  <c r="M5" i="8"/>
  <c r="J5" i="8"/>
  <c r="F5" i="8"/>
  <c r="D5" i="8"/>
  <c r="B5" i="8"/>
  <c r="I12" i="7"/>
  <c r="J10" i="7"/>
  <c r="K8" i="7"/>
  <c r="J8" i="7"/>
  <c r="G12" i="7"/>
  <c r="G10" i="7"/>
  <c r="G9" i="7"/>
  <c r="K18" i="5"/>
  <c r="K17" i="5"/>
  <c r="B64" i="5"/>
  <c r="F64" i="5"/>
  <c r="E61" i="5"/>
  <c r="E60" i="5"/>
  <c r="E58" i="5"/>
  <c r="E57" i="5"/>
  <c r="E56" i="5"/>
  <c r="C61" i="5"/>
  <c r="C60" i="5"/>
  <c r="C58" i="5"/>
  <c r="C57" i="5"/>
  <c r="C56" i="5"/>
  <c r="F61" i="5"/>
  <c r="F60" i="5"/>
  <c r="F58" i="5"/>
  <c r="F57" i="5"/>
  <c r="F56" i="5"/>
  <c r="B59" i="5"/>
  <c r="C59" i="5"/>
  <c r="D59" i="5"/>
  <c r="D62" i="5"/>
  <c r="O91" i="10"/>
  <c r="P89" i="10"/>
  <c r="P91" i="10"/>
  <c r="Q91" i="10"/>
  <c r="N84" i="10"/>
  <c r="S58" i="10"/>
  <c r="R89" i="10"/>
  <c r="R91" i="10"/>
  <c r="O84" i="10"/>
  <c r="S89" i="10"/>
  <c r="N85" i="10"/>
  <c r="T89" i="10"/>
  <c r="T91" i="10"/>
  <c r="R57" i="10"/>
  <c r="T60" i="10"/>
  <c r="N86" i="10"/>
  <c r="O60" i="10"/>
  <c r="F90" i="10"/>
  <c r="O85" i="10"/>
  <c r="W89" i="10"/>
  <c r="Q53" i="10"/>
  <c r="N72" i="10"/>
  <c r="R53" i="10"/>
  <c r="O53" i="10"/>
  <c r="F83" i="10"/>
  <c r="P53" i="10"/>
  <c r="G83" i="10"/>
  <c r="S53" i="10"/>
  <c r="O58" i="10"/>
  <c r="F88" i="10"/>
  <c r="O72" i="10"/>
  <c r="Q54" i="10"/>
  <c r="O54" i="10"/>
  <c r="G54" i="10"/>
  <c r="V76" i="10"/>
  <c r="F69" i="10"/>
  <c r="V50" i="10"/>
  <c r="T55" i="10"/>
  <c r="R55" i="10"/>
  <c r="R54" i="10"/>
  <c r="P74" i="10"/>
  <c r="O52" i="10"/>
  <c r="F82" i="10"/>
  <c r="U57" i="10"/>
  <c r="S56" i="10"/>
  <c r="S54" i="10"/>
  <c r="S57" i="10"/>
  <c r="T57" i="10"/>
  <c r="T54" i="10"/>
  <c r="V89" i="10"/>
  <c r="P76" i="10"/>
  <c r="O56" i="10"/>
  <c r="G56" i="10"/>
  <c r="T58" i="10"/>
  <c r="U58" i="10"/>
  <c r="T56" i="10"/>
  <c r="N71" i="10"/>
  <c r="P52" i="10"/>
  <c r="G82" i="10"/>
  <c r="Q52" i="10"/>
  <c r="U56" i="10"/>
  <c r="M38" i="10"/>
  <c r="R52" i="10"/>
  <c r="U55" i="10"/>
  <c r="O57" i="10"/>
  <c r="F72" i="10"/>
  <c r="P58" i="10"/>
  <c r="G88" i="10"/>
  <c r="Q60" i="10"/>
  <c r="S52" i="10"/>
  <c r="T53" i="10"/>
  <c r="U54" i="10"/>
  <c r="P57" i="10"/>
  <c r="G72" i="10"/>
  <c r="Q58" i="10"/>
  <c r="R60" i="10"/>
  <c r="M40" i="10"/>
  <c r="F59" i="10"/>
  <c r="T52" i="10"/>
  <c r="U53" i="10"/>
  <c r="O55" i="10"/>
  <c r="G55" i="10"/>
  <c r="P56" i="10"/>
  <c r="H56" i="10"/>
  <c r="Q57" i="10"/>
  <c r="R58" i="10"/>
  <c r="S60" i="10"/>
  <c r="S55" i="10"/>
  <c r="M46" i="10"/>
  <c r="P60" i="10"/>
  <c r="G90" i="10"/>
  <c r="M41" i="10"/>
  <c r="U52" i="10"/>
  <c r="P55" i="10"/>
  <c r="H55" i="10"/>
  <c r="Q56" i="10"/>
  <c r="M42" i="10"/>
  <c r="F61" i="10"/>
  <c r="P54" i="10"/>
  <c r="H54" i="10"/>
  <c r="Q55" i="10"/>
  <c r="R56" i="10"/>
  <c r="U60" i="10"/>
  <c r="V74" i="10"/>
  <c r="M43" i="10"/>
  <c r="W74" i="10"/>
  <c r="V91" i="10"/>
  <c r="W76" i="10"/>
  <c r="M37" i="10"/>
  <c r="M39" i="10"/>
  <c r="M44" i="10"/>
  <c r="U45" i="10"/>
  <c r="M45" i="10"/>
  <c r="U47" i="10"/>
  <c r="M47" i="10"/>
  <c r="I15" i="10"/>
  <c r="F15" i="10"/>
  <c r="G15" i="10"/>
  <c r="U14" i="10"/>
  <c r="AC14" i="10"/>
  <c r="G16" i="10"/>
  <c r="D4" i="11"/>
  <c r="D6" i="15"/>
  <c r="B28" i="25"/>
  <c r="F5" i="12"/>
  <c r="G5" i="12"/>
  <c r="G10" i="12"/>
  <c r="G12" i="12"/>
  <c r="M12" i="12"/>
  <c r="F59" i="5"/>
  <c r="F16" i="10"/>
  <c r="V18" i="10"/>
  <c r="Q21" i="10"/>
  <c r="G11" i="10"/>
  <c r="B20" i="10"/>
  <c r="M20" i="10"/>
  <c r="H15" i="10"/>
  <c r="E8" i="7"/>
  <c r="Y17" i="10"/>
  <c r="Y16" i="10"/>
  <c r="Y18" i="10"/>
  <c r="Q16" i="10"/>
  <c r="Y27" i="10"/>
  <c r="Y26" i="10"/>
  <c r="Y24" i="10"/>
  <c r="I19" i="10"/>
  <c r="Y25" i="10"/>
  <c r="AB27" i="10"/>
  <c r="AB16" i="10"/>
  <c r="L19" i="10"/>
  <c r="AB26" i="10"/>
  <c r="AB25" i="10"/>
  <c r="AB24" i="10"/>
  <c r="AB18" i="10"/>
  <c r="AB17" i="10"/>
  <c r="T16" i="10"/>
  <c r="Z18" i="10"/>
  <c r="Z17" i="10"/>
  <c r="R16" i="10"/>
  <c r="Z27" i="10"/>
  <c r="Z16" i="10"/>
  <c r="Z26" i="10"/>
  <c r="Z25" i="10"/>
  <c r="J19" i="10"/>
  <c r="Z24" i="10"/>
  <c r="AA17" i="10"/>
  <c r="S16" i="10"/>
  <c r="K19" i="10"/>
  <c r="AA27" i="10"/>
  <c r="AA16" i="10"/>
  <c r="AA26" i="10"/>
  <c r="AA25" i="10"/>
  <c r="AA24" i="10"/>
  <c r="AA18" i="10"/>
  <c r="C8" i="10"/>
  <c r="B15" i="10"/>
  <c r="R21" i="10"/>
  <c r="H16" i="10"/>
  <c r="M14" i="10"/>
  <c r="K15" i="10"/>
  <c r="J15" i="10"/>
  <c r="M21" i="10"/>
  <c r="C21" i="9"/>
  <c r="C8" i="9"/>
  <c r="E8" i="9"/>
  <c r="C20" i="9"/>
  <c r="G8" i="9"/>
  <c r="D17" i="8"/>
  <c r="C14" i="8"/>
  <c r="F11" i="8"/>
  <c r="G11" i="8"/>
  <c r="C8" i="8"/>
  <c r="D11" i="8"/>
  <c r="E11" i="8"/>
  <c r="Y5" i="8"/>
  <c r="E62" i="5"/>
  <c r="B62" i="5"/>
  <c r="C62" i="5"/>
  <c r="E59" i="5"/>
  <c r="AG5" i="8"/>
  <c r="AH5" i="8"/>
  <c r="AE15" i="5"/>
  <c r="AE14" i="5"/>
  <c r="AE13" i="5"/>
  <c r="AE12" i="5"/>
  <c r="AE10" i="5"/>
  <c r="AE9" i="5"/>
  <c r="AC19" i="5"/>
  <c r="AC7" i="5"/>
  <c r="AC15" i="5"/>
  <c r="AC14" i="5"/>
  <c r="AD13" i="5"/>
  <c r="AC13" i="5"/>
  <c r="AD12" i="5"/>
  <c r="AC12" i="5"/>
  <c r="AD11" i="5"/>
  <c r="AD10" i="5"/>
  <c r="AC10" i="5"/>
  <c r="AD9" i="5"/>
  <c r="AC9" i="5"/>
  <c r="AD8" i="5"/>
  <c r="AC8" i="5"/>
  <c r="Z7" i="5"/>
  <c r="Z15" i="5"/>
  <c r="Z14" i="5"/>
  <c r="AA13" i="5"/>
  <c r="Z13" i="5"/>
  <c r="AA12" i="5"/>
  <c r="Z12" i="5"/>
  <c r="AA11" i="5"/>
  <c r="AA10" i="5"/>
  <c r="Z10" i="5"/>
  <c r="AA9" i="5"/>
  <c r="Z9" i="5"/>
  <c r="AA8" i="5"/>
  <c r="Z8" i="5"/>
  <c r="Q7" i="5"/>
  <c r="Q15" i="5"/>
  <c r="Q14" i="5"/>
  <c r="R13" i="5"/>
  <c r="Q13" i="5"/>
  <c r="R12" i="5"/>
  <c r="Q12" i="5"/>
  <c r="R10" i="5"/>
  <c r="Q10" i="5"/>
  <c r="R9" i="5"/>
  <c r="Q9" i="5"/>
  <c r="R8" i="5"/>
  <c r="Q8" i="5"/>
  <c r="W7" i="5"/>
  <c r="W15" i="5"/>
  <c r="W14" i="5"/>
  <c r="X13" i="5"/>
  <c r="W13" i="5"/>
  <c r="X12" i="5"/>
  <c r="W12" i="5"/>
  <c r="X11" i="5"/>
  <c r="X10" i="5"/>
  <c r="W10" i="5"/>
  <c r="X9" i="5"/>
  <c r="W9" i="5"/>
  <c r="X8" i="5"/>
  <c r="W8" i="5"/>
  <c r="T7" i="5"/>
  <c r="T15" i="5"/>
  <c r="T14" i="5"/>
  <c r="U13" i="5"/>
  <c r="T13" i="5"/>
  <c r="U12" i="5"/>
  <c r="T12" i="5"/>
  <c r="U11" i="5"/>
  <c r="U10" i="5"/>
  <c r="T10" i="5"/>
  <c r="U9" i="5"/>
  <c r="T9" i="5"/>
  <c r="U8" i="5"/>
  <c r="T8" i="5"/>
  <c r="N15" i="5"/>
  <c r="N14" i="5"/>
  <c r="O13" i="5"/>
  <c r="N13" i="5"/>
  <c r="O12" i="5"/>
  <c r="N12" i="5"/>
  <c r="O11" i="5"/>
  <c r="O10" i="5"/>
  <c r="N10" i="5"/>
  <c r="O9" i="5"/>
  <c r="N9" i="5"/>
  <c r="O8" i="5"/>
  <c r="N8" i="5"/>
  <c r="K15" i="5"/>
  <c r="K14" i="5"/>
  <c r="L13" i="5"/>
  <c r="K13" i="5"/>
  <c r="L12" i="5"/>
  <c r="K12" i="5"/>
  <c r="L11" i="5"/>
  <c r="L10" i="5"/>
  <c r="K10" i="5"/>
  <c r="L9" i="5"/>
  <c r="K9" i="5"/>
  <c r="L8" i="5"/>
  <c r="K8" i="5"/>
  <c r="H15" i="5"/>
  <c r="H14" i="5"/>
  <c r="I13" i="5"/>
  <c r="H13" i="5"/>
  <c r="I12" i="5"/>
  <c r="H12" i="5"/>
  <c r="I10" i="5"/>
  <c r="H10" i="5"/>
  <c r="I9" i="5"/>
  <c r="H9" i="5"/>
  <c r="I8" i="5"/>
  <c r="H8" i="5"/>
  <c r="H11" i="5"/>
  <c r="AE7" i="5"/>
  <c r="N7" i="5"/>
  <c r="K7" i="5"/>
  <c r="H7" i="5"/>
  <c r="F13" i="5"/>
  <c r="F12" i="5"/>
  <c r="F8" i="5"/>
  <c r="E15" i="5"/>
  <c r="E14" i="5"/>
  <c r="E11" i="5"/>
  <c r="E10" i="5"/>
  <c r="E9" i="5"/>
  <c r="G60" i="10"/>
  <c r="L60" i="10"/>
  <c r="K58" i="10"/>
  <c r="F86" i="10"/>
  <c r="J57" i="10"/>
  <c r="F71" i="10"/>
  <c r="F84" i="10"/>
  <c r="G84" i="10"/>
  <c r="O59" i="10"/>
  <c r="G59" i="10"/>
  <c r="F75" i="10"/>
  <c r="F85" i="10"/>
  <c r="G57" i="10"/>
  <c r="F87" i="10"/>
  <c r="N91" i="10"/>
  <c r="N89" i="10"/>
  <c r="H57" i="10"/>
  <c r="G87" i="10"/>
  <c r="G86" i="10"/>
  <c r="G85" i="10"/>
  <c r="O89" i="10"/>
  <c r="Q61" i="10"/>
  <c r="G70" i="10"/>
  <c r="G71" i="10"/>
  <c r="J56" i="10"/>
  <c r="M54" i="10"/>
  <c r="K55" i="10"/>
  <c r="I60" i="10"/>
  <c r="H75" i="10"/>
  <c r="H52" i="10"/>
  <c r="G67" i="10"/>
  <c r="K56" i="10"/>
  <c r="K53" i="10"/>
  <c r="O74" i="10"/>
  <c r="K60" i="10"/>
  <c r="H58" i="10"/>
  <c r="M57" i="10"/>
  <c r="J54" i="10"/>
  <c r="H53" i="10"/>
  <c r="G68" i="10"/>
  <c r="I56" i="10"/>
  <c r="H71" i="10"/>
  <c r="J58" i="10"/>
  <c r="J60" i="10"/>
  <c r="L54" i="10"/>
  <c r="G52" i="10"/>
  <c r="F67" i="10"/>
  <c r="J55" i="10"/>
  <c r="I54" i="10"/>
  <c r="H69" i="10"/>
  <c r="G53" i="10"/>
  <c r="F68" i="10"/>
  <c r="N74" i="10"/>
  <c r="I57" i="10"/>
  <c r="H72" i="10"/>
  <c r="I58" i="10"/>
  <c r="H73" i="10"/>
  <c r="M55" i="10"/>
  <c r="L57" i="10"/>
  <c r="L55" i="10"/>
  <c r="O61" i="10"/>
  <c r="G61" i="10"/>
  <c r="M60" i="10"/>
  <c r="M52" i="10"/>
  <c r="J52" i="10"/>
  <c r="K57" i="10"/>
  <c r="F70" i="10"/>
  <c r="J53" i="10"/>
  <c r="L56" i="10"/>
  <c r="R59" i="10"/>
  <c r="L53" i="10"/>
  <c r="N76" i="10"/>
  <c r="I55" i="10"/>
  <c r="H70" i="10"/>
  <c r="H60" i="10"/>
  <c r="G75" i="10"/>
  <c r="M53" i="10"/>
  <c r="M56" i="10"/>
  <c r="M58" i="10"/>
  <c r="O76" i="10"/>
  <c r="L52" i="10"/>
  <c r="K52" i="10"/>
  <c r="I52" i="10"/>
  <c r="H67" i="10"/>
  <c r="L58" i="10"/>
  <c r="G69" i="10"/>
  <c r="K54" i="10"/>
  <c r="G58" i="10"/>
  <c r="F73" i="10"/>
  <c r="I53" i="10"/>
  <c r="H68" i="10"/>
  <c r="V53" i="10"/>
  <c r="N53" i="10"/>
  <c r="V52" i="10"/>
  <c r="N52" i="10"/>
  <c r="V60" i="10"/>
  <c r="N60" i="10"/>
  <c r="R61" i="10"/>
  <c r="P59" i="10"/>
  <c r="H59" i="10"/>
  <c r="U61" i="10"/>
  <c r="Q59" i="10"/>
  <c r="V55" i="10"/>
  <c r="N55" i="10"/>
  <c r="S61" i="10"/>
  <c r="V56" i="10"/>
  <c r="N56" i="10"/>
  <c r="P61" i="10"/>
  <c r="V54" i="10"/>
  <c r="N54" i="10"/>
  <c r="L33" i="10"/>
  <c r="L34" i="10"/>
  <c r="I33" i="10"/>
  <c r="I34" i="10"/>
  <c r="K33" i="10"/>
  <c r="K34" i="10"/>
  <c r="J33" i="10"/>
  <c r="J34" i="10"/>
  <c r="G19" i="10"/>
  <c r="O19" i="10"/>
  <c r="W17" i="10"/>
  <c r="W16" i="10"/>
  <c r="W18" i="10"/>
  <c r="O16" i="10"/>
  <c r="F19" i="10"/>
  <c r="V19" i="10"/>
  <c r="J12" i="12"/>
  <c r="I5" i="12"/>
  <c r="J5" i="12"/>
  <c r="J10" i="12"/>
  <c r="D5" i="12"/>
  <c r="D10" i="12"/>
  <c r="D12" i="12"/>
  <c r="C5" i="12"/>
  <c r="F62" i="5"/>
  <c r="V24" i="10"/>
  <c r="V27" i="10"/>
  <c r="V17" i="10"/>
  <c r="V16" i="10"/>
  <c r="N16" i="10"/>
  <c r="V26" i="10"/>
  <c r="V25" i="10"/>
  <c r="C20" i="10"/>
  <c r="U20" i="10"/>
  <c r="C11" i="10"/>
  <c r="E11" i="10"/>
  <c r="U17" i="10"/>
  <c r="U18" i="10"/>
  <c r="U26" i="10"/>
  <c r="M15" i="10"/>
  <c r="M16" i="10"/>
  <c r="S19" i="10"/>
  <c r="AA19" i="10"/>
  <c r="U24" i="10"/>
  <c r="AB19" i="10"/>
  <c r="T19" i="10"/>
  <c r="Q19" i="10"/>
  <c r="Y19" i="10"/>
  <c r="U25" i="10"/>
  <c r="H19" i="10"/>
  <c r="X27" i="10"/>
  <c r="X26" i="10"/>
  <c r="X18" i="10"/>
  <c r="X17" i="10"/>
  <c r="P16" i="10"/>
  <c r="X16" i="10"/>
  <c r="X25" i="10"/>
  <c r="X24" i="10"/>
  <c r="U27" i="10"/>
  <c r="U21" i="10"/>
  <c r="Z19" i="10"/>
  <c r="R19" i="10"/>
  <c r="E11" i="9"/>
  <c r="Q11" i="5"/>
  <c r="I11" i="7"/>
  <c r="AF14" i="5"/>
  <c r="AF10" i="5"/>
  <c r="AF15" i="5"/>
  <c r="I11" i="5"/>
  <c r="AF12" i="5"/>
  <c r="AE11" i="5"/>
  <c r="AE8" i="5"/>
  <c r="AF9" i="5"/>
  <c r="AF13" i="5"/>
  <c r="AC11" i="5"/>
  <c r="Z11" i="5"/>
  <c r="R11" i="5"/>
  <c r="W11" i="5"/>
  <c r="T11" i="5"/>
  <c r="N11" i="5"/>
  <c r="K11" i="5"/>
  <c r="F11" i="5"/>
  <c r="E13" i="5"/>
  <c r="E12" i="5"/>
  <c r="E8" i="5"/>
  <c r="B6" i="5"/>
  <c r="AF7" i="5"/>
  <c r="B5" i="5"/>
  <c r="C5" i="5"/>
  <c r="D5" i="5"/>
  <c r="E23" i="5"/>
  <c r="E22" i="5"/>
  <c r="E21" i="5"/>
  <c r="E20" i="5"/>
  <c r="E19" i="5"/>
  <c r="E18" i="5"/>
  <c r="E17" i="5"/>
  <c r="A22" i="5"/>
  <c r="D7" i="5"/>
  <c r="I61" i="10"/>
  <c r="F74" i="10"/>
  <c r="F89" i="10"/>
  <c r="H61" i="10"/>
  <c r="G91" i="10"/>
  <c r="G89" i="10"/>
  <c r="F91" i="10"/>
  <c r="H76" i="10"/>
  <c r="G76" i="10"/>
  <c r="F76" i="10"/>
  <c r="I59" i="10"/>
  <c r="H74" i="10"/>
  <c r="K61" i="10"/>
  <c r="J59" i="10"/>
  <c r="M61" i="10"/>
  <c r="J61" i="10"/>
  <c r="G74" i="10"/>
  <c r="V57" i="10"/>
  <c r="N57" i="10"/>
  <c r="T59" i="10"/>
  <c r="U59" i="10"/>
  <c r="T61" i="10"/>
  <c r="S59" i="10"/>
  <c r="H33" i="10"/>
  <c r="H34" i="10"/>
  <c r="F33" i="10"/>
  <c r="F34" i="10"/>
  <c r="G34" i="10"/>
  <c r="G33" i="10"/>
  <c r="W19" i="10"/>
  <c r="N19" i="10"/>
  <c r="AG8" i="5"/>
  <c r="AG9" i="5"/>
  <c r="AG12" i="5"/>
  <c r="AF8" i="5"/>
  <c r="AG10" i="5"/>
  <c r="AG13" i="5"/>
  <c r="P19" i="10"/>
  <c r="X19" i="10"/>
  <c r="AC24" i="10"/>
  <c r="M19" i="10"/>
  <c r="AC18" i="10"/>
  <c r="U16" i="10"/>
  <c r="AC16" i="10"/>
  <c r="AC26" i="10"/>
  <c r="AC25" i="10"/>
  <c r="AC17" i="10"/>
  <c r="AC27" i="10"/>
  <c r="C11" i="9"/>
  <c r="K11" i="7"/>
  <c r="J11" i="7"/>
  <c r="AF11" i="5"/>
  <c r="AG11" i="5"/>
  <c r="C11" i="8"/>
  <c r="L59" i="10"/>
  <c r="L61" i="10"/>
  <c r="M59" i="10"/>
  <c r="K59" i="10"/>
  <c r="V59" i="10"/>
  <c r="N59" i="10"/>
  <c r="V58" i="10"/>
  <c r="N58" i="10"/>
  <c r="V61" i="10"/>
  <c r="N61" i="10"/>
  <c r="B19" i="10"/>
  <c r="D19" i="10"/>
  <c r="D16" i="10"/>
  <c r="C16" i="10"/>
  <c r="U19" i="10"/>
  <c r="AC19" i="10"/>
  <c r="C16" i="9"/>
  <c r="D16" i="9"/>
  <c r="B19" i="9"/>
  <c r="C19" i="10"/>
  <c r="D19" i="9"/>
  <c r="C19" i="9"/>
  <c r="E20" i="11"/>
  <c r="C151" i="25"/>
  <c r="E133" i="25"/>
  <c r="E6" i="11"/>
  <c r="E8" i="15"/>
  <c r="D38" i="25"/>
  <c r="D20" i="11"/>
  <c r="E21" i="11"/>
  <c r="K6" i="15"/>
  <c r="B38" i="25"/>
  <c r="B151" i="25"/>
  <c r="H8" i="7"/>
  <c r="F11" i="7"/>
  <c r="G8" i="7"/>
  <c r="J12" i="7"/>
  <c r="J9" i="7"/>
  <c r="G13" i="7"/>
  <c r="B7" i="11"/>
  <c r="B6" i="15"/>
  <c r="D5" i="11"/>
  <c r="D7" i="15"/>
  <c r="E5" i="11"/>
  <c r="D6" i="11"/>
  <c r="D8" i="15"/>
  <c r="D28" i="25"/>
  <c r="D21" i="11"/>
  <c r="E151" i="25"/>
  <c r="E104" i="25"/>
  <c r="E114" i="25"/>
  <c r="E99" i="25"/>
  <c r="B108" i="25"/>
  <c r="D7" i="11"/>
  <c r="D18" i="25"/>
  <c r="K5" i="15"/>
  <c r="E7" i="11"/>
  <c r="E7" i="15"/>
  <c r="D5" i="15"/>
  <c r="C28" i="25"/>
  <c r="E28" i="25"/>
  <c r="E108" i="25"/>
  <c r="L5" i="15"/>
  <c r="C146" i="25"/>
  <c r="E146" i="25"/>
  <c r="E11" i="7"/>
  <c r="C11" i="7"/>
  <c r="D11" i="7"/>
  <c r="D10" i="7"/>
  <c r="H11" i="7"/>
  <c r="G11" i="7"/>
  <c r="B8" i="25"/>
  <c r="E8" i="25"/>
  <c r="B5" i="15"/>
  <c r="C38" i="25"/>
  <c r="E38" i="25"/>
  <c r="E5" i="15"/>
  <c r="M5" i="15"/>
  <c r="C7" i="11"/>
  <c r="B18" i="25"/>
  <c r="B8" i="14"/>
  <c r="C8" i="14"/>
  <c r="C18" i="25"/>
  <c r="D9" i="7"/>
  <c r="E18" i="25"/>
  <c r="D8" i="14"/>
</calcChain>
</file>

<file path=xl/sharedStrings.xml><?xml version="1.0" encoding="utf-8"?>
<sst xmlns="http://schemas.openxmlformats.org/spreadsheetml/2006/main" count="2418" uniqueCount="549">
  <si>
    <t>Varna</t>
  </si>
  <si>
    <t>Part dans</t>
  </si>
  <si>
    <t>la population</t>
  </si>
  <si>
    <t>Catégorie administrative</t>
  </si>
  <si>
    <t>Discrimination positive</t>
  </si>
  <si>
    <t>Brahmane</t>
  </si>
  <si>
    <t>Aucune  (hautes castes</t>
  </si>
  <si>
    <t>Kshatriya</t>
  </si>
  <si>
    <t>Non</t>
  </si>
  <si>
    <t>Vaysha</t>
  </si>
  <si>
    <t>du « haut du panier »)</t>
  </si>
  <si>
    <t>Shudra</t>
  </si>
  <si>
    <t>Other backward classes</t>
  </si>
  <si>
    <t>Depuis 1991</t>
  </si>
  <si>
    <t>Dalit (Intouchables)</t>
  </si>
  <si>
    <t>Scheduled castes</t>
  </si>
  <si>
    <t>Systématisée  à l’Indépendance</t>
  </si>
  <si>
    <t>Autres groupes</t>
  </si>
  <si>
    <t>Aucune</t>
  </si>
  <si>
    <t>Musulmans</t>
  </si>
  <si>
    <t>Adivasi  (Aborigènes)</t>
  </si>
  <si>
    <t>Scheduled tribes</t>
  </si>
  <si>
    <t>Figure 2: taux de mariage intra-jati baissant graduellement de 96% à 94% de 1970 à 2004 (calculs IHDS 2004-2005)</t>
  </si>
  <si>
    <t>Figure 3: retard d'éducation des SC et des OBC vis-à-vis des autres calculé dans NSS 2009-2010 pour les générations 1947-1989: stable à 4-5 et 3 années, faible diminution au cours du temps</t>
  </si>
  <si>
    <t>Figure 7 sur Hoff-Pandey 2006: toujours aussi spectaculaire</t>
  </si>
  <si>
    <t>pp.50-52: bon survey des bilans des politiques de discrimination positive: pas d'effet clair des sièges réservées sur les politiques suivies (mais meilleure perception des discours, comme pour les femmes? À voir); effet clair sur les emplois publics et les places à l'université, mais plutôt pour les SC et OBC les plus élevés</t>
  </si>
  <si>
    <r>
      <t xml:space="preserve">ou </t>
    </r>
    <r>
      <rPr>
        <i/>
        <sz val="12"/>
        <color rgb="FF231F20"/>
        <rFont val="Arial"/>
        <family val="2"/>
      </rPr>
      <t>backward classes</t>
    </r>
  </si>
  <si>
    <t>Other religions (11,5% pop) have been classified into upper castes and OBC (and SC/ST if relevant)</t>
  </si>
  <si>
    <t>G. Cassan, La caste dans l'Inde en développement, 2015 Opuscule Cepremap, Table 1 - Répartition par caste de la population indienne, calculs à partir de NSS 2009-2010</t>
  </si>
  <si>
    <t>Notes (by GC). Upper castes: non-SC non-ST non-OBC non-Muslim; i.e. "creamy layers" OBCs are included in Upper castes</t>
  </si>
  <si>
    <t>Notes (by TP). Pas d'autres tableaux du même type dans le livre. A noter tout de même:</t>
  </si>
  <si>
    <t>(16/4/2018)</t>
  </si>
  <si>
    <t>Data series from Statistical Abstracts of Colonial India</t>
  </si>
  <si>
    <t>But Maharatas and Kayasths kept separate. Census volume 1931 necessary to obtain state-level results.</t>
  </si>
  <si>
    <t>(17/4/2018)</t>
  </si>
  <si>
    <t>Under British Administration</t>
  </si>
  <si>
    <t>Feudotary States</t>
  </si>
  <si>
    <t>Population</t>
  </si>
  <si>
    <t>Houses</t>
  </si>
  <si>
    <t>Pop/House</t>
  </si>
  <si>
    <t>Total India</t>
  </si>
  <si>
    <t>Hindus</t>
  </si>
  <si>
    <t>Mahomedans</t>
  </si>
  <si>
    <t>Budhists/Jains</t>
  </si>
  <si>
    <t>Christians</t>
  </si>
  <si>
    <t>No religion</t>
  </si>
  <si>
    <t>Madras</t>
  </si>
  <si>
    <t>Bengal</t>
  </si>
  <si>
    <t>Punjab</t>
  </si>
  <si>
    <t>Bombay</t>
  </si>
  <si>
    <t>Oude</t>
  </si>
  <si>
    <t>British Burma</t>
  </si>
  <si>
    <t>(also clear that less than 10% of people engaged in agriculture are proprietors in Bengal-NWP, vs over 60% in Punjab and 90% in Burma: upper caste proprietors expropriated by Islam and Buddhism?)</t>
  </si>
  <si>
    <t>Notes.</t>
  </si>
  <si>
    <t xml:space="preserve">1. Census focuses upon territories under British administration, but see synthetic table p.5 on feudotary states: a little bit everywhere but mostly in Rajputana (Rajasthan) (=100% feudotary state), Bombay, Central India, Punjab) </t>
  </si>
  <si>
    <t>Other (Aborigines,etc.)</t>
  </si>
  <si>
    <t>Sikhs</t>
  </si>
  <si>
    <t>"Classification</t>
  </si>
  <si>
    <t>according to caste</t>
  </si>
  <si>
    <t>and nationality"</t>
  </si>
  <si>
    <t xml:space="preserve">Hindus &amp; hindu origins </t>
  </si>
  <si>
    <t>incl. Brahmins</t>
  </si>
  <si>
    <t>incl. Kshatryas/Rajputs</t>
  </si>
  <si>
    <t>incl. Other castes</t>
  </si>
  <si>
    <t>British/Other Europeans</t>
  </si>
  <si>
    <t xml:space="preserve">incl. Aborigenals tribes and </t>
  </si>
  <si>
    <t xml:space="preserve">2. Key tables: Table 17 (p.50) on "religion"; Table 23 (p.53) on "caste and nationality" </t>
  </si>
  <si>
    <t>(Table 17, p.50)</t>
  </si>
  <si>
    <t>(Table 23, p.53)</t>
  </si>
  <si>
    <t>incl. Outcastes, or not recognizing castes</t>
  </si>
  <si>
    <t>religion"</t>
  </si>
  <si>
    <t xml:space="preserve">according to </t>
  </si>
  <si>
    <t>North-West Provinces</t>
  </si>
  <si>
    <t>Central Provinces</t>
  </si>
  <si>
    <t>(Table 23 more meaningful) (see also p.20-24 of the Report for discussion of caste results)</t>
  </si>
  <si>
    <t>3. Table 28 p.58-59 on occupations: unfortunately not cross-tabulated by castes; but from the numbers it is clear that land proprietors are much more numerous than priests and teachers</t>
  </si>
  <si>
    <t>4. Table 32 p.64 on literacy (close to zero, especially for women, whatever the religion (even for extreme for Hindus than for Muslims), but unfortunately not cross-tabulated by castes)</t>
  </si>
  <si>
    <r>
      <t>Other</t>
    </r>
    <r>
      <rPr>
        <sz val="12"/>
        <color theme="1"/>
        <rFont val="Arial"/>
        <family val="2"/>
      </rPr>
      <t xml:space="preserve"> (Mysore, Assam, etc.)</t>
    </r>
  </si>
  <si>
    <t>5. NWP and Oude later merged as UP (Oud/Oudh include Lucknow).</t>
  </si>
  <si>
    <t>7. I check with GC files: there does not see to exist anything more for 1871-1872 census</t>
  </si>
  <si>
    <t>(p.131: "Brahmans make 3,7% of Hindu pop the full presidency" (=exactly the same numbers as in Memorandum for all India), "but it varies from 1,5% to 13,0% between districts")</t>
  </si>
  <si>
    <t>tables, distinctions between shivaites and vishnuites (southern vs northern districts of Madras presidency), etc., and some interesting cross-tabulations (see below)</t>
  </si>
  <si>
    <t>(p.139: "Kshatryas make only 0,6% of Hindu pop: by marring lower caste women, the race has deteriorated and lost its Aryans origins"; "Rama invaded Ceylon not with an army of monkeys but with an army of southerners: already at that time Aryan Kshatryas were weak, and the South was ruled from Brahmans and Southerners")</t>
  </si>
  <si>
    <t>Brahmans</t>
  </si>
  <si>
    <t>% adult males with occupational information</t>
  </si>
  <si>
    <t>N. adult males with occupational information</t>
  </si>
  <si>
    <t>Military and police</t>
  </si>
  <si>
    <t>Cultivators</t>
  </si>
  <si>
    <t>Property owners</t>
  </si>
  <si>
    <t>Other</t>
  </si>
  <si>
    <t>Government civil service</t>
  </si>
  <si>
    <t>% Brahmans</t>
  </si>
  <si>
    <t>Total population</t>
  </si>
  <si>
    <t>Source: "Report on the Census of the Madras Presidency 1871" (Madras, 1874), p.133-134,177</t>
  </si>
  <si>
    <t>Occupations of adult males in Madras presidency 1871</t>
  </si>
  <si>
    <t>Other (laborers, service workers, etc.)</t>
  </si>
  <si>
    <t>Learned professions and minor professions (priests, teachers, lawyers, doctors, accountants, astrologers)</t>
  </si>
  <si>
    <t>(p.133-134: detailed occupational table for Brahmins: about 1/5 have learned professions and minor professions (priests, teachers, lawyers, doctors, accountants, astrologers, etc.) and 4/5 are land owners or cultivators)</t>
  </si>
  <si>
    <t>Students Madras University (matriculation registers 1857-1872)</t>
  </si>
  <si>
    <t>(p.190-191, 195: interesting cross-tabulations on castes and education, see below)</t>
  </si>
  <si>
    <t>(Report.., p.195: 2058 Brahman students vs 856 other Hindu, 61 Mohammadans, 294 Native Christians, 424 Europeans/Eurasians)</t>
  </si>
  <si>
    <t>(p.252: in many rural districts the proportion of Brahmans among land property owners exceeds 60%)</t>
  </si>
  <si>
    <t>(the Report also stresses that Brahmans cultivators have better quality and quantity land than other cultivators, but no stat on this)</t>
  </si>
  <si>
    <t>(to be compared p.177 with occupational table for total population: quite spectacular; see table below: Brahmans = 3% of pop, but almost 40% of propery owners and 70% of students)</t>
  </si>
  <si>
    <t>(p.256: for some districts we know the proportion of Kshatryas who are property owners: it's always more than average, but much less than Brahmans, e.g. 3% Kshatryas vs 20% Brahmans vs &lt;1% average)</t>
  </si>
  <si>
    <t>(p.257: and in many districts the proportion of Brahmans among learned professions attaints 70%)</t>
  </si>
  <si>
    <t>(p.262: Vaishyas (Chetties) not always decomposed, but when they are they appear as comparable in size to Brahmans, i.e. 2,3% B, 0,4% K, 1,9% V and 95,4% Shudras in a representative rural district)</t>
  </si>
  <si>
    <t xml:space="preserve">(p.221, 239, 285, etc.: literacy rates per district: usually Mohammadans are slightly above Hindus in rural districts: 4-5% vs 2-3%, or sometime 10% vs 5%; Native Christians even more literate) </t>
  </si>
  <si>
    <t>(p.276: other district with 3,6%-0,8%-1,8% for the twice-born B-K-V) (p.287: 1,9-2,2-2,0) (p.293: 6,8-0,3-1,6) (p.298: 2,7-0,3-1,8) (p.356: 3,6-1,4-10,3 in Madras city)</t>
  </si>
  <si>
    <t xml:space="preserve">(5% of total pop can read and write, vs 18% in Madras city, and 41% of Brahmans and 24% of Kshatryas in Madras city) </t>
  </si>
  <si>
    <t>(p.363: clear conclusion: "if the British left, nobody would obey the Brahmans' tyranny, and the country would again be ruled by barbarian invaders")</t>
  </si>
  <si>
    <t>incl. Kannakan (Writers, Accountants)</t>
  </si>
  <si>
    <t>incl. Vaishyas (Chetties, Traders)</t>
  </si>
  <si>
    <t>(Madras report, p.444-445, see below)</t>
  </si>
  <si>
    <t>(p.377-, i.e. 401-471 of pdf: standardized tables: detailed age tables by district; detailed caste table p.444-447; very detailed occupational table p.448-452 (but no cross-tabulation))</t>
  </si>
  <si>
    <r>
      <t>6. The</t>
    </r>
    <r>
      <rPr>
        <b/>
        <sz val="12"/>
        <color theme="1"/>
        <rFont val="Arial"/>
        <family val="2"/>
      </rPr>
      <t xml:space="preserve"> "Report on the Census of the Madras Presidency 1871"</t>
    </r>
    <r>
      <rPr>
        <sz val="12"/>
        <color theme="1"/>
        <rFont val="Arial"/>
        <family val="2"/>
      </rPr>
      <t xml:space="preserve"> (Madras, 1874, 471p.) includes similar tables but with breakdowns for each district of the Madras presidency: caste</t>
    </r>
  </si>
  <si>
    <t>(decomposition Other castes, not reported in Memorandum)</t>
  </si>
  <si>
    <t xml:space="preserve">Nothing at all on caste or religion, but very detailed revenue and import/export statistics to Europe, China, by commidity, bullion, etc. </t>
  </si>
  <si>
    <r>
      <rPr>
        <b/>
        <sz val="12"/>
        <color theme="1"/>
        <rFont val="Arial"/>
        <family val="2"/>
      </rPr>
      <t>Statistical Abstract Relating to British India from 1871/72 to 1880/81</t>
    </r>
    <r>
      <rPr>
        <sz val="12"/>
        <color theme="1"/>
        <rFont val="Arial"/>
        <family val="2"/>
      </rPr>
      <t xml:space="preserve"> (172p., 1882)</t>
    </r>
  </si>
  <si>
    <t>(some issues are missing between the two)</t>
  </si>
  <si>
    <r>
      <rPr>
        <b/>
        <sz val="12"/>
        <color theme="1"/>
        <rFont val="Arial"/>
        <family val="2"/>
      </rPr>
      <t>Statistical Abstract Relating to British India from 1840 to 1865</t>
    </r>
    <r>
      <rPr>
        <sz val="12"/>
        <color theme="1"/>
        <rFont val="Arial"/>
        <family val="2"/>
      </rPr>
      <t xml:space="preserve"> (73p., 1867)</t>
    </r>
  </si>
  <si>
    <t xml:space="preserve">Again nothing at all on caste or religion, but very detailed revenue and import/export statistics to Europe, China, by commidity, bullion, etc. </t>
  </si>
  <si>
    <t>More and more details about budget expenditures, including educational expenditures, number of pupils, but nothing on educational attainement by caste or religion</t>
  </si>
  <si>
    <t>Generally sepaking nothing from census (apart from basic tables on total population by state at the beginning of the report)</t>
  </si>
  <si>
    <t>(1868 27p. supplement with maps of British India and Native states, and more export/import statistics)</t>
  </si>
  <si>
    <r>
      <rPr>
        <b/>
        <sz val="12"/>
        <color theme="1"/>
        <rFont val="Arial"/>
        <family val="2"/>
      </rPr>
      <t>Statistical Abstract Relating to British India from 1872/73 to 1881/82</t>
    </r>
    <r>
      <rPr>
        <sz val="12"/>
        <color theme="1"/>
        <rFont val="Arial"/>
        <family val="2"/>
      </rPr>
      <t xml:space="preserve"> (220p., 1883)</t>
    </r>
  </si>
  <si>
    <t>Again nothing at all on caste, but some basic tables from 1881 census on literary by gender and state and on religion and occupation (no cross-tab, nothing on castes)</t>
  </si>
  <si>
    <t>It is clear that it is better to use the census volumes</t>
  </si>
  <si>
    <r>
      <rPr>
        <b/>
        <sz val="12"/>
        <color theme="1"/>
        <rFont val="Arial"/>
        <family val="2"/>
      </rPr>
      <t>Statistical Abstract Relating to British India from 1873/74 to 1882/83</t>
    </r>
    <r>
      <rPr>
        <sz val="12"/>
        <color theme="1"/>
        <rFont val="Arial"/>
        <family val="2"/>
      </rPr>
      <t xml:space="preserve"> (259p., 1884)</t>
    </r>
  </si>
  <si>
    <r>
      <rPr>
        <b/>
        <sz val="12"/>
        <color theme="1"/>
        <rFont val="Arial"/>
        <family val="2"/>
      </rPr>
      <t>Statistical Abstract Relating to British India from 1874/75 to 1883/84</t>
    </r>
    <r>
      <rPr>
        <sz val="12"/>
        <color theme="1"/>
        <rFont val="Arial"/>
        <family val="2"/>
      </rPr>
      <t xml:space="preserve"> (272p., 1884-1885)</t>
    </r>
  </si>
  <si>
    <r>
      <rPr>
        <b/>
        <sz val="12"/>
        <color theme="1"/>
        <rFont val="Arial"/>
        <family val="2"/>
      </rPr>
      <t>Statistical Abstract Relating to British India from 1875/76 to 1884/85</t>
    </r>
    <r>
      <rPr>
        <sz val="12"/>
        <color theme="1"/>
        <rFont val="Arial"/>
        <family val="2"/>
      </rPr>
      <t xml:space="preserve"> (283p., 1886)</t>
    </r>
  </si>
  <si>
    <r>
      <rPr>
        <b/>
        <sz val="12"/>
        <color theme="1"/>
        <rFont val="Arial"/>
        <family val="2"/>
      </rPr>
      <t>Statistical Abstract Relating to British India from 1880/81 to 1889/90</t>
    </r>
    <r>
      <rPr>
        <sz val="12"/>
        <color theme="1"/>
        <rFont val="Arial"/>
        <family val="2"/>
      </rPr>
      <t xml:space="preserve"> (310p., 1890-1891)</t>
    </r>
  </si>
  <si>
    <r>
      <rPr>
        <b/>
        <sz val="12"/>
        <color theme="1"/>
        <rFont val="Arial"/>
        <family val="2"/>
      </rPr>
      <t>Statistical Abstract Relating to British India from 1904/05 to 1913/14</t>
    </r>
    <r>
      <rPr>
        <sz val="12"/>
        <color theme="1"/>
        <rFont val="Arial"/>
        <family val="2"/>
      </rPr>
      <t xml:space="preserve"> (297p., 1914-1916)</t>
    </r>
  </si>
  <si>
    <t>p.20: spectacular education table from 1911 census: 10% literacy among males (1% english literacy), vs 1% literacy among females (0,1% english literacy); same for Hindus and Mohammadans</t>
  </si>
  <si>
    <t>p.21: decomposition by state (both for British territories and Native states) of literacy rates males vs females 1911 (more literacy in British territories; but what about gap 1871-1911?)</t>
  </si>
  <si>
    <t>p.22: basic table on major castes for all India (Brahman 14,6m, Rajput 9,4m) from census 2011; nothing more</t>
  </si>
  <si>
    <t>Again, it is clear that it is better to use the census volumes</t>
  </si>
  <si>
    <t xml:space="preserve">I.e. I look systematically at all available Statistical Abstracts to see if I miss anything from census reports. </t>
  </si>
  <si>
    <t>Conclusion: detailed results are in the census volumes, there's nothing to learn from these statistical abstracts on castes, religion, occuptations, education</t>
  </si>
  <si>
    <t>(however there's a lot of interesting series on revenues and imports/exports)</t>
  </si>
  <si>
    <t>pp.36-38: main castes from 1931 census. Brahmans vs Rajputs vs Banias-Vashyas. Chattri in Rajputs?</t>
  </si>
  <si>
    <r>
      <t xml:space="preserve">Statistics Abstract for British India with Statistics from 1930/31 to 1939/40 </t>
    </r>
    <r>
      <rPr>
        <sz val="12"/>
        <color theme="1"/>
        <rFont val="Arial"/>
        <family val="2"/>
      </rPr>
      <t xml:space="preserve">(935p., 1943) </t>
    </r>
  </si>
  <si>
    <t>(20-4-2018: volumes 1917-1941 to be checked once I am done with census volumes)</t>
  </si>
  <si>
    <t>(20/4/2018)</t>
  </si>
  <si>
    <t xml:space="preserve">Hindus </t>
  </si>
  <si>
    <t>NWP + Oudh (1881, Nesfield)</t>
  </si>
  <si>
    <t>NWP + Oudh (1871)</t>
  </si>
  <si>
    <t>incl. Other hindus</t>
  </si>
  <si>
    <t>Unfortunately the 1881 Census volumes at my disposal are almost impossible to use</t>
  </si>
  <si>
    <t>In particular the volume "Census of 1881 - Statistics of Population (vol.2)" (305p.) is very difficult to read: tables not well digitized and incomplete</t>
  </si>
  <si>
    <t>So at this stage I solely reproduce the NWP/Oudh table from J. Nesfield "Brief view of the caste system of the North West Provinces and Oudh" (Allahabad, 1885, 150p.)</t>
  </si>
  <si>
    <t xml:space="preserve">Conclusion: the distributions measured in the 1871 and 1881 census are almost identical </t>
  </si>
  <si>
    <t>(although the definitions of "other" are not exactly the same in both sources; but for NWP/Oudh this does not raise big issues)</t>
  </si>
  <si>
    <r>
      <t>"Memorandum on the Census of British India of 1871-1872"</t>
    </r>
    <r>
      <rPr>
        <sz val="12"/>
        <color theme="1"/>
        <rFont val="Arial"/>
        <family val="2"/>
      </rPr>
      <t xml:space="preserve"> (London, 1875, 72p.)</t>
    </r>
  </si>
  <si>
    <r>
      <t>"General Report on the Census of India of 1891"</t>
    </r>
    <r>
      <rPr>
        <sz val="12"/>
        <color theme="1"/>
        <rFont val="Arial"/>
        <family val="2"/>
      </rPr>
      <t>(London, 1893, 335p.)</t>
    </r>
  </si>
  <si>
    <t>p.100: Occupational table: Learned and artistic professions = 1,97% of total pop, incl 1,11% religion (and 0,6% for Priests strictly speaking, see p.94), 0,17% for education, 0,18% for medicine, 0,10% for literature, 0,08% for law, 0,22% for music/acting/singing</t>
  </si>
  <si>
    <t>(unfortunately, all landowners and cultivators are in one category, so that one cannot distinguish the property owners of 1871)</t>
  </si>
  <si>
    <t>p.214: literacy = 10,4% for males (vs 9,1% 1881), 0,5% for females (vs 0,4% in 1881)</t>
  </si>
  <si>
    <t>p.217: state decomposition: only major outliser if Burma (44,3% literacy men,  3,8% women) (role of Buddhist monasteries)</t>
  </si>
  <si>
    <t>p.223: Madras: Brahmans males are 72,2% literate, vs 3,7 Brahman females; in Bombay, 64,5% vs 3,3%; etc. in NWP Brahmans are mostly landowners and agriculturists (only 18% male literate, vs 0,5% female), but Kayasth 61,0% (vs 2,9%).</t>
  </si>
  <si>
    <t>p.270: 7,9 year difference husband-wife in India, vs 2,4 in England/Wales</t>
  </si>
  <si>
    <t>p.171 et p.vi (p.295 pdf): decomposition by religion</t>
  </si>
  <si>
    <t>Other (Animistic,etc.)</t>
  </si>
  <si>
    <t>p.17: basic table on total population</t>
  </si>
  <si>
    <t>Hindus &amp; hindu origins</t>
  </si>
  <si>
    <t xml:space="preserve">Various other notes on "General Report on the Census of India of 1891" </t>
  </si>
  <si>
    <t>British/Other Europeanq</t>
  </si>
  <si>
    <t>incl. Marathas</t>
  </si>
  <si>
    <t>incl. Vaishyas/Banias/Mahajan</t>
  </si>
  <si>
    <t>Notes on caste tables (p.190-208 of the "General Report on the Census of India of 1891"  )</t>
  </si>
  <si>
    <t>incl. Kayasths</t>
  </si>
  <si>
    <t>Other second-borns within Other castes:</t>
  </si>
  <si>
    <t>p.190-208: caste tables</t>
  </si>
  <si>
    <t>1. The notion of "Hindus and hindu origins" used here follows the 1871 notion and includes Buddhists/Jains/Sicks/Aborigenes/Natives Christians (i.e. with the only exception of Muslims and British/Other Europeans); this is probably the simplest consistent way to proceed</t>
  </si>
  <si>
    <t>2. The caste section of the 1891 "General Report" (p.190-208) clearly illustrates the huge difficulties faced by the British to classify into varnas the local information on castes and jatis which they collect</t>
  </si>
  <si>
    <t>Here I start from the "Brahmans" and "Kshatryas/Rajputs" general categories used in 1871 (&gt;&gt;&gt;almost exactly the same proportions on the population as in 1871), but it is clear</t>
  </si>
  <si>
    <t>that there are many other upper castes/second borns within upper castes: to illustrate this, I also report the numbers given for "Marathas" (given on p.190 with Rajputs, Jats and other "Military Classes"),</t>
  </si>
  <si>
    <t>the numbers given for "Vaishyas/Banias/Mahajans" (p.201 on "Trader classes": there are probably other groups here that could be classified as Vaishyas, but there's no way to know),</t>
  </si>
  <si>
    <t>and the numbers given for "Kayasths" (p.204 on "Writers classes")</t>
  </si>
  <si>
    <t xml:space="preserve"> &gt;&gt;&gt; what's interesting is to see how British administrators hesitate between an occupational scale and a religious scale (which was never fully codified since Manu's Code)</t>
  </si>
  <si>
    <t>Notes on "Imperial Tables for Burma, 1891 Census vol. X" (652p)</t>
  </si>
  <si>
    <t>It is clear that state volumes contain a lot more information and cross-tabulations, e.g. on education: confirmation of high-education of Burma (non-Buddhists groups also seem better educated than in India, but they are so small that it's hard to interpret)</t>
  </si>
  <si>
    <t xml:space="preserve">Various notes on "Census of India 1901 - Part 1, Report" </t>
  </si>
  <si>
    <r>
      <t xml:space="preserve">"Census of India, 1901. Part 1, Report" </t>
    </r>
    <r>
      <rPr>
        <sz val="12"/>
        <color theme="1"/>
        <rFont val="Arial"/>
        <family val="2"/>
      </rPr>
      <t>(Calcutta, 1903, 666p.)</t>
    </r>
  </si>
  <si>
    <t>(22/4/2018)</t>
  </si>
  <si>
    <t>p.159-160: table: 10% literacy men, &lt;1% women, pretty much everywhere except Burma (38% male 5% female); "Burma is far ahead in education thanks to an elaborate system of indigenous free education, run by Buddhist monks attached to monasteries"</t>
  </si>
  <si>
    <t>p.177-182: detailed education table by state, sex and caste: up to 50-60% for Brahman males vs &lt;5% for females (Madras 58% vs  4%; Bengal 47% vs 3%)</t>
  </si>
  <si>
    <t>p.395-400: detailed religion table</t>
  </si>
  <si>
    <t>p.545-558: usual discussion on the origins of caste, Nesfield functionalism insufficient, race and religion also matter, etc.</t>
  </si>
  <si>
    <t>p.576:general  religion table</t>
  </si>
  <si>
    <t>p.581: statistics of main castes: results are relatively close to 1891 (except for the large rise in Marathas: unclear whether this is meaningful)</t>
  </si>
  <si>
    <r>
      <t xml:space="preserve">Various notes on "Census of India 1901 - Part 2, Tables" </t>
    </r>
    <r>
      <rPr>
        <sz val="12"/>
        <color theme="1"/>
        <rFont val="Arial"/>
        <family val="2"/>
      </rPr>
      <t xml:space="preserve">(Calcutta, 1903, 606p.) </t>
    </r>
  </si>
  <si>
    <t xml:space="preserve">Bombay </t>
  </si>
  <si>
    <t>Rajputana</t>
  </si>
  <si>
    <t>incl. Banias/Mahajan (Vaishyas)</t>
  </si>
  <si>
    <t>incl. Khattri (Kshatryas)</t>
  </si>
  <si>
    <t>p.272-349: detailed list of castes: same as Part 1 p.581 but with decomposition by religion and states (to be completed)</t>
  </si>
  <si>
    <t>p.405-411: very interesting table indicating for each main caste and state the traditional caste occupation and the actual distribution of occupations</t>
  </si>
  <si>
    <t>E.g. one can see that brahmins often occupy "learned professions", but are even more often in agriculture (unfortunately, no owner vs cultivator dstinction, unlike in 1871)</t>
  </si>
  <si>
    <t>In contrast Rajpus are almost always in agriculture, and never in learned professions.</t>
  </si>
  <si>
    <r>
      <t xml:space="preserve">Various notes on "Census of India 1901 - Volume 1, Ethnographic appendices" </t>
    </r>
    <r>
      <rPr>
        <sz val="12"/>
        <color theme="1"/>
        <rFont val="Arial"/>
        <family val="2"/>
      </rPr>
      <t xml:space="preserve">(Calcutta, 1903, 284p.) </t>
    </r>
  </si>
  <si>
    <t>Mostly anthropometric data, but also data on castes from which second-borns can take water from, castes that are beef-eaters, etc.</t>
  </si>
  <si>
    <t>(these difficulties are still with us today: Jats = recognized as OBC in some states but not others (agricultural caste fighting against Moghuls); Marathas = also asking for reservation today, on the ground that many Brahmins refused to recognize them as Kshatryas and discriminated them (access to temples etc.) in 18c-19c)</t>
  </si>
  <si>
    <t>Unit.Prov.</t>
  </si>
  <si>
    <t>Other upper castes within Other castes:</t>
  </si>
  <si>
    <t>(Kayasths often have even higher literacy than Brahmans, I.e. 56% males and 7% females in Bengal)</t>
  </si>
  <si>
    <t>(unfortunately Brahmans/Khsatryas in UP/Punjab not give (nor in Part 2): it would be interesting to see how much the gap is reduced when upper castes are larger)</t>
  </si>
  <si>
    <t>p.149-155: education by state, sex and caste: same data as in Part 1 p.177-182 but with exact numbers from each caste (and not only ratios; nothing more)</t>
  </si>
  <si>
    <t>(23/4/2018)</t>
  </si>
  <si>
    <t>Total India (1881)</t>
  </si>
  <si>
    <t>Notes. Data for NWP/Oudh 1881 from Nesfield 1885, p.2-5 and 129-132</t>
  </si>
  <si>
    <t>Data for NWP/Oudh 1871 from census volumes for 1871 (see formulas)</t>
  </si>
  <si>
    <t>Data for Total India 1881 taken from Census 1911, Part 1 Report, p.141, and Part 2 p.6</t>
  </si>
  <si>
    <t xml:space="preserve">Various notes on "Census of India 1911 - Part 1, Report" </t>
  </si>
  <si>
    <r>
      <t xml:space="preserve">Various notes on "Census of India 1911 - Part 2, Tables" </t>
    </r>
    <r>
      <rPr>
        <sz val="12"/>
        <color theme="1"/>
        <rFont val="Arial"/>
        <family val="2"/>
      </rPr>
      <t xml:space="preserve">(Calcutta, 1913, 458p.) </t>
    </r>
  </si>
  <si>
    <t>Kshatryas</t>
  </si>
  <si>
    <t>Kayasths (écrivains, comptables)</t>
  </si>
  <si>
    <t>Kshatryas (Rajputs) (guerriers)</t>
  </si>
  <si>
    <t>(Natives christians, Buddhists/Jains, Sikhs, Aborigines, etc. are included in "Hindus and hindu origins" in table 23) (I have also added the "Mixed races/Other asians" (less than 1%))</t>
  </si>
  <si>
    <t xml:space="preserve">Lecture: lors du recensement britannique de 1871, 6,7% de la population hindoue est classée comme faisant partie des "Brahmanes". </t>
  </si>
  <si>
    <t xml:space="preserve">Kshatryas (Khattris) (guerriers) </t>
  </si>
  <si>
    <t>Vaishyas (Banyas) (marchands, artisans)</t>
  </si>
  <si>
    <t>Marathas (caste régionale Maharastra)</t>
  </si>
  <si>
    <t>Hautes castes (définition étroite)</t>
  </si>
  <si>
    <t>Hautes castes (définition large)</t>
  </si>
  <si>
    <t xml:space="preserve">Kshatryas (guerriers) </t>
  </si>
  <si>
    <t xml:space="preserve">Brahmins </t>
  </si>
  <si>
    <t>Rajputs</t>
  </si>
  <si>
    <t>Kayasthas</t>
  </si>
  <si>
    <t>Vaishyas/Banias</t>
  </si>
  <si>
    <t>Marathas</t>
  </si>
  <si>
    <t>Muslims (700-799)</t>
  </si>
  <si>
    <t>Total Hindus</t>
  </si>
  <si>
    <t xml:space="preserve">Total </t>
  </si>
  <si>
    <t>Vaishyas</t>
  </si>
  <si>
    <t>2009: "Findings from 2009 Survey" (CSDS, 2009), p.121-128</t>
  </si>
  <si>
    <t>2014: "All-India Post-Poll 2014 Survey Findings" (CSDS, 2014), p.68-76</t>
  </si>
  <si>
    <t>Note 2: There seems to be a weighting pb in 1985: "Indian National Election Studies 1967, 1971, 1979, 1985 - Codebook for 1985", p.38-39: Brahman 9,6%, Kshatryas  9,4%, Vaishyas 12,1% (and backward 14,0%) : very strange (probably an overweighting pb or something like this)</t>
  </si>
  <si>
    <t>Note 1: I need to better understand the structure of their caste questionnaire and to include other upper-caste categories (probably all responses in first question codes)</t>
  </si>
  <si>
    <t>1971: "Indian National Election Studies 1967, 1971, 1979, 1985 - Codebook for 1971", p.159-163 (using "Questionnaire for 1971, 1979 and 1985 Data", pdf p.209-217)</t>
  </si>
  <si>
    <t>1979: "Indian National Election Studies 1967, 1971, 1979, 1985 - Codebook for 1979", p.9-12 (using "Questionnaire for 1971, 1979 and 1985 Data", pdf p.209-217)</t>
  </si>
  <si>
    <t>The questionnaire used in 1971-1985 is more explicit about the list of Vaishyas group and therefore leads to a higher total (here I have reported total Vaishyas for 1971-1979;</t>
  </si>
  <si>
    <t>maybe I should only report the Banyas; to be clarified)</t>
  </si>
  <si>
    <t>Bihar/Orissa</t>
  </si>
  <si>
    <t>pp.38-42: general table on religion by states</t>
  </si>
  <si>
    <t>p.388-389: Europeans</t>
  </si>
  <si>
    <t>("be careful that Banias are a general designation, and that the decline between 1891 and 1911 is simply due to a greater accuracy in returning the real castes")</t>
  </si>
  <si>
    <t>p.396: very interesting table on "variations in certain main castes since 1891" (Brahmins-Rajputs-Kayasths very stable but rise in Marathas and huge fall in Banyas)</t>
  </si>
  <si>
    <t>Literacy rates (all ages)</t>
  </si>
  <si>
    <t>Males</t>
  </si>
  <si>
    <t>Females</t>
  </si>
  <si>
    <t>M.Brahmans</t>
  </si>
  <si>
    <t>F. Brahmans</t>
  </si>
  <si>
    <t>% Brahmans in Male Hindu Literate</t>
  </si>
  <si>
    <t>% Brahmans in Femal Hindu Literate</t>
  </si>
  <si>
    <t>(and Rajputs have very low literacy whenever they appear: 5% literacy in Punjab and Rajputana, 10% in UP) (Marathas &lt;5% literate in Bombay)</t>
  </si>
  <si>
    <t>(other illustration: Kayasths less numerous in Bihar/Orissa than Bengal and therefore more elitists, unlike Bengal; Baidya even smaller in Bengal and even more elitists; Khattris more educated than Brahmans in Punjab; etc.)</t>
  </si>
  <si>
    <t>See computations above: larger Brahman groups (UP/Punjab/Rajputana vs Bengal/Bombay/Madras) have smaller educational advantage and do not represent a substantially bigger share of all literate individuals (and aggregate literacy of their state is lower)</t>
  </si>
  <si>
    <t>Same basic pattern as 1891-1901: one can see that more numerous upper castes are less advanced: in UP, Punjab, Rajputana, male Brahmans are only 15-20% literate, vs 60-70% in Madras and Bengal</t>
  </si>
  <si>
    <t>p.446: ownership of factories by British/Europeans vs Indians (nothing on size of factories, but sufficient to compute huge British/European share) (as compared to 0,1% population share)</t>
  </si>
  <si>
    <t>pp.81-100: education by caste and state (nothing more than Part 1 p.311-320: absolute numbers instead of fractions)</t>
  </si>
  <si>
    <t>pp.178-228: castes by state: even more detailed than in Part 1</t>
  </si>
  <si>
    <t>(see e.g. Baidya p.180 = even more advanced in education than Kayasths/Brahmans in Bengal, but only 44,000, and only in in Bengal)</t>
  </si>
  <si>
    <t>p.219: be careful: some castes have a significant muslim component, e.g. 1,6m out of 9,4m Rajputs, so including all Rajput in Hindu upper castes (as I do above and for previous censuses) is highly questionnable (in effect, they are counted twice on the table) &gt;&gt;&gt; to be clarified when I clarify FC/OBC division for Muslims</t>
  </si>
  <si>
    <t>Total population (workers &amp; dependants)</t>
  </si>
  <si>
    <t>Public administration</t>
  </si>
  <si>
    <t>Professions and liberal arts</t>
  </si>
  <si>
    <t>incl. Religion</t>
  </si>
  <si>
    <t>inc. Priests</t>
  </si>
  <si>
    <t>incl. Law/Medicine/Instruction/Letters/Arts/Sciences</t>
  </si>
  <si>
    <t>Proprietors (other than agricultural land)</t>
  </si>
  <si>
    <t>Ordinary cultivators</t>
  </si>
  <si>
    <t>Public force (army, navy, police)</t>
  </si>
  <si>
    <t>Other (labourers, servants, herdsmen, workers, traders etc.)</t>
  </si>
  <si>
    <t>Land proprietors (Means of livelihood or occupation: income from rent of agricultural land)</t>
  </si>
  <si>
    <t>Total population (male workers only)</t>
  </si>
  <si>
    <t>Total pop/male workers</t>
  </si>
  <si>
    <t>Pb: state-level total population per occupation are given only for workers+dependants (not for male workers only) (while state-level caste-level population per occupation are given only for male workers), so I need to estimate the state-level "male workers only" (see formulas)</t>
  </si>
  <si>
    <t>Brahman male workers only</t>
  </si>
  <si>
    <t>Kayasths male workers only</t>
  </si>
  <si>
    <t>Share of each occupation among Brahman male workers</t>
  </si>
  <si>
    <t>Share of Brahman male workers in each occupation</t>
  </si>
  <si>
    <t>Share of each occupation among Kayasths male workers</t>
  </si>
  <si>
    <t>Share of Kayasths male workers in each occupation</t>
  </si>
  <si>
    <t>pp.311-320: education by caste and state: same results and castes as in Part 2 p.81-100 but expressed in literacy rates (more convenient)</t>
  </si>
  <si>
    <t>Basic result: Brahmans make about 5% of the population, but 30-40% of the literate population, with interesting variations across states.</t>
  </si>
  <si>
    <t xml:space="preserve">pp.262-312: very detailed occupations by states </t>
  </si>
  <si>
    <t xml:space="preserve">pp.358-373: detailed occupations by castes </t>
  </si>
  <si>
    <t>Basic results: in Bengal, Brahmans/Kshatryas make 4-5% of pop, but 30-40% of proprietors and 60% of learned professions</t>
  </si>
  <si>
    <t>Pb: the way the data was constructed does not include any information on property size, and does not allow for a precise comparison between Brahmans and Rajputs in terms of property</t>
  </si>
  <si>
    <t>(Pb =  for Rajputs, the number "reporting their traditional caste occupatuin as main occupation" include both cultivators (including land proprietors) and soldiers, with no separate figures for proprietors and cultivators)</t>
  </si>
  <si>
    <t>(When separate numbers are given for land proprietors, i.e. for Bombay p.362, the proportions of proprietors are roughly the same for Brahmans and Rajputs (small group in Bombay), and much smaller for Marathas; in terms of total numbers of proprietors, Rajputs+Marathas are somewhat bigger than Brahmans)</t>
  </si>
  <si>
    <t>&gt;&gt;&gt; from this imperfect data, it looks as if Brahmans are dominant both for education and property (of course they are more dominant in education)</t>
  </si>
  <si>
    <t>(Most striking comparison: in Bombay Brahmans have 6768 land proprietors vs 9038 ordinary cultivators, while Rajputs have 3565 vs 21118 and Marathas 6730 vs 293203)</t>
  </si>
  <si>
    <t>(Also the numbers of non-land proprietors are given separately and always seem to be higher, in proportion and absolute numbers, for Brahmans than for Rajputs, in UP/Punjab/Bombay)</t>
  </si>
  <si>
    <t xml:space="preserve"> and should be 5% so everything should be multiplied by 4-5 &gt;&gt;&gt; same results as for Bengal and Bihar/Orissa)</t>
  </si>
  <si>
    <t>Pb with Bombay: too few Brahmans have been tabulated by occupation (overall proportion is 0,8% instead of 4-5%, so all proportions should be multiplied by 4-5 &gt;&gt; same results as for Bengal and Bihar/Orissa, i.e. 20% of land owners and over 50-70% of learned professions, in the absence of Kayasths)</t>
  </si>
  <si>
    <t>Various notes on state volumes</t>
  </si>
  <si>
    <t>Bengal Vol.2 p.362-370: same as "occupations by castes" in all-India report (with additional details on some sub-castes)</t>
  </si>
  <si>
    <t>30-4-2018: to be checked with other states (Bombay in particular), and to be extended to 1921-1931-1941 and post-Independance</t>
  </si>
  <si>
    <t>Preliminary results from Indian post-electoral surveys (NES/CSDS) (using published tabulations, i.e. before having access to the micro-files)</t>
  </si>
  <si>
    <t>Voir texte de l'annexe au chapitre pour les références bibliographiques complètes liées à ces estimations</t>
  </si>
  <si>
    <t>Données utilisées pour le graphique sur la structure des sociétés ternaires en Europe et en Inde</t>
  </si>
  <si>
    <t>Clergé/Brahmanes</t>
  </si>
  <si>
    <t>Nobles/Kshatryas</t>
  </si>
  <si>
    <t>Total</t>
  </si>
  <si>
    <t>France 1780</t>
  </si>
  <si>
    <t>France: voir Chapitre2TableauxGraphiques.xlsx</t>
  </si>
  <si>
    <t>Rajputs/Kshatryas</t>
  </si>
  <si>
    <t>Other upper castes (Kayasthas, Vaishyas/Banias, Marathas, Vaishyas)</t>
  </si>
  <si>
    <t>France 1560</t>
  </si>
  <si>
    <t>Voir feuilles Dataxx pour une description détaillées des sources et méthodes utilisées</t>
  </si>
  <si>
    <t>Hypothèses sous-jacentes à la mise à jour 2010-2020 (voir Le capital au 21e siècle, 2013, Chapitre2TableauxGraphiques.xlsx, Tableaux 2.5 et S2.2):</t>
  </si>
  <si>
    <t xml:space="preserve">Sources: </t>
  </si>
  <si>
    <t>Population mondiale (en milliards d'habitants)</t>
  </si>
  <si>
    <t>Source: Calculs de l'auteur à partir des séries historiques de Angus Maddison, "Historical statistics of the world economy 1-2008" (February 2010) et des séries Nations Unies/Banque Mondiale pour la période 1990-2012 (Octobre 2012). La Russie a été incluse dans l'Europe, et les anciennes républiques d'Asie centrale et l'Océanie dans l'Asie. Tous les détails sont donnés dans le fichier excel suivant: MaddisonWorldGDPSeries1to2008.xls, feuille "CorrectedSummaryTables". Le lien vers ce fichier a été rompu le 8-2-2013. Voir ce fichier pour modifications et mises à jour.</t>
  </si>
  <si>
    <t>Autres pays d'Asie</t>
  </si>
  <si>
    <t>Asie Centrale</t>
  </si>
  <si>
    <t>Moyen Orient (y.c. Turquie)</t>
  </si>
  <si>
    <t>Australie/NZ</t>
  </si>
  <si>
    <t>Japon</t>
  </si>
  <si>
    <t>Inde</t>
  </si>
  <si>
    <t>Chine</t>
  </si>
  <si>
    <t>Afrique Sub-saharienne</t>
  </si>
  <si>
    <t>Afrique du Nord</t>
  </si>
  <si>
    <t>Amérique Latine</t>
  </si>
  <si>
    <t>Amérique du Nord</t>
  </si>
  <si>
    <t>Russie (+Ukraine/ Biélorussie/ Moldavie)</t>
  </si>
  <si>
    <t>Europe de l'Est</t>
  </si>
  <si>
    <t>Europe de l'Ouest</t>
  </si>
  <si>
    <t>Population mondiale (millions)</t>
  </si>
  <si>
    <t>Asie</t>
  </si>
  <si>
    <t>Afrique</t>
  </si>
  <si>
    <t>Amérique</t>
  </si>
  <si>
    <t>Europe</t>
  </si>
  <si>
    <t>Population mondiale</t>
  </si>
  <si>
    <t>Tableau S1.2b. Données détaillées sur la répartition de la population mondiale, 0-2012</t>
  </si>
  <si>
    <t>Tableau S1.2a. La répartition de la population mondiale, 0-2012 (séries utilisées pour les graphiques 1.2 et S1.2)</t>
  </si>
  <si>
    <t>(feuille reprise directement de T. Piketty, Le capital au 21e siècle, 2013, Chapitre1TablauxGraphiques.xlsx, Tableau S1.2)</t>
  </si>
  <si>
    <t>Données utilisées pour le graphique sur la population dans les grandes régions du monde 1700-2050</t>
  </si>
  <si>
    <t>Croissance pop mondiale 2012-2020</t>
  </si>
  <si>
    <t>Données utilisées pour le graphique sur la population dans les régions monde 1700-2050</t>
  </si>
  <si>
    <t>Source: Calculs de l'auteur à partir des séries historiques de Angus Maddison, "Historical statistics of the world economy 1-2008" (February 2010), des séries officielles Nations Unies/Banque Mondiale pour la période 1990-2012 (Octobre 2012), et des projections officielles de l'ONU pour la période 2012-2100 (UN Population Prospects, April 2011 version) (scénario médian, puis scénario haut, puis scénario bas). La Russie a été incluse dans l'Europe, et les anciennes républiques d'Asie centrale et l'Océanie dans l'Asie. Tous les détails sont donnés dans les fichiers excel suivants: les données population 0-2012 ont été directement copiées du tableau S1.2 (lien rompu le 8-2-2013); les projections ont été directement copiées du fichier WorldGDP.xls feuilles TableW8, TableW8H et Table W8L</t>
  </si>
  <si>
    <t>2100 (L)</t>
  </si>
  <si>
    <t>2070 (L)</t>
  </si>
  <si>
    <t>2070-2100 (L)</t>
  </si>
  <si>
    <t>2050 (L)</t>
  </si>
  <si>
    <t>2050-2070 (L)</t>
  </si>
  <si>
    <t>2030 (L)</t>
  </si>
  <si>
    <t>2030-2050 (L)</t>
  </si>
  <si>
    <t>2100 (H)</t>
  </si>
  <si>
    <t>2012-2030 (L)</t>
  </si>
  <si>
    <t>2070 (H)</t>
  </si>
  <si>
    <t>2070-2100 (H)</t>
  </si>
  <si>
    <t>2050 (H)</t>
  </si>
  <si>
    <t>2050-2070 (H)</t>
  </si>
  <si>
    <t>2030 (H)</t>
  </si>
  <si>
    <t>2030-2050 (H)</t>
  </si>
  <si>
    <t>2100 (M)</t>
  </si>
  <si>
    <t>2012-2030 (H)</t>
  </si>
  <si>
    <t>2070 (M)</t>
  </si>
  <si>
    <t>2070-2100</t>
  </si>
  <si>
    <t>2050 (M)</t>
  </si>
  <si>
    <t>2050-2070</t>
  </si>
  <si>
    <t>2030 (M)</t>
  </si>
  <si>
    <t>2030-2050</t>
  </si>
  <si>
    <t>2012-2030</t>
  </si>
  <si>
    <t>1990-2012</t>
  </si>
  <si>
    <t>1970-1990</t>
  </si>
  <si>
    <r>
      <rPr>
        <sz val="10"/>
        <rFont val="Arial"/>
        <family val="2"/>
      </rPr>
      <t>1950-</t>
    </r>
    <r>
      <rPr>
        <sz val="10"/>
        <rFont val="Arial"/>
        <family val="2"/>
      </rPr>
      <t>1970</t>
    </r>
  </si>
  <si>
    <r>
      <rPr>
        <sz val="10"/>
        <rFont val="Arial"/>
        <family val="2"/>
      </rPr>
      <t>1913-</t>
    </r>
    <r>
      <rPr>
        <sz val="10"/>
        <rFont val="Arial"/>
        <family val="2"/>
      </rPr>
      <t>1950</t>
    </r>
  </si>
  <si>
    <t>1820-1913</t>
  </si>
  <si>
    <r>
      <t>1</t>
    </r>
    <r>
      <rPr>
        <sz val="10"/>
        <rFont val="Arial"/>
        <family val="2"/>
      </rPr>
      <t>700-1820</t>
    </r>
  </si>
  <si>
    <r>
      <t>1500</t>
    </r>
    <r>
      <rPr>
        <sz val="10"/>
        <rFont val="Arial"/>
        <family val="2"/>
      </rPr>
      <t>-1700</t>
    </r>
  </si>
  <si>
    <t>1000-1500</t>
  </si>
  <si>
    <r>
      <rPr>
        <sz val="10"/>
        <rFont val="Arial"/>
        <family val="2"/>
      </rPr>
      <t>0-</t>
    </r>
    <r>
      <rPr>
        <sz val="10"/>
        <rFont val="Arial"/>
        <family val="2"/>
      </rPr>
      <t>1000</t>
    </r>
  </si>
  <si>
    <t>Population mondiale (taux de croissance)</t>
  </si>
  <si>
    <t xml:space="preserve">Tableau S2.2d. Séries détaillés sur la population mondiale 0-2100 </t>
  </si>
  <si>
    <t xml:space="preserve">Tableau S2.2c. La population mondiale 0-2100 </t>
  </si>
  <si>
    <t xml:space="preserve">Tableau S2.2b. Séries détaillés sur les taux de croissance de la population mondiale 0-2100 </t>
  </si>
  <si>
    <t>Tableau S2.2a. Le taux de croissance de la population mondiale 0-2100 (séries utilisées pour le graphique 2.2)</t>
  </si>
  <si>
    <t>(feuille reprise directement de T. Piketty, Le capital au 21e siècle, 2013, Chapitre2TablauxGraphiques.xlsx, Tableau S2.2)</t>
  </si>
  <si>
    <t>Prévisions 2030-2050: version médiane des prévisions ONU (voir formules et liens)</t>
  </si>
  <si>
    <t>Reste de l'Asie</t>
  </si>
  <si>
    <t>Amériques</t>
  </si>
  <si>
    <t>Europe (y.c. Russie-Ukraine)</t>
  </si>
  <si>
    <t>Europe (hors Russie-Ukraine)</t>
  </si>
  <si>
    <t>Asies</t>
  </si>
  <si>
    <t>Afriques</t>
  </si>
  <si>
    <t>Total hautes castes</t>
  </si>
  <si>
    <t>(milliers)</t>
  </si>
  <si>
    <t>Données sur la population en Inde 1871-2011</t>
  </si>
  <si>
    <t>Hindous</t>
  </si>
  <si>
    <t>Autres</t>
  </si>
  <si>
    <t>Aborigènes</t>
  </si>
  <si>
    <t>Sources: recensements indiens 1871-2011. Voir Bharti 2018, Table 2</t>
  </si>
  <si>
    <t>Source: recensements indiens; voir feuille T8.1</t>
  </si>
  <si>
    <t>Scheduled castes (SC)</t>
  </si>
  <si>
    <t>Schedules tribes (ST)</t>
  </si>
  <si>
    <r>
      <t>Données sur la structure de la société de castes 1871-2014</t>
    </r>
    <r>
      <rPr>
        <sz val="12"/>
        <color theme="1"/>
        <rFont val="Arial"/>
        <family val="2"/>
      </rPr>
      <t xml:space="preserve"> (voir liens vers les feuilles suivantes)</t>
    </r>
  </si>
  <si>
    <t>(2) En 1881, les effectifs de Brahmans et Kshatryas proviennent uniquement de NWP et Oudh (et les effectifs de Vaishyas et Kayasths sont calculés comme la moyenne 1891-1901)</t>
  </si>
  <si>
    <t>Notes (voir formules et feuilles par recensements). (1) En 1871, les effectifs de Vaishyas et Kayasths proviennent uniquement de Madras</t>
  </si>
  <si>
    <t>Year</t>
  </si>
  <si>
    <t>Royaume-Uni: voir Chapitre5TableauxGraphiques.xlsx</t>
  </si>
  <si>
    <t>Autres hautes castes (Vaishyas + Kayasths)</t>
  </si>
  <si>
    <t>Brahmanes (prêtres, lettrés)</t>
  </si>
  <si>
    <t>Population hindoue totale</t>
  </si>
  <si>
    <t>Données utilisées sur la structure des hautes castes en Inde</t>
  </si>
  <si>
    <t>Sources: voir tableau 8.2</t>
  </si>
  <si>
    <t>Brahmanes</t>
  </si>
  <si>
    <t>Kshatryas (Rajputs)</t>
  </si>
  <si>
    <t>Vaishyas (Banias) + Kayasths</t>
  </si>
  <si>
    <t>Inde: tableau 8.2</t>
  </si>
  <si>
    <t>ST</t>
  </si>
  <si>
    <t>SC</t>
  </si>
  <si>
    <t>SC+ST</t>
  </si>
  <si>
    <t>OBC</t>
  </si>
  <si>
    <t>SC+ST +OBC</t>
  </si>
  <si>
    <t>Données utilisées sur la structure des basses castes en Inde</t>
  </si>
  <si>
    <t>Detailed series on SC-ST-OBC by religion. Source: NSS, Nitin Barthi 2018</t>
  </si>
  <si>
    <t>%ST</t>
  </si>
  <si>
    <t>%SC</t>
  </si>
  <si>
    <t>SCST</t>
  </si>
  <si>
    <t>non-SCST</t>
  </si>
  <si>
    <t>SCST /overall</t>
  </si>
  <si>
    <t>SCST /nonSCCT</t>
  </si>
  <si>
    <t>FC</t>
  </si>
  <si>
    <t>Hindu</t>
  </si>
  <si>
    <t>Muslim</t>
  </si>
  <si>
    <t>Non-Hindu</t>
  </si>
  <si>
    <t>Overall</t>
  </si>
  <si>
    <t>Census</t>
  </si>
  <si>
    <t>%SC+ST</t>
  </si>
  <si>
    <t>(Barthi 2008, extended version of Table 2)</t>
  </si>
  <si>
    <t>Literary rates from surveys collected by Nitin Barthi (update of Barthi 2018, Table 15)</t>
  </si>
  <si>
    <t>Rural</t>
  </si>
  <si>
    <t>Urban</t>
  </si>
  <si>
    <t>Combined</t>
  </si>
  <si>
    <t>Female</t>
  </si>
  <si>
    <t>Male</t>
  </si>
  <si>
    <t>SC/Overall</t>
  </si>
  <si>
    <t>SCST/Overall</t>
  </si>
  <si>
    <t>nonSCST</t>
  </si>
  <si>
    <t>SCST/nonSCST</t>
  </si>
  <si>
    <t>ST/Overall</t>
  </si>
  <si>
    <t>27..38</t>
  </si>
  <si>
    <t>18.1.9</t>
  </si>
  <si>
    <t>Data series on consumption inequality from Nitin Barthi 2018</t>
  </si>
  <si>
    <t>%OBC</t>
  </si>
  <si>
    <t>Mean per capital expenditures (Rs 2014) from NSS surveys collected by Nitin Barthi (update of Barthi 2018, Table 15 and Figure 2)</t>
  </si>
  <si>
    <t>Sources: recensements et NSS. Nitin Barthi 2018. See links.</t>
  </si>
  <si>
    <t>Données utilisées sur basses castes et inégalités en perspective comparative</t>
  </si>
  <si>
    <t>Sources: Inde: recensements et NSS. Nitin Barthi 2018. See links.</t>
  </si>
  <si>
    <t>India: per capita expenditure SC-ST/rest of pop</t>
  </si>
  <si>
    <t>South Africa: per capita income black/white</t>
  </si>
  <si>
    <t xml:space="preserve">South Africa: Leibbrant et al 2010 Table 1.1 (see also Pupwe 2015 Appendix Table 2.1) </t>
  </si>
  <si>
    <t>USA: Bayer-Charles 2018 Appendix Table 2 (earnings) (consistent with Kuhn-Schularick-Steins 2018, Figure 9, much lower ratios for wealth)</t>
  </si>
  <si>
    <t>US: per capita income black/white (mean income of mean with positive earnings)</t>
  </si>
  <si>
    <t>US: per capita income black/white (median income of all men)</t>
  </si>
  <si>
    <t xml:space="preserve">US: per capita income black/white </t>
  </si>
  <si>
    <t>p.480: income tax data from Bengal showing overrespresentation of Kayasths in upper income brackets (see Weber 1916, p.223)</t>
  </si>
  <si>
    <t>Percentage of population</t>
  </si>
  <si>
    <t>Rur_UR</t>
  </si>
  <si>
    <t>year1</t>
  </si>
  <si>
    <t>India</t>
  </si>
  <si>
    <t>Rur</t>
  </si>
  <si>
    <t>Ur</t>
  </si>
  <si>
    <t>1967: no published tabulation</t>
  </si>
  <si>
    <t>Hindus (as defined bynon-muslims)</t>
  </si>
  <si>
    <t>Hindus (as defined by table 8.1)</t>
  </si>
  <si>
    <t>Brahmins</t>
  </si>
  <si>
    <t>Kshatryas/Rajputs</t>
  </si>
  <si>
    <t>Note (17/12/2018). I compute higher-caste shares as a fraction of hindu population as defined by non-muslim population, because there can be upper castes in other religions, and it is too complicated to do the adjustment (it makes very litte diffence anyway)</t>
  </si>
  <si>
    <t>(17/12/2018)</t>
  </si>
  <si>
    <r>
      <t xml:space="preserve">"Census of India, 1911. Part 1, Report" </t>
    </r>
    <r>
      <rPr>
        <sz val="12"/>
        <color theme="1"/>
        <rFont val="Arial"/>
        <family val="2"/>
      </rPr>
      <t>(Calcutta, 1913, 503p.)</t>
    </r>
  </si>
  <si>
    <r>
      <t xml:space="preserve">"Census of India, 1921. Part 2, Tables" </t>
    </r>
    <r>
      <rPr>
        <sz val="12"/>
        <color theme="1"/>
        <rFont val="Arial"/>
        <family val="2"/>
      </rPr>
      <t>(Calcutta, 1903, 503p.)</t>
    </r>
  </si>
  <si>
    <t>Castes: p.150-160</t>
  </si>
  <si>
    <r>
      <t xml:space="preserve">Various notes on "Census of India 1921 - Part 2, Tables" </t>
    </r>
    <r>
      <rPr>
        <sz val="12"/>
        <color theme="1"/>
        <rFont val="Arial"/>
        <family val="2"/>
      </rPr>
      <t xml:space="preserve">(Calcutta, 1923, 351p.) </t>
    </r>
  </si>
  <si>
    <t>Religions: p.40-41</t>
  </si>
  <si>
    <r>
      <t xml:space="preserve">"Census of India, 1931. Part 2, Tables" </t>
    </r>
    <r>
      <rPr>
        <sz val="12"/>
        <color theme="1"/>
        <rFont val="Arial"/>
        <family val="2"/>
      </rPr>
      <t>(Calcutta, 1933, 638p.)</t>
    </r>
  </si>
  <si>
    <r>
      <t xml:space="preserve">Various notes on "Census of India 1931 - Part 2, Tables" </t>
    </r>
    <r>
      <rPr>
        <sz val="12"/>
        <color theme="1"/>
        <rFont val="Arial"/>
        <family val="2"/>
      </rPr>
      <t xml:space="preserve">(Calcutta, 1933, 651p.) </t>
    </r>
  </si>
  <si>
    <t>Religions: p.514-520</t>
  </si>
  <si>
    <t>Castes: p.524-535</t>
  </si>
  <si>
    <t>1962</t>
  </si>
  <si>
    <t>1967</t>
  </si>
  <si>
    <t>1971</t>
  </si>
  <si>
    <t>1977</t>
  </si>
  <si>
    <t>1996</t>
  </si>
  <si>
    <t>1998</t>
  </si>
  <si>
    <t>1999</t>
  </si>
  <si>
    <t>2004</t>
  </si>
  <si>
    <t>2009</t>
  </si>
  <si>
    <t>2014</t>
  </si>
  <si>
    <t>BJP/Right</t>
  </si>
  <si>
    <t>Congress and allies</t>
  </si>
  <si>
    <t>Left parties</t>
  </si>
  <si>
    <t>Other parties</t>
  </si>
  <si>
    <t>Centre-right parties</t>
  </si>
  <si>
    <t>Caste (grouped): Muslims</t>
  </si>
  <si>
    <t>Caste (grouped): SC/ST</t>
  </si>
  <si>
    <t>Caste (grouped): OBC</t>
  </si>
  <si>
    <t>Caste (grouped): Other FC</t>
  </si>
  <si>
    <t>Caste (grouped): Brahmins</t>
  </si>
  <si>
    <t>Caste: Muslims</t>
  </si>
  <si>
    <t/>
  </si>
  <si>
    <t>Caste: SC</t>
  </si>
  <si>
    <t>Caste: ST</t>
  </si>
  <si>
    <t>Caste: OBC</t>
  </si>
  <si>
    <t>Caste: Other FC</t>
  </si>
  <si>
    <t>Caste: Banias</t>
  </si>
  <si>
    <t>Caste: Upper farmers</t>
  </si>
  <si>
    <t>Caste: Rajputs</t>
  </si>
  <si>
    <t>Caste: Brahmins</t>
  </si>
  <si>
    <t>Education: Illiterate</t>
  </si>
  <si>
    <t>Education: Primary</t>
  </si>
  <si>
    <t>Education: Secondary</t>
  </si>
  <si>
    <t>Education: Tertiary</t>
  </si>
  <si>
    <t>Age: 24-</t>
  </si>
  <si>
    <t>Age: 25-34</t>
  </si>
  <si>
    <t>Age: 35-49</t>
  </si>
  <si>
    <t>Age: 50-64</t>
  </si>
  <si>
    <t>Age: 65+</t>
  </si>
  <si>
    <t>1996-2009: no published tabulation (see Banerjee-Gethin-Piketty 2019 for more detailed results)</t>
  </si>
  <si>
    <t>% Hindu population (excluding muslims)</t>
  </si>
  <si>
    <t>(see sheet DataG0.2 in Chapitre0TableauxGraphiques.xlsx and formulas and links to sheets DataG0.2b and DataG0.2c, themselves borrowed T. Piketty, Le capital au 21e siècle, 2013, Chapitre1TableauxGraphiques.xlsx)</t>
  </si>
  <si>
    <t>Calculs à partir des séries de population UN/WB/Maddison</t>
  </si>
  <si>
    <t>Descriptive statistics from Indian post-electoral surveys (NES/CSDS) (copied/pasted from Banerjee-Gethin-Piketty 2019)</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</si>
  <si>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</si>
  <si>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</si>
  <si>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</si>
  <si>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</si>
  <si>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Tables and figures from Chapter 8: Ternary societies and colonialism: the case of India</t>
  </si>
  <si>
    <t>Britain 1530</t>
  </si>
  <si>
    <t>Britain 1790</t>
  </si>
  <si>
    <t>India 1880</t>
  </si>
  <si>
    <t>India 1930</t>
  </si>
  <si>
    <t>Muslims</t>
  </si>
  <si>
    <r>
      <t xml:space="preserve">Other religions </t>
    </r>
    <r>
      <rPr>
        <sz val="13"/>
        <color theme="1"/>
        <rFont val="Arial Narrow"/>
        <family val="2"/>
      </rPr>
      <t>(sikhs, christians, buddhists, etc.)</t>
    </r>
  </si>
  <si>
    <r>
      <t xml:space="preserve">Total Indian population </t>
    </r>
    <r>
      <rPr>
        <sz val="12"/>
        <color theme="1"/>
        <rFont val="Arial Narrow"/>
        <family val="2"/>
      </rPr>
      <t>(millions)</t>
    </r>
  </si>
  <si>
    <t>Total upper castes</t>
  </si>
  <si>
    <t>incl. Brahmins     (priests, intellectuals)</t>
  </si>
  <si>
    <t>incl. Kshatryas (Rajputs) (warriors)</t>
  </si>
  <si>
    <t>incl. other upper castes: Vaishyas (Banias), Kayasths</t>
  </si>
  <si>
    <r>
      <t xml:space="preserve">Total hindu population  </t>
    </r>
    <r>
      <rPr>
        <sz val="12"/>
        <color theme="1"/>
        <rFont val="Arial Narrow"/>
        <family val="2"/>
      </rPr>
      <t>(millions)</t>
    </r>
  </si>
  <si>
    <t xml:space="preserve">The structure of the population in censuses of India, 1871-2011         </t>
  </si>
  <si>
    <r>
      <rPr>
        <b/>
        <sz val="12"/>
        <color theme="1"/>
        <rFont val="Arial"/>
        <family val="2"/>
      </rPr>
      <t>Interpretation</t>
    </r>
    <r>
      <rPr>
        <sz val="12"/>
        <color theme="1"/>
        <rFont val="Arial"/>
        <family val="2"/>
      </rPr>
      <t xml:space="preserve">: The results reported here were obtained using the decennial censuses conducted in British colonial India between 1871 and 1941 and in independant India from 1951 to 2011. The proportion of Muslims falls from 24% in 1941 to 10% in 1951, due to the partition with Pakistan. Starting in 1951, censuses register "scheduled castes" (SC) and "scheduled tribes" (ST) (untouchables and aborigenal tribes formerly discriminated), which can belong to the various religions (mostly hindus and other religions). </t>
    </r>
    <r>
      <rPr>
        <b/>
        <sz val="12"/>
        <color theme="1"/>
        <rFont val="Arial Narrow"/>
        <family val="2"/>
      </rPr>
      <t>Sources and series</t>
    </r>
    <r>
      <rPr>
        <sz val="12"/>
        <color theme="1"/>
        <rFont val="Arial Narrow"/>
        <family val="2"/>
      </rPr>
      <t>: see piketty.pse.ens.fr/ideology (table 8.1).</t>
    </r>
  </si>
  <si>
    <t xml:space="preserve">The structure of upper castes in India, 1871-2014         </t>
  </si>
  <si>
    <r>
      <rPr>
        <b/>
        <sz val="12"/>
        <color theme="1"/>
        <rFont val="Arial"/>
        <family val="2"/>
      </rPr>
      <t>Interpretation</t>
    </r>
    <r>
      <rPr>
        <sz val="12"/>
        <color theme="1"/>
        <rFont val="Arial"/>
        <family val="2"/>
      </rPr>
      <t xml:space="preserve">: The results reported here were obtained using the British colonial censuses of India conducted between 1871 and 1931 and the post-electoral surveys (self-declaration) run from 1962 to 2014. One observes a relative stability of the proportion of the population registered as brahmins (former classes of priests and intellectuals), kshatryas (rajputs) (former classes of warriors) and other upper castes: vaishyas (banias) (craftsmen, tradespeople) and kayasths (writers, accountants). Other local upper castes such as the marathas (about 2% of population) were not included here. </t>
    </r>
    <r>
      <rPr>
        <b/>
        <sz val="12"/>
        <color theme="1"/>
        <rFont val="Arial Narrow"/>
        <family val="2"/>
      </rPr>
      <t>Sources and series</t>
    </r>
    <r>
      <rPr>
        <sz val="12"/>
        <color theme="1"/>
        <rFont val="Arial Narrow"/>
        <family val="2"/>
      </rPr>
      <t>: see piketty.pse.ens.fr/ideology (table 8.2).</t>
    </r>
  </si>
  <si>
    <r>
      <t>(last revised: 9</t>
    </r>
    <r>
      <rPr>
        <sz val="12"/>
        <color theme="1"/>
        <rFont val="Arial"/>
        <family val="2"/>
      </rPr>
      <t>/12/2019)</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</si>
</sst>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000"/>
    <numFmt numFmtId="167" formatCode="0.0000"/>
  </numFmts>
  <fonts count="31"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b/>
      <sz val="12"/>
      <color rgb="FF231F20"/>
      <name val="Arial"/>
      <family val="2"/>
    </font>
    <font>
      <sz val="12"/>
      <color rgb="FF231F20"/>
      <name val="Arial"/>
      <family val="2"/>
    </font>
    <font>
      <i/>
      <sz val="12"/>
      <color rgb="FF231F20"/>
      <name val="Arial"/>
      <family val="2"/>
    </font>
    <font>
      <i/>
      <sz val="12"/>
      <color theme="1"/>
      <name val="Arial"/>
      <family val="2"/>
    </font>
    <font>
      <sz val="12"/>
      <color theme="1"/>
      <name val="Calibri"/>
      <family val="2"/>
      <scheme val="minor"/>
    </font>
    <font>
      <sz val="11"/>
      <color theme="1"/>
      <name val="Calibri"/>
      <family val="2"/>
      <scheme val="minor"/>
    </font>
    <font>
      <sz val="14"/>
      <color theme="1"/>
      <name val="Arial"/>
      <family val="2"/>
    </font>
    <font>
      <sz val="12"/>
      <color theme="1"/>
      <name val="Arial Narrow"/>
      <family val="2"/>
    </font>
    <font>
      <b/>
      <sz val="14"/>
      <color theme="1"/>
      <name val="Arial"/>
      <family val="2"/>
    </font>
    <font>
      <b/>
      <sz val="12"/>
      <color theme="1"/>
      <name val="Arial Narrow"/>
      <family val="2"/>
    </font>
    <font>
      <sz val="10"/>
      <name val="Arial"/>
      <family val="2"/>
    </font>
    <font>
      <sz val="12"/>
      <name val="Arial"/>
      <family val="2"/>
    </font>
    <font>
      <b/>
      <sz val="12"/>
      <name val="Arial"/>
      <family val="2"/>
    </font>
    <font>
      <b/>
      <sz val="10"/>
      <name val="Arial"/>
      <family val="2"/>
    </font>
    <font>
      <sz val="10"/>
      <name val="Arial"/>
      <family val="2"/>
    </font>
    <font>
      <sz val="14"/>
      <name val="Arial"/>
      <family val="2"/>
    </font>
    <font>
      <sz val="13"/>
      <color theme="1"/>
      <name val="Arial Narrow"/>
      <family val="2"/>
    </font>
    <font>
      <i/>
      <sz val="14"/>
      <color theme="1"/>
      <name val="Arial"/>
      <family val="2"/>
    </font>
    <font>
      <b/>
      <i/>
      <sz val="14"/>
      <color theme="1"/>
      <name val="Arial"/>
      <family val="2"/>
    </font>
    <font>
      <b/>
      <sz val="11"/>
      <color theme="1"/>
      <name val="Arial"/>
      <family val="2"/>
    </font>
    <font>
      <sz val="11"/>
      <color theme="1"/>
      <name val="Arial"/>
      <family val="2"/>
    </font>
    <font>
      <sz val="12"/>
      <color rgb="FFFF0000"/>
      <name val="Arial"/>
      <family val="2"/>
    </font>
    <font>
      <b/>
      <sz val="18"/>
      <color theme="1"/>
      <name val="Arial"/>
      <family val="2"/>
    </font>
    <font>
      <b/>
      <sz val="20"/>
      <color theme="1"/>
      <name val="Arial"/>
      <family val="2"/>
    </font>
    <font>
      <b/>
      <sz val="22"/>
      <color theme="1"/>
      <name val="Arial"/>
      <family val="2"/>
    </font>
  </fonts>
  <fills count="5">
    <fill>
      <patternFill patternType="none"/>
    </fill>
    <fill>
      <patternFill patternType="gray125"/>
    </fill>
    <fill>
      <patternFill patternType="solid">
        <fgColor theme="4" tint="0.79995117038483843"/>
        <bgColor theme="4" tint="0.79995117038483843"/>
      </patternFill>
    </fill>
    <fill>
      <patternFill patternType="solid">
        <fgColor theme="7" tint="0.39997558519241921"/>
        <bgColor theme="4" tint="0.79995117038483843"/>
      </patternFill>
    </fill>
    <fill>
      <patternFill patternType="solid">
        <fgColor theme="7" tint="0.39997558519241921"/>
        <bgColor indexed="64"/>
      </patternFill>
    </fill>
  </fills>
  <borders count="64">
    <border>
      <left/>
      <right/>
      <top/>
      <bottom/>
      <diagonal/>
    </border>
    <border>
      <left/>
      <right/>
      <top style="medium">
        <color rgb="FF231F20"/>
      </top>
      <bottom style="medium">
        <color rgb="FF231F20"/>
      </bottom>
      <diagonal/>
    </border>
    <border>
      <left/>
      <right/>
      <top style="medium">
        <color rgb="FF231F20"/>
      </top>
      <bottom/>
      <diagonal/>
    </border>
    <border>
      <left/>
      <right/>
      <top/>
      <bottom style="medium">
        <color rgb="FF231F20"/>
      </bottom>
      <diagonal/>
    </border>
    <border>
      <left/>
      <right style="medium">
        <color rgb="FF231F20"/>
      </right>
      <top style="medium">
        <color rgb="FF231F20"/>
      </top>
      <bottom style="medium">
        <color rgb="FF231F20"/>
      </bottom>
      <diagonal/>
    </border>
    <border>
      <left/>
      <right style="medium">
        <color rgb="FF231F20"/>
      </right>
      <top style="medium">
        <color rgb="FF231F20"/>
      </top>
      <bottom/>
      <diagonal/>
    </border>
    <border>
      <left/>
      <right style="medium">
        <color rgb="FF231F20"/>
      </right>
      <top/>
      <bottom style="medium">
        <color rgb="FF231F20"/>
      </bottom>
      <diagonal/>
    </border>
    <border>
      <left/>
      <right style="medium">
        <color rgb="FF231F20"/>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style="medium">
        <color auto="1"/>
      </right>
      <top style="thick">
        <color auto="1"/>
      </top>
      <bottom style="medium">
        <color auto="1"/>
      </bottom>
      <diagonal/>
    </border>
    <border>
      <left style="medium">
        <color auto="1"/>
      </left>
      <right style="medium">
        <color auto="1"/>
      </right>
      <top style="thick">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ck">
        <color auto="1"/>
      </right>
      <top/>
      <bottom style="thick">
        <color auto="1"/>
      </bottom>
      <diagonal/>
    </border>
    <border>
      <left style="thin">
        <color auto="1"/>
      </left>
      <right style="thin">
        <color auto="1"/>
      </right>
      <top/>
      <bottom style="thick">
        <color auto="1"/>
      </bottom>
      <diagonal/>
    </border>
    <border>
      <left style="thick">
        <color auto="1"/>
      </left>
      <right style="thin">
        <color auto="1"/>
      </right>
      <top/>
      <bottom style="thick">
        <color auto="1"/>
      </bottom>
      <diagonal/>
    </border>
    <border>
      <left style="thick">
        <color auto="1"/>
      </left>
      <right style="thick">
        <color auto="1"/>
      </right>
      <top/>
      <bottom style="thick">
        <color auto="1"/>
      </bottom>
      <diagonal/>
    </border>
    <border>
      <left style="thin">
        <color auto="1"/>
      </left>
      <right style="thick">
        <color auto="1"/>
      </right>
      <top/>
      <bottom/>
      <diagonal/>
    </border>
    <border>
      <left style="thin">
        <color auto="1"/>
      </left>
      <right style="thin">
        <color auto="1"/>
      </right>
      <top/>
      <bottom/>
      <diagonal/>
    </border>
    <border>
      <left style="thick">
        <color auto="1"/>
      </left>
      <right style="thin">
        <color auto="1"/>
      </right>
      <top/>
      <bottom/>
      <diagonal/>
    </border>
    <border>
      <left style="thick">
        <color auto="1"/>
      </left>
      <right style="thick">
        <color auto="1"/>
      </right>
      <top/>
      <bottom/>
      <diagonal/>
    </border>
    <border>
      <left style="thick">
        <color auto="1"/>
      </left>
      <right style="thick">
        <color auto="1"/>
      </right>
      <top style="thick">
        <color auto="1"/>
      </top>
      <bottom/>
      <diagonal/>
    </border>
    <border>
      <left style="thin">
        <color auto="1"/>
      </left>
      <right style="thick">
        <color auto="1"/>
      </right>
      <top style="thick">
        <color auto="1"/>
      </top>
      <bottom/>
      <diagonal/>
    </border>
    <border>
      <left style="thin">
        <color auto="1"/>
      </left>
      <right/>
      <top style="thick">
        <color auto="1"/>
      </top>
      <bottom/>
      <diagonal/>
    </border>
    <border>
      <left/>
      <right style="thin">
        <color auto="1"/>
      </right>
      <top style="thick">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ck">
        <color auto="1"/>
      </left>
      <right style="thin">
        <color auto="1"/>
      </right>
      <top style="thick">
        <color auto="1"/>
      </top>
      <bottom style="thick">
        <color auto="1"/>
      </bottom>
      <diagonal/>
    </border>
    <border>
      <left/>
      <right style="thick">
        <color auto="1"/>
      </right>
      <top style="medium">
        <color auto="1"/>
      </top>
      <bottom/>
      <diagonal/>
    </border>
    <border>
      <left/>
      <right/>
      <top style="medium">
        <color auto="1"/>
      </top>
      <bottom/>
      <diagonal/>
    </border>
    <border>
      <left style="thick">
        <color auto="1"/>
      </left>
      <right/>
      <top style="medium">
        <color auto="1"/>
      </top>
      <bottom/>
      <diagonal/>
    </border>
    <border>
      <left style="thick">
        <color auto="1"/>
      </left>
      <right style="thick">
        <color auto="1"/>
      </right>
      <top style="medium">
        <color auto="1"/>
      </top>
      <bottom/>
      <diagonal/>
    </border>
    <border>
      <left style="thick">
        <color auto="1"/>
      </left>
      <right style="thick">
        <color auto="1"/>
      </right>
      <top style="thick">
        <color auto="1"/>
      </top>
      <bottom style="medium">
        <color auto="1"/>
      </bottom>
      <diagonal/>
    </border>
    <border>
      <left style="thick">
        <color auto="1"/>
      </left>
      <right/>
      <top style="thick">
        <color auto="1"/>
      </top>
      <bottom style="medium">
        <color auto="1"/>
      </bottom>
      <diagonal/>
    </border>
    <border>
      <left style="thick">
        <color auto="1"/>
      </left>
      <right/>
      <top style="medium">
        <color auto="1"/>
      </top>
      <bottom style="medium">
        <color auto="1"/>
      </bottom>
      <diagonal/>
    </border>
    <border>
      <left style="thick">
        <color auto="1"/>
      </left>
      <right style="thick">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theme="4" tint="0.39994506668294322"/>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ck">
        <color auto="1"/>
      </right>
      <top style="thick">
        <color auto="1"/>
      </top>
      <bottom style="medium">
        <color auto="1"/>
      </bottom>
      <diagonal/>
    </border>
    <border>
      <left style="medium">
        <color auto="1"/>
      </left>
      <right style="thick">
        <color auto="1"/>
      </right>
      <top style="medium">
        <color auto="1"/>
      </top>
      <bottom style="medium">
        <color auto="1"/>
      </bottom>
      <diagonal/>
    </border>
  </borders>
  <cellStyleXfs count="8">
    <xf numFmtId="0" fontId="0" fillId="0" borderId="0"/>
    <xf numFmtId="0" fontId="10" fillId="0" borderId="0"/>
    <xf numFmtId="9" fontId="11" fillId="0" borderId="0" applyFont="0" applyFill="0" applyBorder="0" applyAlignment="0" applyProtection="0"/>
    <xf numFmtId="0" fontId="16" fillId="0" borderId="0"/>
    <xf numFmtId="0" fontId="16" fillId="0" borderId="0"/>
    <xf numFmtId="0" fontId="16" fillId="0" borderId="0"/>
    <xf numFmtId="0" fontId="20" fillId="0" borderId="0"/>
    <xf numFmtId="0" fontId="20" fillId="0" borderId="0"/>
  </cellStyleXfs>
  <cellXfs count="447">
    <xf numFmtId="0" fontId="0" fillId="0" borderId="0" xfId="0"/>
    <xf numFmtId="0" fontId="4" fillId="0" borderId="0" xfId="0" applyFont="1"/>
    <xf numFmtId="0" fontId="5" fillId="0" borderId="0" xfId="0" applyFont="1" applyAlignment="1">
      <alignment vertical="center"/>
    </xf>
    <xf numFmtId="0" fontId="6" fillId="0" borderId="2" xfId="0" applyFont="1" applyBorder="1" applyAlignment="1">
      <alignment vertical="center" wrapText="1"/>
    </xf>
    <xf numFmtId="0" fontId="6" fillId="0" borderId="3" xfId="0" applyFont="1" applyBorder="1" applyAlignment="1">
      <alignment vertical="center" wrapText="1"/>
    </xf>
    <xf numFmtId="0" fontId="5" fillId="0" borderId="0" xfId="0" applyFont="1" applyAlignment="1">
      <alignment vertical="center" wrapText="1"/>
    </xf>
    <xf numFmtId="0" fontId="7" fillId="0" borderId="0" xfId="0" applyFont="1" applyAlignment="1">
      <alignment vertical="center" wrapText="1"/>
    </xf>
    <xf numFmtId="164" fontId="7" fillId="0" borderId="0" xfId="0" applyNumberFormat="1" applyFont="1" applyAlignment="1">
      <alignment vertical="center" wrapText="1"/>
    </xf>
    <xf numFmtId="0" fontId="7" fillId="0" borderId="7" xfId="0" applyFont="1" applyBorder="1" applyAlignment="1">
      <alignment horizontal="left" vertical="center" wrapText="1" indent="4"/>
    </xf>
    <xf numFmtId="164" fontId="4" fillId="0" borderId="0" xfId="0" applyNumberFormat="1" applyFont="1" applyAlignment="1">
      <alignment vertical="center" wrapText="1"/>
    </xf>
    <xf numFmtId="0" fontId="4" fillId="0" borderId="7" xfId="0" applyFont="1" applyBorder="1" applyAlignment="1">
      <alignment vertical="center" wrapText="1"/>
    </xf>
    <xf numFmtId="0" fontId="8" fillId="0" borderId="0" xfId="0" applyFont="1" applyAlignment="1">
      <alignment vertical="center" wrapText="1"/>
    </xf>
    <xf numFmtId="0" fontId="7" fillId="0" borderId="3" xfId="0" applyFont="1" applyBorder="1" applyAlignment="1">
      <alignment vertical="center" wrapText="1"/>
    </xf>
    <xf numFmtId="164" fontId="7" fillId="0" borderId="3" xfId="0" applyNumberFormat="1" applyFont="1" applyBorder="1" applyAlignment="1">
      <alignment vertical="center" wrapText="1"/>
    </xf>
    <xf numFmtId="0" fontId="8" fillId="0" borderId="3" xfId="0" applyFont="1" applyBorder="1" applyAlignment="1">
      <alignment vertical="center" wrapText="1"/>
    </xf>
    <xf numFmtId="0" fontId="7" fillId="0" borderId="6" xfId="0" applyFont="1" applyBorder="1" applyAlignment="1">
      <alignment horizontal="left" vertical="center" wrapText="1" indent="4"/>
    </xf>
    <xf numFmtId="0" fontId="4" fillId="0" borderId="0" xfId="0" applyFont="1" applyAlignment="1">
      <alignment vertical="center" wrapText="1"/>
    </xf>
    <xf numFmtId="164" fontId="7" fillId="0" borderId="0" xfId="0" applyNumberFormat="1" applyFont="1" applyAlignment="1">
      <alignment horizontal="right" vertical="center" wrapText="1"/>
    </xf>
    <xf numFmtId="164" fontId="4" fillId="0" borderId="0" xfId="0" applyNumberFormat="1" applyFont="1"/>
    <xf numFmtId="0" fontId="5" fillId="0" borderId="0" xfId="0" applyFont="1"/>
    <xf numFmtId="2" fontId="4" fillId="0" borderId="0" xfId="0" applyNumberFormat="1" applyFont="1" applyAlignment="1">
      <alignment horizontal="center"/>
    </xf>
    <xf numFmtId="3" fontId="4" fillId="0" borderId="0" xfId="0" applyNumberFormat="1" applyFont="1" applyAlignment="1">
      <alignment horizontal="center"/>
    </xf>
    <xf numFmtId="0" fontId="0" fillId="0" borderId="0" xfId="0"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3" fontId="5" fillId="0" borderId="0" xfId="0" applyNumberFormat="1" applyFont="1" applyAlignment="1">
      <alignment horizontal="center"/>
    </xf>
    <xf numFmtId="0" fontId="5" fillId="0" borderId="0" xfId="0" applyFont="1" applyAlignment="1"/>
    <xf numFmtId="0" fontId="5" fillId="0" borderId="0" xfId="0" applyFont="1" applyAlignment="1">
      <alignment horizontal="center"/>
    </xf>
    <xf numFmtId="1" fontId="4" fillId="0" borderId="0" xfId="0" applyNumberFormat="1" applyFont="1" applyAlignment="1">
      <alignment horizontal="center"/>
    </xf>
    <xf numFmtId="0" fontId="0" fillId="0" borderId="8" xfId="0" applyBorder="1"/>
    <xf numFmtId="0" fontId="5" fillId="0" borderId="9" xfId="0" applyFont="1" applyBorder="1"/>
    <xf numFmtId="0" fontId="0" fillId="0" borderId="9" xfId="0" applyBorder="1"/>
    <xf numFmtId="3" fontId="4" fillId="0" borderId="9" xfId="0" applyNumberFormat="1" applyFont="1" applyBorder="1" applyAlignment="1">
      <alignment horizontal="center"/>
    </xf>
    <xf numFmtId="164" fontId="4" fillId="0" borderId="10" xfId="0" applyNumberFormat="1" applyFont="1" applyBorder="1" applyAlignment="1">
      <alignment horizontal="center"/>
    </xf>
    <xf numFmtId="0" fontId="5" fillId="0" borderId="0" xfId="0" applyFont="1" applyBorder="1"/>
    <xf numFmtId="0" fontId="4" fillId="0" borderId="0" xfId="0" applyFont="1" applyBorder="1"/>
    <xf numFmtId="3" fontId="4" fillId="0" borderId="0" xfId="0" applyNumberFormat="1" applyFont="1" applyBorder="1" applyAlignment="1">
      <alignment horizontal="center"/>
    </xf>
    <xf numFmtId="164" fontId="4" fillId="0" borderId="12" xfId="0" applyNumberFormat="1" applyFont="1" applyBorder="1" applyAlignment="1">
      <alignment horizontal="center"/>
    </xf>
    <xf numFmtId="3" fontId="4" fillId="0" borderId="11" xfId="0" applyNumberFormat="1" applyFont="1" applyBorder="1" applyAlignment="1">
      <alignment horizontal="center"/>
    </xf>
    <xf numFmtId="0" fontId="4" fillId="0" borderId="11" xfId="0" applyFont="1" applyBorder="1"/>
    <xf numFmtId="0" fontId="0" fillId="0" borderId="0" xfId="0" applyBorder="1"/>
    <xf numFmtId="0" fontId="0" fillId="0" borderId="13" xfId="0" applyBorder="1"/>
    <xf numFmtId="0" fontId="5" fillId="0" borderId="14" xfId="0" applyFont="1" applyBorder="1"/>
    <xf numFmtId="0" fontId="0" fillId="0" borderId="14" xfId="0" applyBorder="1"/>
    <xf numFmtId="3" fontId="4" fillId="0" borderId="14" xfId="0" applyNumberFormat="1" applyFont="1" applyBorder="1" applyAlignment="1">
      <alignment horizontal="center"/>
    </xf>
    <xf numFmtId="164" fontId="4" fillId="0" borderId="15" xfId="0" applyNumberFormat="1" applyFont="1" applyBorder="1" applyAlignment="1">
      <alignment horizontal="center"/>
    </xf>
    <xf numFmtId="0" fontId="0" fillId="0" borderId="11" xfId="0" applyBorder="1"/>
    <xf numFmtId="0" fontId="5" fillId="0" borderId="8" xfId="0" applyFont="1" applyBorder="1" applyAlignment="1">
      <alignment horizontal="center"/>
    </xf>
    <xf numFmtId="3" fontId="5" fillId="0" borderId="9" xfId="0" applyNumberFormat="1" applyFont="1" applyBorder="1" applyAlignment="1">
      <alignment horizontal="center"/>
    </xf>
    <xf numFmtId="164" fontId="5" fillId="0" borderId="9" xfId="0" applyNumberFormat="1" applyFont="1" applyBorder="1" applyAlignment="1">
      <alignment horizontal="center"/>
    </xf>
    <xf numFmtId="0" fontId="5" fillId="0" borderId="11" xfId="0" applyFont="1" applyBorder="1" applyAlignment="1">
      <alignment horizontal="center"/>
    </xf>
    <xf numFmtId="164" fontId="4" fillId="0" borderId="0" xfId="0" applyNumberFormat="1" applyFont="1"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164" fontId="4" fillId="0" borderId="14" xfId="0" applyNumberFormat="1" applyFont="1" applyBorder="1" applyAlignment="1">
      <alignment horizontal="center"/>
    </xf>
    <xf numFmtId="164" fontId="4" fillId="0" borderId="12" xfId="0" applyNumberFormat="1" applyFont="1" applyBorder="1"/>
    <xf numFmtId="164" fontId="5" fillId="0" borderId="0" xfId="0" applyNumberFormat="1" applyFont="1" applyBorder="1" applyAlignment="1">
      <alignment horizontal="center"/>
    </xf>
    <xf numFmtId="164" fontId="5" fillId="0" borderId="14" xfId="0" applyNumberFormat="1" applyFont="1" applyBorder="1" applyAlignment="1">
      <alignment horizontal="center"/>
    </xf>
    <xf numFmtId="3" fontId="5" fillId="0" borderId="0" xfId="0" applyNumberFormat="1" applyFont="1" applyBorder="1" applyAlignment="1">
      <alignment horizontal="center"/>
    </xf>
    <xf numFmtId="3" fontId="5" fillId="0" borderId="14" xfId="0" applyNumberFormat="1" applyFont="1" applyBorder="1" applyAlignment="1">
      <alignment horizontal="center"/>
    </xf>
    <xf numFmtId="0" fontId="4" fillId="0" borderId="14" xfId="0" applyFont="1" applyBorder="1"/>
    <xf numFmtId="0" fontId="5" fillId="0" borderId="9" xfId="0" applyFont="1" applyBorder="1" applyAlignment="1">
      <alignment horizontal="center" vertical="center"/>
    </xf>
    <xf numFmtId="0" fontId="5" fillId="0" borderId="9" xfId="0" applyFont="1" applyBorder="1" applyAlignment="1">
      <alignment horizontal="center" wrapText="1"/>
    </xf>
    <xf numFmtId="0" fontId="5" fillId="0" borderId="10" xfId="0" applyFont="1" applyBorder="1" applyAlignment="1">
      <alignment horizontal="center" wrapText="1"/>
    </xf>
    <xf numFmtId="3" fontId="5" fillId="0" borderId="12" xfId="0" applyNumberFormat="1" applyFont="1" applyBorder="1" applyAlignment="1">
      <alignment horizontal="center"/>
    </xf>
    <xf numFmtId="0" fontId="4" fillId="0" borderId="13" xfId="0" applyFont="1" applyBorder="1" applyAlignment="1">
      <alignment horizontal="center"/>
    </xf>
    <xf numFmtId="164" fontId="5" fillId="0" borderId="15" xfId="0" applyNumberFormat="1" applyFont="1" applyBorder="1" applyAlignment="1">
      <alignment horizontal="center"/>
    </xf>
    <xf numFmtId="0" fontId="4" fillId="0" borderId="8" xfId="0" applyFont="1" applyBorder="1"/>
    <xf numFmtId="0" fontId="0" fillId="0" borderId="8" xfId="0" applyBorder="1" applyAlignment="1">
      <alignment horizontal="center"/>
    </xf>
    <xf numFmtId="0" fontId="0" fillId="0" borderId="12" xfId="0" applyBorder="1"/>
    <xf numFmtId="164" fontId="5" fillId="0" borderId="0" xfId="0" applyNumberFormat="1" applyFont="1" applyBorder="1"/>
    <xf numFmtId="164" fontId="5" fillId="0" borderId="12" xfId="0" applyNumberFormat="1" applyFont="1" applyBorder="1"/>
    <xf numFmtId="164" fontId="4" fillId="0" borderId="0" xfId="0" applyNumberFormat="1" applyFont="1" applyBorder="1"/>
    <xf numFmtId="3" fontId="4" fillId="0" borderId="13" xfId="0" applyNumberFormat="1" applyFont="1" applyBorder="1" applyAlignment="1">
      <alignment horizontal="center"/>
    </xf>
    <xf numFmtId="164" fontId="5" fillId="0" borderId="14" xfId="0" applyNumberFormat="1" applyFont="1" applyBorder="1"/>
    <xf numFmtId="164" fontId="4" fillId="0" borderId="15" xfId="0" applyNumberFormat="1" applyFont="1" applyBorder="1"/>
    <xf numFmtId="164" fontId="4" fillId="0" borderId="14" xfId="0" applyNumberFormat="1" applyFont="1" applyBorder="1"/>
    <xf numFmtId="3" fontId="4" fillId="0" borderId="16" xfId="0" applyNumberFormat="1" applyFont="1" applyBorder="1"/>
    <xf numFmtId="164" fontId="4" fillId="0" borderId="17" xfId="0" applyNumberFormat="1" applyFont="1" applyBorder="1"/>
    <xf numFmtId="0" fontId="5" fillId="0" borderId="9" xfId="0" applyFont="1" applyBorder="1" applyAlignment="1">
      <alignment horizontal="center"/>
    </xf>
    <xf numFmtId="0" fontId="5" fillId="0" borderId="10"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3" fontId="4" fillId="0" borderId="0" xfId="0" applyNumberFormat="1" applyFont="1"/>
    <xf numFmtId="0" fontId="0" fillId="0" borderId="10" xfId="0" applyBorder="1"/>
    <xf numFmtId="0" fontId="4" fillId="0" borderId="13" xfId="0" applyFont="1" applyBorder="1"/>
    <xf numFmtId="0" fontId="0" fillId="0" borderId="15" xfId="0" applyBorder="1"/>
    <xf numFmtId="164" fontId="4" fillId="0" borderId="0" xfId="0" applyNumberFormat="1" applyFont="1" applyFill="1" applyBorder="1" applyAlignment="1">
      <alignment horizontal="center"/>
    </xf>
    <xf numFmtId="0" fontId="4" fillId="0" borderId="11" xfId="0" applyFont="1" applyFill="1" applyBorder="1"/>
    <xf numFmtId="0" fontId="4" fillId="0" borderId="9" xfId="0" applyFont="1" applyBorder="1"/>
    <xf numFmtId="164" fontId="4" fillId="0" borderId="9" xfId="0" applyNumberFormat="1" applyFont="1" applyBorder="1" applyAlignment="1">
      <alignment horizontal="center"/>
    </xf>
    <xf numFmtId="0" fontId="4" fillId="0" borderId="12" xfId="0" applyFont="1" applyBorder="1"/>
    <xf numFmtId="0" fontId="4" fillId="0" borderId="15" xfId="0" applyFont="1" applyBorder="1"/>
    <xf numFmtId="3" fontId="0" fillId="0" borderId="0" xfId="0" applyNumberFormat="1"/>
    <xf numFmtId="0" fontId="0" fillId="0" borderId="9" xfId="0" applyBorder="1" applyAlignment="1">
      <alignment horizontal="center"/>
    </xf>
    <xf numFmtId="3" fontId="4" fillId="0" borderId="8" xfId="0" applyNumberFormat="1" applyFont="1" applyBorder="1" applyAlignment="1">
      <alignment horizontal="center"/>
    </xf>
    <xf numFmtId="164" fontId="5" fillId="0" borderId="9" xfId="0" applyNumberFormat="1" applyFont="1" applyBorder="1"/>
    <xf numFmtId="164" fontId="4" fillId="0" borderId="10" xfId="0" applyNumberFormat="1" applyFont="1" applyBorder="1"/>
    <xf numFmtId="0" fontId="5" fillId="0" borderId="0" xfId="0" applyFont="1" applyFill="1" applyBorder="1"/>
    <xf numFmtId="0" fontId="4" fillId="0" borderId="0" xfId="0" applyFont="1" applyFill="1" applyBorder="1"/>
    <xf numFmtId="3" fontId="5" fillId="0" borderId="11" xfId="0" applyNumberFormat="1" applyFont="1" applyBorder="1" applyAlignment="1">
      <alignment horizontal="center"/>
    </xf>
    <xf numFmtId="164" fontId="5" fillId="0" borderId="13" xfId="0" applyNumberFormat="1" applyFont="1" applyBorder="1" applyAlignment="1">
      <alignment horizontal="center"/>
    </xf>
    <xf numFmtId="3" fontId="4" fillId="0" borderId="0" xfId="0" applyNumberFormat="1" applyFont="1" applyBorder="1"/>
    <xf numFmtId="3" fontId="5" fillId="0" borderId="8" xfId="0" applyNumberFormat="1" applyFont="1" applyBorder="1" applyAlignment="1">
      <alignment horizontal="center"/>
    </xf>
    <xf numFmtId="3" fontId="5" fillId="0" borderId="13" xfId="0" applyNumberFormat="1" applyFont="1" applyBorder="1" applyAlignment="1">
      <alignment horizontal="center"/>
    </xf>
    <xf numFmtId="0" fontId="5" fillId="0" borderId="8" xfId="0" applyFont="1" applyBorder="1"/>
    <xf numFmtId="0" fontId="5" fillId="0" borderId="11" xfId="0" applyFont="1" applyBorder="1"/>
    <xf numFmtId="0" fontId="5" fillId="0" borderId="13" xfId="0" applyFont="1" applyBorder="1"/>
    <xf numFmtId="0" fontId="0" fillId="0" borderId="10" xfId="0" applyFont="1" applyBorder="1"/>
    <xf numFmtId="3" fontId="4" fillId="0" borderId="12" xfId="0" applyNumberFormat="1" applyFont="1" applyBorder="1" applyAlignment="1">
      <alignment horizontal="center"/>
    </xf>
    <xf numFmtId="164" fontId="4" fillId="0" borderId="11" xfId="0" applyNumberFormat="1" applyFont="1" applyBorder="1" applyAlignment="1">
      <alignment horizontal="center"/>
    </xf>
    <xf numFmtId="3" fontId="4" fillId="0" borderId="15" xfId="0" applyNumberFormat="1" applyFont="1" applyBorder="1" applyAlignment="1">
      <alignment horizontal="center"/>
    </xf>
    <xf numFmtId="3" fontId="4" fillId="0" borderId="10" xfId="0" applyNumberFormat="1" applyFont="1" applyBorder="1" applyAlignment="1">
      <alignment horizontal="center"/>
    </xf>
    <xf numFmtId="164" fontId="4" fillId="0" borderId="13" xfId="0" applyNumberFormat="1" applyFont="1" applyBorder="1" applyAlignment="1">
      <alignment horizontal="center"/>
    </xf>
    <xf numFmtId="164" fontId="4" fillId="0" borderId="8" xfId="0" applyNumberFormat="1" applyFont="1" applyBorder="1" applyAlignment="1">
      <alignment horizontal="center"/>
    </xf>
    <xf numFmtId="164" fontId="5" fillId="0" borderId="11" xfId="0" applyNumberFormat="1" applyFont="1" applyBorder="1" applyAlignment="1">
      <alignment horizontal="center"/>
    </xf>
    <xf numFmtId="164" fontId="5" fillId="0" borderId="12" xfId="0" applyNumberFormat="1" applyFont="1" applyBorder="1" applyAlignment="1">
      <alignment horizontal="center"/>
    </xf>
    <xf numFmtId="3" fontId="9" fillId="0" borderId="11" xfId="0" applyNumberFormat="1" applyFont="1" applyBorder="1" applyAlignment="1">
      <alignment horizontal="center"/>
    </xf>
    <xf numFmtId="164" fontId="9" fillId="0" borderId="0" xfId="0" applyNumberFormat="1" applyFont="1" applyBorder="1"/>
    <xf numFmtId="164" fontId="9" fillId="0" borderId="12" xfId="0" applyNumberFormat="1" applyFont="1" applyBorder="1"/>
    <xf numFmtId="0" fontId="4" fillId="0" borderId="0" xfId="0" applyFont="1" applyAlignment="1">
      <alignment horizontal="center" vertical="center" wrapText="1"/>
    </xf>
    <xf numFmtId="0" fontId="4" fillId="0" borderId="0" xfId="0" applyFont="1" applyAlignment="1">
      <alignment horizontal="center" wrapText="1"/>
    </xf>
    <xf numFmtId="164" fontId="4" fillId="0" borderId="0" xfId="0" applyNumberFormat="1" applyFont="1" applyAlignment="1">
      <alignment horizontal="center" vertical="center"/>
    </xf>
    <xf numFmtId="164" fontId="0" fillId="0" borderId="0" xfId="0" applyNumberFormat="1" applyAlignment="1">
      <alignment horizontal="center"/>
    </xf>
    <xf numFmtId="164" fontId="4" fillId="0" borderId="0" xfId="0" applyNumberFormat="1" applyFont="1" applyBorder="1" applyAlignment="1">
      <alignment horizontal="left"/>
    </xf>
    <xf numFmtId="164" fontId="4" fillId="0" borderId="14" xfId="0" applyNumberFormat="1" applyFont="1" applyBorder="1" applyAlignment="1">
      <alignment horizontal="left"/>
    </xf>
    <xf numFmtId="2" fontId="4" fillId="0" borderId="0" xfId="0" applyNumberFormat="1" applyFont="1" applyBorder="1" applyAlignment="1">
      <alignment horizontal="center"/>
    </xf>
    <xf numFmtId="0" fontId="5" fillId="0" borderId="13" xfId="0" applyFont="1" applyBorder="1" applyAlignment="1">
      <alignment horizontal="center"/>
    </xf>
    <xf numFmtId="164" fontId="4" fillId="0" borderId="9" xfId="0" applyNumberFormat="1" applyFont="1" applyBorder="1" applyAlignment="1">
      <alignment horizontal="left"/>
    </xf>
    <xf numFmtId="0" fontId="9" fillId="0" borderId="11" xfId="0" applyFont="1" applyBorder="1"/>
    <xf numFmtId="2" fontId="4" fillId="0" borderId="14" xfId="0" applyNumberFormat="1" applyFont="1" applyBorder="1" applyAlignment="1">
      <alignment horizontal="center"/>
    </xf>
    <xf numFmtId="0" fontId="5" fillId="0" borderId="0" xfId="0" applyFont="1" applyBorder="1" applyAlignment="1">
      <alignment horizontal="center"/>
    </xf>
    <xf numFmtId="0" fontId="5" fillId="0" borderId="12" xfId="0" applyFont="1" applyBorder="1" applyAlignment="1">
      <alignment horizontal="center"/>
    </xf>
    <xf numFmtId="4" fontId="4" fillId="0" borderId="0" xfId="0" applyNumberFormat="1" applyFont="1" applyBorder="1" applyAlignment="1">
      <alignment horizontal="center"/>
    </xf>
    <xf numFmtId="4" fontId="4" fillId="0" borderId="12" xfId="0" applyNumberFormat="1" applyFont="1" applyBorder="1" applyAlignment="1">
      <alignment horizontal="center"/>
    </xf>
    <xf numFmtId="3" fontId="5" fillId="0" borderId="0" xfId="0" applyNumberFormat="1" applyFont="1" applyBorder="1" applyAlignment="1">
      <alignment horizontal="left"/>
    </xf>
    <xf numFmtId="0" fontId="10" fillId="0" borderId="0" xfId="1"/>
    <xf numFmtId="0" fontId="4" fillId="0" borderId="0" xfId="1" applyFont="1"/>
    <xf numFmtId="0" fontId="4" fillId="0" borderId="0" xfId="1" applyFont="1" applyAlignment="1">
      <alignment horizontal="center"/>
    </xf>
    <xf numFmtId="164" fontId="4" fillId="0" borderId="0" xfId="1" applyNumberFormat="1" applyFont="1" applyAlignment="1">
      <alignment horizontal="center"/>
    </xf>
    <xf numFmtId="0" fontId="13" fillId="0" borderId="19" xfId="0" applyFont="1" applyBorder="1" applyAlignment="1">
      <alignment horizontal="center" vertical="center" wrapText="1"/>
    </xf>
    <xf numFmtId="0" fontId="14" fillId="0" borderId="20" xfId="0" applyFont="1" applyBorder="1" applyAlignment="1">
      <alignment horizontal="center" vertical="center"/>
    </xf>
    <xf numFmtId="0" fontId="14" fillId="0" borderId="21" xfId="0" applyFont="1" applyBorder="1" applyAlignment="1">
      <alignment horizontal="center" vertical="center" wrapText="1"/>
    </xf>
    <xf numFmtId="164" fontId="12" fillId="0" borderId="22" xfId="0" applyNumberFormat="1" applyFont="1" applyBorder="1" applyAlignment="1">
      <alignment horizontal="center" vertical="center"/>
    </xf>
    <xf numFmtId="164" fontId="14" fillId="0" borderId="22" xfId="0" applyNumberFormat="1" applyFont="1" applyBorder="1" applyAlignment="1">
      <alignment horizontal="center" vertical="center"/>
    </xf>
    <xf numFmtId="0" fontId="14" fillId="0" borderId="19" xfId="0" applyFont="1" applyBorder="1" applyAlignment="1">
      <alignment horizontal="center" vertical="center" wrapText="1"/>
    </xf>
    <xf numFmtId="3" fontId="12" fillId="0" borderId="20" xfId="0" applyNumberFormat="1" applyFont="1" applyBorder="1" applyAlignment="1">
      <alignment horizontal="center" vertical="center"/>
    </xf>
    <xf numFmtId="164" fontId="5" fillId="0" borderId="0" xfId="0" applyNumberFormat="1" applyFont="1" applyAlignment="1">
      <alignment horizontal="center" vertical="center"/>
    </xf>
    <xf numFmtId="0" fontId="16" fillId="0" borderId="0" xfId="3"/>
    <xf numFmtId="9" fontId="17" fillId="0" borderId="0" xfId="3" applyNumberFormat="1" applyFont="1"/>
    <xf numFmtId="0" fontId="17" fillId="0" borderId="0" xfId="3" applyFont="1"/>
    <xf numFmtId="165" fontId="17" fillId="0" borderId="0" xfId="3" applyNumberFormat="1" applyFont="1" applyAlignment="1">
      <alignment horizontal="center"/>
    </xf>
    <xf numFmtId="164" fontId="17" fillId="0" borderId="0" xfId="2" applyNumberFormat="1" applyFont="1" applyAlignment="1">
      <alignment horizontal="center"/>
    </xf>
    <xf numFmtId="0" fontId="18" fillId="0" borderId="0" xfId="3" applyFont="1"/>
    <xf numFmtId="1" fontId="17" fillId="0" borderId="0" xfId="3" applyNumberFormat="1" applyFont="1" applyAlignment="1">
      <alignment horizontal="center"/>
    </xf>
    <xf numFmtId="0" fontId="16" fillId="0" borderId="0" xfId="4"/>
    <xf numFmtId="0" fontId="16" fillId="0" borderId="0" xfId="5" applyBorder="1" applyAlignment="1">
      <alignment wrapText="1"/>
    </xf>
    <xf numFmtId="3" fontId="16" fillId="0" borderId="15" xfId="4" applyNumberFormat="1" applyFont="1" applyBorder="1" applyAlignment="1">
      <alignment horizontal="center"/>
    </xf>
    <xf numFmtId="3" fontId="16" fillId="0" borderId="14" xfId="4" applyNumberFormat="1" applyFont="1" applyBorder="1" applyAlignment="1">
      <alignment horizontal="center"/>
    </xf>
    <xf numFmtId="1" fontId="16" fillId="0" borderId="15" xfId="4" applyNumberFormat="1" applyFont="1" applyBorder="1" applyAlignment="1">
      <alignment horizontal="center"/>
    </xf>
    <xf numFmtId="3" fontId="16" fillId="0" borderId="13" xfId="4" applyNumberFormat="1" applyFont="1" applyBorder="1" applyAlignment="1">
      <alignment horizontal="center"/>
    </xf>
    <xf numFmtId="3" fontId="19" fillId="0" borderId="13" xfId="4" applyNumberFormat="1" applyFont="1" applyBorder="1" applyAlignment="1">
      <alignment horizontal="center"/>
    </xf>
    <xf numFmtId="0" fontId="16" fillId="0" borderId="13" xfId="4" applyFont="1" applyBorder="1" applyAlignment="1">
      <alignment horizontal="center" vertical="justify"/>
    </xf>
    <xf numFmtId="3" fontId="16" fillId="0" borderId="0" xfId="4" applyNumberFormat="1" applyFont="1" applyBorder="1" applyAlignment="1">
      <alignment horizontal="center"/>
    </xf>
    <xf numFmtId="0" fontId="16" fillId="0" borderId="0" xfId="4" applyFont="1" applyBorder="1"/>
    <xf numFmtId="9" fontId="16" fillId="0" borderId="23" xfId="4" applyNumberFormat="1" applyFont="1" applyBorder="1" applyAlignment="1">
      <alignment horizontal="center"/>
    </xf>
    <xf numFmtId="9" fontId="16" fillId="0" borderId="24" xfId="4" applyNumberFormat="1" applyFont="1" applyBorder="1" applyAlignment="1">
      <alignment horizontal="center"/>
    </xf>
    <xf numFmtId="9" fontId="16" fillId="0" borderId="25" xfId="4" applyNumberFormat="1" applyFont="1" applyBorder="1" applyAlignment="1">
      <alignment horizontal="center"/>
    </xf>
    <xf numFmtId="9" fontId="19" fillId="0" borderId="26" xfId="4" applyNumberFormat="1" applyFont="1" applyBorder="1" applyAlignment="1">
      <alignment horizontal="center"/>
    </xf>
    <xf numFmtId="3" fontId="16" fillId="0" borderId="12" xfId="4" applyNumberFormat="1" applyFont="1" applyBorder="1" applyAlignment="1">
      <alignment horizontal="center"/>
    </xf>
    <xf numFmtId="1" fontId="16" fillId="0" borderId="12" xfId="4" applyNumberFormat="1" applyFont="1" applyBorder="1" applyAlignment="1">
      <alignment horizontal="center"/>
    </xf>
    <xf numFmtId="3" fontId="16" fillId="0" borderId="11" xfId="4" applyNumberFormat="1" applyFont="1" applyBorder="1" applyAlignment="1">
      <alignment horizontal="center"/>
    </xf>
    <xf numFmtId="3" fontId="19" fillId="0" borderId="11" xfId="4" applyNumberFormat="1" applyFont="1" applyBorder="1" applyAlignment="1">
      <alignment horizontal="center"/>
    </xf>
    <xf numFmtId="0" fontId="16" fillId="0" borderId="11" xfId="4" applyFont="1" applyBorder="1" applyAlignment="1">
      <alignment horizontal="center" vertical="justify"/>
    </xf>
    <xf numFmtId="9" fontId="16" fillId="0" borderId="27" xfId="4" applyNumberFormat="1" applyFont="1" applyBorder="1" applyAlignment="1">
      <alignment horizontal="center"/>
    </xf>
    <xf numFmtId="9" fontId="16" fillId="0" borderId="28" xfId="4" applyNumberFormat="1" applyFont="1" applyBorder="1" applyAlignment="1">
      <alignment horizontal="center"/>
    </xf>
    <xf numFmtId="9" fontId="16" fillId="0" borderId="29" xfId="4" applyNumberFormat="1" applyFont="1" applyBorder="1" applyAlignment="1">
      <alignment horizontal="center"/>
    </xf>
    <xf numFmtId="9" fontId="19" fillId="0" borderId="30" xfId="4" applyNumberFormat="1" applyFont="1" applyBorder="1" applyAlignment="1">
      <alignment horizontal="center"/>
    </xf>
    <xf numFmtId="0" fontId="16" fillId="0" borderId="11" xfId="4" applyFont="1" applyBorder="1" applyAlignment="1">
      <alignment horizontal="center"/>
    </xf>
    <xf numFmtId="3" fontId="16" fillId="0" borderId="10" xfId="4" applyNumberFormat="1" applyFont="1" applyBorder="1" applyAlignment="1">
      <alignment horizontal="center"/>
    </xf>
    <xf numFmtId="3" fontId="16" fillId="0" borderId="9" xfId="4" applyNumberFormat="1" applyFont="1" applyBorder="1" applyAlignment="1">
      <alignment horizontal="center"/>
    </xf>
    <xf numFmtId="3" fontId="16" fillId="0" borderId="8" xfId="4" applyNumberFormat="1" applyFont="1" applyBorder="1" applyAlignment="1">
      <alignment horizontal="center"/>
    </xf>
    <xf numFmtId="3" fontId="19" fillId="0" borderId="8" xfId="4" applyNumberFormat="1" applyFont="1" applyBorder="1" applyAlignment="1">
      <alignment horizontal="center"/>
    </xf>
    <xf numFmtId="0" fontId="16" fillId="0" borderId="31" xfId="4" applyFont="1" applyBorder="1" applyAlignment="1">
      <alignment horizontal="center"/>
    </xf>
    <xf numFmtId="0" fontId="16" fillId="0" borderId="32" xfId="4" applyFont="1" applyBorder="1" applyAlignment="1">
      <alignment horizontal="center" vertical="center" wrapText="1"/>
    </xf>
    <xf numFmtId="0" fontId="16" fillId="0" borderId="33" xfId="4" applyFont="1" applyBorder="1" applyAlignment="1">
      <alignment horizontal="center" vertical="center" wrapText="1"/>
    </xf>
    <xf numFmtId="0" fontId="16" fillId="0" borderId="34" xfId="4" applyFont="1" applyBorder="1" applyAlignment="1">
      <alignment horizontal="center" vertical="center" wrapText="1"/>
    </xf>
    <xf numFmtId="0" fontId="16" fillId="0" borderId="35" xfId="4" applyFont="1" applyBorder="1" applyAlignment="1">
      <alignment horizontal="center" vertical="center" wrapText="1"/>
    </xf>
    <xf numFmtId="0" fontId="16" fillId="0" borderId="36" xfId="4" applyFont="1" applyBorder="1" applyAlignment="1">
      <alignment horizontal="center" vertical="center" wrapText="1"/>
    </xf>
    <xf numFmtId="0" fontId="19" fillId="0" borderId="35" xfId="4" applyFont="1" applyBorder="1" applyAlignment="1">
      <alignment horizontal="center" vertical="center" wrapText="1"/>
    </xf>
    <xf numFmtId="0" fontId="16" fillId="0" borderId="0" xfId="4" applyFont="1"/>
    <xf numFmtId="0" fontId="16" fillId="0" borderId="0" xfId="4" applyFont="1" applyBorder="1" applyAlignment="1">
      <alignment horizontal="center" vertical="center" wrapText="1"/>
    </xf>
    <xf numFmtId="0" fontId="16" fillId="0" borderId="37" xfId="4" applyFont="1" applyBorder="1" applyAlignment="1">
      <alignment horizontal="center" vertical="center" wrapText="1"/>
    </xf>
    <xf numFmtId="0" fontId="16" fillId="0" borderId="38" xfId="4" applyFont="1" applyBorder="1" applyAlignment="1">
      <alignment horizontal="center" vertical="center" wrapText="1"/>
    </xf>
    <xf numFmtId="0" fontId="19" fillId="0" borderId="39" xfId="4" applyFont="1" applyBorder="1" applyAlignment="1">
      <alignment horizontal="center" vertical="center" wrapText="1"/>
    </xf>
    <xf numFmtId="0" fontId="16" fillId="0" borderId="15" xfId="4" applyFont="1" applyBorder="1" applyAlignment="1">
      <alignment horizontal="center" vertical="center" wrapText="1"/>
    </xf>
    <xf numFmtId="0" fontId="16" fillId="0" borderId="0" xfId="4" applyBorder="1"/>
    <xf numFmtId="0" fontId="16" fillId="0" borderId="0" xfId="4" applyFont="1" applyBorder="1" applyAlignment="1">
      <alignment horizontal="center"/>
    </xf>
    <xf numFmtId="0" fontId="16" fillId="0" borderId="0" xfId="4" applyBorder="1" applyAlignment="1">
      <alignment horizontal="center"/>
    </xf>
    <xf numFmtId="0" fontId="18" fillId="0" borderId="0" xfId="4" applyFont="1" applyBorder="1" applyAlignment="1">
      <alignment horizontal="center" vertical="center" wrapText="1"/>
    </xf>
    <xf numFmtId="0" fontId="19" fillId="0" borderId="0" xfId="4" applyFont="1"/>
    <xf numFmtId="166" fontId="19" fillId="0" borderId="0" xfId="4" applyNumberFormat="1" applyFont="1"/>
    <xf numFmtId="0" fontId="20" fillId="0" borderId="0" xfId="6"/>
    <xf numFmtId="0" fontId="20" fillId="0" borderId="0" xfId="7" applyBorder="1" applyAlignment="1">
      <alignment wrapText="1"/>
    </xf>
    <xf numFmtId="0" fontId="20" fillId="0" borderId="0" xfId="6" applyBorder="1" applyAlignment="1">
      <alignment vertical="top" wrapText="1"/>
    </xf>
    <xf numFmtId="3" fontId="20" fillId="0" borderId="0" xfId="6" applyNumberFormat="1" applyBorder="1" applyAlignment="1">
      <alignment horizontal="center"/>
    </xf>
    <xf numFmtId="3" fontId="20" fillId="0" borderId="15" xfId="6" applyNumberFormat="1" applyBorder="1" applyAlignment="1">
      <alignment horizontal="center"/>
    </xf>
    <xf numFmtId="3" fontId="20" fillId="0" borderId="14" xfId="6" applyNumberFormat="1" applyBorder="1" applyAlignment="1">
      <alignment horizontal="center"/>
    </xf>
    <xf numFmtId="3" fontId="20" fillId="0" borderId="13" xfId="6" applyNumberFormat="1" applyBorder="1" applyAlignment="1">
      <alignment horizontal="center"/>
    </xf>
    <xf numFmtId="3" fontId="19" fillId="0" borderId="13" xfId="6" applyNumberFormat="1" applyFont="1" applyBorder="1" applyAlignment="1">
      <alignment horizontal="center"/>
    </xf>
    <xf numFmtId="0" fontId="20" fillId="0" borderId="26" xfId="6" applyFont="1" applyBorder="1" applyAlignment="1">
      <alignment horizontal="center"/>
    </xf>
    <xf numFmtId="3" fontId="20" fillId="0" borderId="15" xfId="6" applyNumberFormat="1" applyFont="1" applyBorder="1" applyAlignment="1">
      <alignment horizontal="center"/>
    </xf>
    <xf numFmtId="3" fontId="20" fillId="0" borderId="14" xfId="6" applyNumberFormat="1" applyFont="1" applyBorder="1" applyAlignment="1">
      <alignment horizontal="center"/>
    </xf>
    <xf numFmtId="3" fontId="20" fillId="0" borderId="12" xfId="6" applyNumberFormat="1" applyBorder="1" applyAlignment="1">
      <alignment horizontal="center"/>
    </xf>
    <xf numFmtId="3" fontId="20" fillId="0" borderId="11" xfId="6" applyNumberFormat="1" applyBorder="1" applyAlignment="1">
      <alignment horizontal="center"/>
    </xf>
    <xf numFmtId="3" fontId="19" fillId="0" borderId="11" xfId="6" applyNumberFormat="1" applyFont="1" applyBorder="1" applyAlignment="1">
      <alignment horizontal="center"/>
    </xf>
    <xf numFmtId="0" fontId="20" fillId="0" borderId="30" xfId="6" applyFont="1" applyBorder="1" applyAlignment="1">
      <alignment horizontal="center"/>
    </xf>
    <xf numFmtId="3" fontId="20" fillId="0" borderId="12" xfId="6" applyNumberFormat="1" applyFont="1" applyBorder="1" applyAlignment="1">
      <alignment horizontal="center"/>
    </xf>
    <xf numFmtId="3" fontId="20" fillId="0" borderId="0" xfId="6" applyNumberFormat="1" applyFont="1" applyBorder="1" applyAlignment="1">
      <alignment horizontal="center"/>
    </xf>
    <xf numFmtId="164" fontId="20" fillId="0" borderId="15" xfId="6" applyNumberFormat="1" applyFont="1" applyBorder="1" applyAlignment="1">
      <alignment horizontal="center"/>
    </xf>
    <xf numFmtId="164" fontId="20" fillId="0" borderId="14" xfId="6" applyNumberFormat="1" applyFont="1" applyBorder="1" applyAlignment="1">
      <alignment horizontal="center"/>
    </xf>
    <xf numFmtId="164" fontId="20" fillId="0" borderId="13" xfId="6" applyNumberFormat="1" applyFont="1" applyBorder="1" applyAlignment="1">
      <alignment horizontal="center"/>
    </xf>
    <xf numFmtId="164" fontId="19" fillId="0" borderId="26" xfId="6" applyNumberFormat="1" applyFont="1" applyBorder="1" applyAlignment="1">
      <alignment horizontal="center"/>
    </xf>
    <xf numFmtId="0" fontId="20" fillId="0" borderId="13" xfId="6" applyFont="1" applyBorder="1" applyAlignment="1">
      <alignment horizontal="center" vertical="justify"/>
    </xf>
    <xf numFmtId="164" fontId="20" fillId="0" borderId="0" xfId="6" applyNumberFormat="1" applyFont="1" applyBorder="1" applyAlignment="1">
      <alignment horizontal="center"/>
    </xf>
    <xf numFmtId="164" fontId="20" fillId="0" borderId="23" xfId="6" applyNumberFormat="1" applyFont="1" applyBorder="1" applyAlignment="1">
      <alignment horizontal="center"/>
    </xf>
    <xf numFmtId="164" fontId="20" fillId="0" borderId="24" xfId="6" applyNumberFormat="1" applyFont="1" applyBorder="1" applyAlignment="1">
      <alignment horizontal="center"/>
    </xf>
    <xf numFmtId="164" fontId="20" fillId="0" borderId="25" xfId="6" applyNumberFormat="1" applyFont="1" applyBorder="1" applyAlignment="1">
      <alignment horizontal="center"/>
    </xf>
    <xf numFmtId="164" fontId="20" fillId="0" borderId="12" xfId="6" applyNumberFormat="1" applyFont="1" applyBorder="1" applyAlignment="1">
      <alignment horizontal="center"/>
    </xf>
    <xf numFmtId="164" fontId="20" fillId="0" borderId="11" xfId="6" applyNumberFormat="1" applyFont="1" applyBorder="1" applyAlignment="1">
      <alignment horizontal="center"/>
    </xf>
    <xf numFmtId="164" fontId="19" fillId="0" borderId="30" xfId="6" applyNumberFormat="1" applyFont="1" applyBorder="1" applyAlignment="1">
      <alignment horizontal="center"/>
    </xf>
    <xf numFmtId="0" fontId="20" fillId="0" borderId="11" xfId="6" applyFont="1" applyBorder="1" applyAlignment="1">
      <alignment horizontal="center" vertical="justify"/>
    </xf>
    <xf numFmtId="164" fontId="20" fillId="0" borderId="27" xfId="6" applyNumberFormat="1" applyFont="1" applyBorder="1" applyAlignment="1">
      <alignment horizontal="center"/>
    </xf>
    <xf numFmtId="164" fontId="20" fillId="0" borderId="28" xfId="6" applyNumberFormat="1" applyFont="1" applyBorder="1" applyAlignment="1">
      <alignment horizontal="center"/>
    </xf>
    <xf numFmtId="164" fontId="20" fillId="0" borderId="29" xfId="6" applyNumberFormat="1" applyFont="1" applyBorder="1" applyAlignment="1">
      <alignment horizontal="center"/>
    </xf>
    <xf numFmtId="3" fontId="20" fillId="0" borderId="10" xfId="6" applyNumberFormat="1" applyBorder="1" applyAlignment="1">
      <alignment horizontal="center"/>
    </xf>
    <xf numFmtId="3" fontId="20" fillId="0" borderId="9" xfId="6" applyNumberFormat="1" applyBorder="1" applyAlignment="1">
      <alignment horizontal="center"/>
    </xf>
    <xf numFmtId="3" fontId="20" fillId="0" borderId="8" xfId="6" applyNumberFormat="1" applyBorder="1" applyAlignment="1">
      <alignment horizontal="center"/>
    </xf>
    <xf numFmtId="3" fontId="19" fillId="0" borderId="8" xfId="6" applyNumberFormat="1" applyFont="1" applyBorder="1" applyAlignment="1">
      <alignment horizontal="center"/>
    </xf>
    <xf numFmtId="0" fontId="20" fillId="0" borderId="31" xfId="6" applyFont="1" applyBorder="1" applyAlignment="1">
      <alignment horizontal="center"/>
    </xf>
    <xf numFmtId="3" fontId="20" fillId="0" borderId="10" xfId="6" applyNumberFormat="1" applyFont="1" applyBorder="1" applyAlignment="1">
      <alignment horizontal="center"/>
    </xf>
    <xf numFmtId="3" fontId="20" fillId="0" borderId="9" xfId="6" applyNumberFormat="1" applyFont="1" applyBorder="1" applyAlignment="1">
      <alignment horizontal="center"/>
    </xf>
    <xf numFmtId="164" fontId="20" fillId="0" borderId="10" xfId="6" applyNumberFormat="1" applyFont="1" applyBorder="1" applyAlignment="1">
      <alignment horizontal="center"/>
    </xf>
    <xf numFmtId="164" fontId="20" fillId="0" borderId="9" xfId="6" applyNumberFormat="1" applyFont="1" applyBorder="1" applyAlignment="1">
      <alignment horizontal="center"/>
    </xf>
    <xf numFmtId="164" fontId="20" fillId="0" borderId="8" xfId="6" applyNumberFormat="1" applyFont="1" applyBorder="1" applyAlignment="1">
      <alignment horizontal="center"/>
    </xf>
    <xf numFmtId="164" fontId="19" fillId="0" borderId="31" xfId="6" applyNumberFormat="1" applyFont="1" applyBorder="1" applyAlignment="1">
      <alignment horizontal="center"/>
    </xf>
    <xf numFmtId="0" fontId="20" fillId="0" borderId="8" xfId="6" applyFont="1" applyBorder="1" applyAlignment="1">
      <alignment horizontal="center" vertical="justify"/>
    </xf>
    <xf numFmtId="164" fontId="20" fillId="0" borderId="32" xfId="6" applyNumberFormat="1" applyFont="1" applyBorder="1" applyAlignment="1">
      <alignment horizontal="center"/>
    </xf>
    <xf numFmtId="164" fontId="20" fillId="0" borderId="36" xfId="6" applyNumberFormat="1" applyFont="1" applyBorder="1" applyAlignment="1">
      <alignment horizontal="center"/>
    </xf>
    <xf numFmtId="164" fontId="20" fillId="0" borderId="35" xfId="6" applyNumberFormat="1" applyFont="1" applyBorder="1" applyAlignment="1">
      <alignment horizontal="center"/>
    </xf>
    <xf numFmtId="0" fontId="20" fillId="0" borderId="0" xfId="6" applyFont="1" applyBorder="1"/>
    <xf numFmtId="165" fontId="20" fillId="0" borderId="0" xfId="6" applyNumberFormat="1" applyAlignment="1">
      <alignment horizontal="center"/>
    </xf>
    <xf numFmtId="0" fontId="20" fillId="0" borderId="0" xfId="6" applyFont="1"/>
    <xf numFmtId="0" fontId="20" fillId="0" borderId="11" xfId="6" applyFont="1" applyBorder="1" applyAlignment="1">
      <alignment horizontal="center"/>
    </xf>
    <xf numFmtId="3" fontId="20" fillId="0" borderId="11" xfId="6" applyNumberFormat="1" applyFont="1" applyBorder="1" applyAlignment="1">
      <alignment horizontal="center"/>
    </xf>
    <xf numFmtId="3" fontId="20" fillId="0" borderId="8" xfId="6" applyNumberFormat="1" applyFont="1" applyBorder="1" applyAlignment="1">
      <alignment horizontal="center"/>
    </xf>
    <xf numFmtId="164" fontId="20" fillId="0" borderId="40" xfId="6" applyNumberFormat="1" applyFont="1" applyBorder="1" applyAlignment="1">
      <alignment horizontal="center"/>
    </xf>
    <xf numFmtId="164" fontId="20" fillId="0" borderId="41" xfId="6" applyNumberFormat="1" applyFont="1" applyBorder="1" applyAlignment="1">
      <alignment horizontal="center"/>
    </xf>
    <xf numFmtId="164" fontId="20" fillId="0" borderId="42" xfId="6" applyNumberFormat="1" applyFont="1" applyBorder="1" applyAlignment="1">
      <alignment horizontal="center"/>
    </xf>
    <xf numFmtId="164" fontId="19" fillId="0" borderId="43" xfId="6" applyNumberFormat="1" applyFont="1" applyBorder="1" applyAlignment="1">
      <alignment horizontal="center"/>
    </xf>
    <xf numFmtId="0" fontId="20" fillId="0" borderId="8" xfId="6" applyFont="1" applyBorder="1" applyAlignment="1">
      <alignment horizontal="center"/>
    </xf>
    <xf numFmtId="0" fontId="20" fillId="0" borderId="0" xfId="6" applyFont="1" applyBorder="1" applyAlignment="1">
      <alignment horizontal="center" vertical="center" wrapText="1"/>
    </xf>
    <xf numFmtId="0" fontId="20" fillId="0" borderId="32" xfId="6" applyFont="1" applyBorder="1" applyAlignment="1">
      <alignment horizontal="center" vertical="center" wrapText="1"/>
    </xf>
    <xf numFmtId="0" fontId="20" fillId="0" borderId="33" xfId="6" applyFont="1" applyBorder="1" applyAlignment="1">
      <alignment horizontal="center" vertical="center" wrapText="1"/>
    </xf>
    <xf numFmtId="0" fontId="20" fillId="0" borderId="34" xfId="6" applyFont="1" applyBorder="1" applyAlignment="1">
      <alignment horizontal="center" vertical="center" wrapText="1"/>
    </xf>
    <xf numFmtId="0" fontId="20" fillId="0" borderId="35" xfId="6" applyFont="1" applyBorder="1" applyAlignment="1">
      <alignment horizontal="center" vertical="center" wrapText="1"/>
    </xf>
    <xf numFmtId="0" fontId="20" fillId="0" borderId="36" xfId="6" applyFont="1" applyBorder="1" applyAlignment="1">
      <alignment horizontal="center" vertical="center" wrapText="1"/>
    </xf>
    <xf numFmtId="0" fontId="19" fillId="0" borderId="35" xfId="6" applyFont="1" applyBorder="1" applyAlignment="1">
      <alignment horizontal="center" vertical="center" wrapText="1"/>
    </xf>
    <xf numFmtId="0" fontId="20" fillId="0" borderId="37" xfId="6" applyFont="1" applyBorder="1" applyAlignment="1">
      <alignment horizontal="center" vertical="center" wrapText="1"/>
    </xf>
    <xf numFmtId="0" fontId="20" fillId="0" borderId="38" xfId="6" applyFont="1" applyBorder="1" applyAlignment="1">
      <alignment horizontal="center" vertical="center" wrapText="1"/>
    </xf>
    <xf numFmtId="0" fontId="19" fillId="0" borderId="39" xfId="6" applyFont="1" applyBorder="1" applyAlignment="1">
      <alignment horizontal="center" vertical="center" wrapText="1"/>
    </xf>
    <xf numFmtId="0" fontId="20" fillId="0" borderId="15" xfId="6" applyFont="1" applyBorder="1" applyAlignment="1">
      <alignment horizontal="center" vertical="center" wrapText="1"/>
    </xf>
    <xf numFmtId="0" fontId="20" fillId="0" borderId="0" xfId="6" applyBorder="1"/>
    <xf numFmtId="0" fontId="20" fillId="0" borderId="0" xfId="6" applyFont="1" applyBorder="1" applyAlignment="1">
      <alignment horizontal="center"/>
    </xf>
    <xf numFmtId="0" fontId="20" fillId="0" borderId="0" xfId="6" applyBorder="1" applyAlignment="1">
      <alignment horizontal="center"/>
    </xf>
    <xf numFmtId="0" fontId="20" fillId="0" borderId="9" xfId="6" applyBorder="1"/>
    <xf numFmtId="0" fontId="21" fillId="0" borderId="0" xfId="6" applyFont="1" applyBorder="1" applyAlignment="1">
      <alignment horizontal="center" vertical="center" wrapText="1"/>
    </xf>
    <xf numFmtId="0" fontId="19" fillId="0" borderId="0" xfId="6" applyFont="1"/>
    <xf numFmtId="166" fontId="19" fillId="0" borderId="0" xfId="6" applyNumberFormat="1" applyFont="1"/>
    <xf numFmtId="0" fontId="17" fillId="0" borderId="0" xfId="3" applyFont="1" applyAlignment="1">
      <alignment horizontal="center" vertical="center" wrapText="1"/>
    </xf>
    <xf numFmtId="167" fontId="17" fillId="0" borderId="0" xfId="3" applyNumberFormat="1" applyFont="1"/>
    <xf numFmtId="0" fontId="12" fillId="0" borderId="21" xfId="0" applyFont="1" applyBorder="1" applyAlignment="1">
      <alignment horizontal="center" vertical="center" wrapText="1"/>
    </xf>
    <xf numFmtId="9" fontId="4" fillId="0" borderId="0" xfId="0" applyNumberFormat="1" applyFont="1"/>
    <xf numFmtId="0" fontId="4" fillId="0" borderId="0" xfId="0" applyFont="1" applyBorder="1" applyAlignment="1">
      <alignment horizontal="center"/>
    </xf>
    <xf numFmtId="0" fontId="4" fillId="0" borderId="0" xfId="0" applyFont="1" applyAlignment="1">
      <alignment horizontal="left"/>
    </xf>
    <xf numFmtId="0" fontId="4" fillId="0" borderId="0" xfId="0" applyFont="1" applyAlignment="1">
      <alignment horizontal="center" vertical="center"/>
    </xf>
    <xf numFmtId="1" fontId="4" fillId="0" borderId="0" xfId="0" applyNumberFormat="1" applyFont="1"/>
    <xf numFmtId="0" fontId="13" fillId="0" borderId="45" xfId="0" applyFont="1" applyBorder="1" applyAlignment="1">
      <alignment horizontal="center" vertical="center" wrapText="1"/>
    </xf>
    <xf numFmtId="0" fontId="12" fillId="0" borderId="46" xfId="0" applyFont="1" applyBorder="1" applyAlignment="1">
      <alignment horizontal="center" vertical="center" wrapText="1"/>
    </xf>
    <xf numFmtId="0" fontId="23" fillId="0" borderId="46" xfId="0" applyFont="1" applyBorder="1" applyAlignment="1">
      <alignment horizontal="center" vertical="center" wrapText="1"/>
    </xf>
    <xf numFmtId="0" fontId="23" fillId="0" borderId="42" xfId="0" applyFont="1" applyBorder="1" applyAlignment="1">
      <alignment horizontal="center" vertical="center" wrapText="1"/>
    </xf>
    <xf numFmtId="0" fontId="14" fillId="0" borderId="45" xfId="0" applyFont="1" applyBorder="1" applyAlignment="1">
      <alignment horizontal="center" vertical="center" wrapText="1"/>
    </xf>
    <xf numFmtId="0" fontId="14" fillId="0" borderId="44" xfId="0" applyFont="1" applyBorder="1" applyAlignment="1">
      <alignment horizontal="center" vertical="center"/>
    </xf>
    <xf numFmtId="9" fontId="12" fillId="0" borderId="47" xfId="0" applyNumberFormat="1" applyFont="1" applyBorder="1" applyAlignment="1">
      <alignment horizontal="center" vertical="center"/>
    </xf>
    <xf numFmtId="164" fontId="24" fillId="0" borderId="47" xfId="0" applyNumberFormat="1" applyFont="1" applyBorder="1" applyAlignment="1">
      <alignment horizontal="center" vertical="center"/>
    </xf>
    <xf numFmtId="9" fontId="23" fillId="0" borderId="47" xfId="0" applyNumberFormat="1" applyFont="1" applyBorder="1" applyAlignment="1">
      <alignment horizontal="center" vertical="center"/>
    </xf>
    <xf numFmtId="164" fontId="24" fillId="0" borderId="43" xfId="0" applyNumberFormat="1" applyFont="1" applyBorder="1" applyAlignment="1">
      <alignment horizontal="center" vertical="center"/>
    </xf>
    <xf numFmtId="9" fontId="23" fillId="0" borderId="43" xfId="0" applyNumberFormat="1" applyFont="1" applyBorder="1" applyAlignment="1">
      <alignment horizontal="center" vertical="center"/>
    </xf>
    <xf numFmtId="3" fontId="12" fillId="0" borderId="44" xfId="0" applyNumberFormat="1" applyFont="1" applyBorder="1" applyAlignment="1">
      <alignment horizontal="center" vertical="center"/>
    </xf>
    <xf numFmtId="0" fontId="4" fillId="0" borderId="48" xfId="0" applyFont="1" applyBorder="1" applyAlignment="1">
      <alignment horizontal="center" vertical="center" wrapText="1"/>
    </xf>
    <xf numFmtId="0" fontId="5" fillId="0" borderId="41" xfId="0" applyFont="1" applyBorder="1" applyAlignment="1">
      <alignment horizontal="center" vertical="center" wrapText="1"/>
    </xf>
    <xf numFmtId="0" fontId="5" fillId="0" borderId="49" xfId="0" applyFont="1" applyBorder="1" applyAlignment="1">
      <alignment horizontal="center" vertical="center" wrapText="1"/>
    </xf>
    <xf numFmtId="0" fontId="5" fillId="0" borderId="50" xfId="0" applyFont="1" applyBorder="1" applyAlignment="1">
      <alignment horizontal="center"/>
    </xf>
    <xf numFmtId="1" fontId="4" fillId="0" borderId="0" xfId="0" applyNumberFormat="1" applyFont="1" applyBorder="1" applyAlignment="1">
      <alignment horizontal="center"/>
    </xf>
    <xf numFmtId="9" fontId="4" fillId="0" borderId="0" xfId="0" applyNumberFormat="1" applyFont="1" applyBorder="1" applyAlignment="1">
      <alignment horizontal="center"/>
    </xf>
    <xf numFmtId="1" fontId="4" fillId="0" borderId="51" xfId="0" applyNumberFormat="1" applyFont="1" applyBorder="1" applyAlignment="1">
      <alignment horizontal="center"/>
    </xf>
    <xf numFmtId="0" fontId="5" fillId="0" borderId="52" xfId="0" applyFont="1" applyBorder="1" applyAlignment="1">
      <alignment horizontal="center"/>
    </xf>
    <xf numFmtId="1" fontId="4" fillId="0" borderId="53" xfId="0" applyNumberFormat="1" applyFont="1" applyBorder="1" applyAlignment="1">
      <alignment horizontal="center"/>
    </xf>
    <xf numFmtId="164" fontId="4" fillId="0" borderId="53" xfId="0" applyNumberFormat="1" applyFont="1" applyBorder="1" applyAlignment="1">
      <alignment horizontal="center"/>
    </xf>
    <xf numFmtId="9" fontId="4" fillId="0" borderId="53" xfId="0" applyNumberFormat="1" applyFont="1" applyBorder="1" applyAlignment="1">
      <alignment horizontal="center"/>
    </xf>
    <xf numFmtId="0" fontId="4" fillId="0" borderId="53" xfId="0" applyFont="1" applyBorder="1" applyAlignment="1">
      <alignment horizontal="center"/>
    </xf>
    <xf numFmtId="1" fontId="4" fillId="0" borderId="54" xfId="0" applyNumberFormat="1" applyFont="1" applyBorder="1" applyAlignment="1">
      <alignment horizontal="center"/>
    </xf>
    <xf numFmtId="0" fontId="4" fillId="0" borderId="10" xfId="0" applyFont="1" applyBorder="1"/>
    <xf numFmtId="9" fontId="4" fillId="0" borderId="51" xfId="0" applyNumberFormat="1" applyFont="1" applyBorder="1" applyAlignment="1">
      <alignment horizontal="center"/>
    </xf>
    <xf numFmtId="0" fontId="4" fillId="0" borderId="11" xfId="0" applyFont="1" applyBorder="1" applyAlignment="1">
      <alignment horizontal="center"/>
    </xf>
    <xf numFmtId="164" fontId="4" fillId="0" borderId="0" xfId="0" applyNumberFormat="1" applyFont="1" applyBorder="1" applyAlignment="1">
      <alignment horizontal="center" vertical="center"/>
    </xf>
    <xf numFmtId="0" fontId="0" fillId="0" borderId="0" xfId="0" applyAlignment="1">
      <alignment horizontal="center" vertical="center"/>
    </xf>
    <xf numFmtId="0" fontId="4" fillId="0" borderId="11" xfId="0" applyFont="1" applyBorder="1" applyAlignment="1">
      <alignment horizontal="center" vertical="center"/>
    </xf>
    <xf numFmtId="164" fontId="4" fillId="0" borderId="14" xfId="0" applyNumberFormat="1" applyFont="1" applyBorder="1" applyAlignment="1">
      <alignment horizontal="center" vertical="center"/>
    </xf>
    <xf numFmtId="9" fontId="4" fillId="0" borderId="54" xfId="0" applyNumberFormat="1" applyFont="1" applyBorder="1" applyAlignment="1">
      <alignment horizontal="center"/>
    </xf>
    <xf numFmtId="0" fontId="4" fillId="0" borderId="50" xfId="0" applyFont="1" applyBorder="1" applyAlignment="1">
      <alignment horizontal="center" vertical="center"/>
    </xf>
    <xf numFmtId="0" fontId="4" fillId="0" borderId="0" xfId="0" applyFont="1" applyBorder="1" applyAlignment="1">
      <alignment horizontal="center" vertical="center"/>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2" fontId="9" fillId="0" borderId="51" xfId="0" applyNumberFormat="1" applyFont="1" applyBorder="1" applyAlignment="1">
      <alignment horizontal="center" vertical="center"/>
    </xf>
    <xf numFmtId="9" fontId="4" fillId="0" borderId="0" xfId="0" applyNumberFormat="1" applyFont="1" applyAlignment="1">
      <alignment horizontal="center" vertical="center"/>
    </xf>
    <xf numFmtId="9" fontId="4" fillId="0" borderId="0" xfId="0" applyNumberFormat="1" applyFont="1" applyAlignment="1">
      <alignment horizontal="center"/>
    </xf>
    <xf numFmtId="0" fontId="5" fillId="0" borderId="0" xfId="0" applyFont="1" applyBorder="1" applyAlignment="1">
      <alignment horizontal="center" vertical="center" wrapText="1"/>
    </xf>
    <xf numFmtId="0" fontId="5" fillId="0" borderId="51" xfId="0" applyFont="1" applyBorder="1" applyAlignment="1">
      <alignment horizontal="center" vertical="center" wrapText="1"/>
    </xf>
    <xf numFmtId="9" fontId="5" fillId="0" borderId="0" xfId="0" applyNumberFormat="1" applyFont="1" applyBorder="1" applyAlignment="1">
      <alignment horizontal="center" vertical="center" wrapText="1"/>
    </xf>
    <xf numFmtId="0" fontId="4" fillId="0" borderId="56" xfId="0" applyFont="1" applyBorder="1" applyAlignment="1">
      <alignment horizontal="center" vertical="center"/>
    </xf>
    <xf numFmtId="0" fontId="4" fillId="0" borderId="57" xfId="0" applyFont="1" applyBorder="1" applyAlignment="1">
      <alignment horizontal="center" vertical="center"/>
    </xf>
    <xf numFmtId="0" fontId="25" fillId="2" borderId="58" xfId="0" applyFont="1" applyFill="1" applyBorder="1" applyAlignment="1">
      <alignment horizontal="center" vertical="center"/>
    </xf>
    <xf numFmtId="0" fontId="25" fillId="3" borderId="58" xfId="0" applyFont="1" applyFill="1" applyBorder="1" applyAlignment="1">
      <alignment horizontal="center" vertical="center"/>
    </xf>
    <xf numFmtId="0" fontId="26" fillId="0" borderId="41" xfId="0" applyFont="1" applyFill="1" applyBorder="1" applyAlignment="1">
      <alignment horizontal="center" vertical="center"/>
    </xf>
    <xf numFmtId="0" fontId="26" fillId="4" borderId="41" xfId="0" applyFont="1" applyFill="1" applyBorder="1" applyAlignment="1">
      <alignment horizontal="center" vertical="center"/>
    </xf>
    <xf numFmtId="0" fontId="26" fillId="0" borderId="49" xfId="0" applyFont="1" applyFill="1" applyBorder="1" applyAlignment="1">
      <alignment horizontal="center" vertical="center"/>
    </xf>
    <xf numFmtId="0" fontId="26" fillId="0" borderId="0" xfId="0" applyFont="1" applyFill="1" applyAlignment="1">
      <alignment horizontal="center" vertical="center"/>
    </xf>
    <xf numFmtId="0" fontId="26" fillId="4" borderId="0" xfId="0" applyFont="1" applyFill="1" applyAlignment="1">
      <alignment horizontal="center" vertical="center"/>
    </xf>
    <xf numFmtId="0" fontId="26" fillId="0" borderId="51" xfId="0" applyFont="1" applyFill="1" applyBorder="1" applyAlignment="1">
      <alignment horizontal="center" vertical="center"/>
    </xf>
    <xf numFmtId="0" fontId="26" fillId="0" borderId="53" xfId="0" applyFont="1" applyFill="1" applyBorder="1" applyAlignment="1">
      <alignment horizontal="center" vertical="center"/>
    </xf>
    <xf numFmtId="0" fontId="26" fillId="4" borderId="53" xfId="0" applyFont="1" applyFill="1" applyBorder="1" applyAlignment="1">
      <alignment horizontal="center" vertical="center"/>
    </xf>
    <xf numFmtId="0" fontId="26" fillId="0" borderId="54" xfId="0" applyFont="1" applyFill="1" applyBorder="1" applyAlignment="1">
      <alignment horizontal="center" vertical="center"/>
    </xf>
    <xf numFmtId="0" fontId="25" fillId="0" borderId="53" xfId="0" applyFont="1" applyFill="1" applyBorder="1" applyAlignment="1">
      <alignment horizontal="center" vertical="center"/>
    </xf>
    <xf numFmtId="0" fontId="25" fillId="4" borderId="53" xfId="0" applyFont="1" applyFill="1" applyBorder="1" applyAlignment="1">
      <alignment horizontal="center" vertical="center"/>
    </xf>
    <xf numFmtId="0" fontId="25" fillId="0" borderId="54" xfId="0" applyFont="1" applyFill="1" applyBorder="1" applyAlignment="1">
      <alignment horizontal="center" vertical="center"/>
    </xf>
    <xf numFmtId="0" fontId="26" fillId="0" borderId="0" xfId="0" applyFont="1" applyAlignment="1">
      <alignment horizontal="center" vertical="center"/>
    </xf>
    <xf numFmtId="0" fontId="26" fillId="0" borderId="51" xfId="0" applyFont="1" applyBorder="1" applyAlignment="1">
      <alignment horizontal="center" vertical="center"/>
    </xf>
    <xf numFmtId="0" fontId="26" fillId="0" borderId="53" xfId="0" applyFont="1" applyBorder="1" applyAlignment="1">
      <alignment horizontal="center" vertical="center"/>
    </xf>
    <xf numFmtId="0" fontId="26" fillId="0" borderId="54" xfId="0" applyFont="1" applyBorder="1" applyAlignment="1">
      <alignment horizontal="center" vertical="center"/>
    </xf>
    <xf numFmtId="0" fontId="0" fillId="0" borderId="60" xfId="0" applyBorder="1"/>
    <xf numFmtId="9" fontId="0" fillId="0" borderId="0" xfId="2" applyFont="1" applyBorder="1" applyAlignment="1">
      <alignment horizontal="center"/>
    </xf>
    <xf numFmtId="9" fontId="0" fillId="0" borderId="51" xfId="2" applyFont="1" applyBorder="1" applyAlignment="1">
      <alignment horizontal="center"/>
    </xf>
    <xf numFmtId="0" fontId="0" fillId="0" borderId="61" xfId="0" applyBorder="1"/>
    <xf numFmtId="9" fontId="0" fillId="0" borderId="53" xfId="2" applyFont="1" applyBorder="1" applyAlignment="1">
      <alignment horizontal="center"/>
    </xf>
    <xf numFmtId="9" fontId="0" fillId="0" borderId="54" xfId="2" applyFont="1" applyBorder="1" applyAlignment="1">
      <alignment horizontal="center"/>
    </xf>
    <xf numFmtId="0" fontId="4" fillId="0" borderId="22" xfId="0" applyFont="1" applyBorder="1" applyAlignment="1">
      <alignment horizontal="center" vertical="center"/>
    </xf>
    <xf numFmtId="0" fontId="4" fillId="0" borderId="59" xfId="0" applyFont="1" applyBorder="1"/>
    <xf numFmtId="9" fontId="4" fillId="0" borderId="48" xfId="2" applyFont="1" applyBorder="1" applyAlignment="1">
      <alignment horizontal="center"/>
    </xf>
    <xf numFmtId="9" fontId="4" fillId="0" borderId="41" xfId="2" applyFont="1" applyBorder="1" applyAlignment="1">
      <alignment horizontal="center"/>
    </xf>
    <xf numFmtId="9" fontId="4" fillId="0" borderId="49" xfId="2" applyFont="1" applyBorder="1" applyAlignment="1">
      <alignment horizontal="center"/>
    </xf>
    <xf numFmtId="0" fontId="4" fillId="0" borderId="60" xfId="0" applyFont="1" applyBorder="1"/>
    <xf numFmtId="9" fontId="4" fillId="0" borderId="50" xfId="2" applyFont="1" applyBorder="1" applyAlignment="1">
      <alignment horizontal="center"/>
    </xf>
    <xf numFmtId="9" fontId="4" fillId="0" borderId="0" xfId="2" applyFont="1" applyBorder="1" applyAlignment="1">
      <alignment horizontal="center"/>
    </xf>
    <xf numFmtId="9" fontId="4" fillId="0" borderId="51" xfId="2" applyFont="1" applyBorder="1" applyAlignment="1">
      <alignment horizontal="center"/>
    </xf>
    <xf numFmtId="0" fontId="4" fillId="0" borderId="61" xfId="0" applyFont="1" applyBorder="1"/>
    <xf numFmtId="9" fontId="4" fillId="0" borderId="52" xfId="2" applyFont="1" applyBorder="1" applyAlignment="1">
      <alignment horizontal="center"/>
    </xf>
    <xf numFmtId="9" fontId="4" fillId="0" borderId="53" xfId="2" applyFont="1" applyBorder="1" applyAlignment="1">
      <alignment horizontal="center"/>
    </xf>
    <xf numFmtId="9" fontId="4" fillId="0" borderId="54" xfId="2" applyFont="1" applyBorder="1" applyAlignment="1">
      <alignment horizontal="center"/>
    </xf>
    <xf numFmtId="0" fontId="25" fillId="0" borderId="0" xfId="0" applyFont="1" applyAlignment="1">
      <alignment horizontal="left"/>
    </xf>
    <xf numFmtId="164" fontId="27" fillId="0" borderId="0" xfId="0" applyNumberFormat="1" applyFont="1" applyAlignment="1">
      <alignment horizontal="center"/>
    </xf>
    <xf numFmtId="0" fontId="14" fillId="0" borderId="62" xfId="0" applyFont="1" applyBorder="1" applyAlignment="1">
      <alignment horizontal="center" vertical="center"/>
    </xf>
    <xf numFmtId="164" fontId="14" fillId="0" borderId="63" xfId="0" applyNumberFormat="1" applyFont="1" applyBorder="1" applyAlignment="1">
      <alignment horizontal="center" vertical="center"/>
    </xf>
    <xf numFmtId="164" fontId="12" fillId="0" borderId="63" xfId="0" applyNumberFormat="1" applyFont="1" applyBorder="1" applyAlignment="1">
      <alignment horizontal="center" vertical="center"/>
    </xf>
    <xf numFmtId="3" fontId="12" fillId="0" borderId="62" xfId="0" applyNumberFormat="1" applyFont="1" applyBorder="1" applyAlignment="1">
      <alignment horizontal="center" vertical="center"/>
    </xf>
    <xf numFmtId="0" fontId="2" fillId="0" borderId="0" xfId="0" applyFont="1"/>
    <xf numFmtId="0" fontId="29" fillId="0" borderId="16"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17" xfId="0" applyFont="1" applyBorder="1" applyAlignment="1">
      <alignment horizontal="center" vertical="center" wrapText="1"/>
    </xf>
    <xf numFmtId="0" fontId="3" fillId="0" borderId="16" xfId="0" applyFont="1" applyBorder="1" applyAlignment="1">
      <alignment horizontal="left" vertical="top" wrapText="1"/>
    </xf>
    <xf numFmtId="0" fontId="4" fillId="0" borderId="18" xfId="0" applyFont="1" applyBorder="1" applyAlignment="1">
      <alignment horizontal="left" vertical="top" wrapText="1"/>
    </xf>
    <xf numFmtId="0" fontId="4" fillId="0" borderId="17" xfId="0" applyFont="1" applyBorder="1" applyAlignment="1">
      <alignment horizontal="left" vertical="top" wrapText="1"/>
    </xf>
    <xf numFmtId="0" fontId="30" fillId="0" borderId="16" xfId="0" applyFont="1" applyBorder="1" applyAlignment="1">
      <alignment horizontal="center" vertical="center" wrapText="1"/>
    </xf>
    <xf numFmtId="0" fontId="4" fillId="0" borderId="0"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8" xfId="0" applyFont="1" applyBorder="1" applyAlignment="1">
      <alignment horizontal="center" wrapText="1"/>
    </xf>
    <xf numFmtId="0" fontId="5" fillId="0" borderId="9" xfId="0" applyFont="1" applyBorder="1" applyAlignment="1">
      <alignment horizontal="center" wrapText="1"/>
    </xf>
    <xf numFmtId="0" fontId="5" fillId="0" borderId="10" xfId="0" applyFont="1" applyBorder="1" applyAlignment="1">
      <alignment horizontal="center" wrapText="1"/>
    </xf>
    <xf numFmtId="0" fontId="5" fillId="0" borderId="9" xfId="0" applyFont="1" applyBorder="1" applyAlignment="1">
      <alignment horizontal="center" vertical="center"/>
    </xf>
    <xf numFmtId="0" fontId="5" fillId="0" borderId="9" xfId="0" applyFont="1" applyBorder="1" applyAlignment="1">
      <alignment horizontal="center" vertical="center" wrapText="1"/>
    </xf>
    <xf numFmtId="0" fontId="18" fillId="0" borderId="16" xfId="4" applyFont="1" applyBorder="1" applyAlignment="1">
      <alignment horizontal="center" vertical="center" wrapText="1"/>
    </xf>
    <xf numFmtId="0" fontId="16" fillId="0" borderId="18" xfId="5" applyBorder="1" applyAlignment="1">
      <alignment horizontal="center" vertical="center" wrapText="1"/>
    </xf>
    <xf numFmtId="0" fontId="16" fillId="0" borderId="17" xfId="5" applyBorder="1" applyAlignment="1">
      <alignment horizontal="center" vertical="center" wrapText="1"/>
    </xf>
    <xf numFmtId="0" fontId="18" fillId="0" borderId="18" xfId="4" applyFont="1" applyBorder="1" applyAlignment="1">
      <alignment horizontal="center" vertical="center" wrapText="1"/>
    </xf>
    <xf numFmtId="0" fontId="18" fillId="0" borderId="17" xfId="4" applyFont="1" applyBorder="1" applyAlignment="1">
      <alignment horizontal="center" vertical="center" wrapText="1"/>
    </xf>
    <xf numFmtId="0" fontId="16" fillId="0" borderId="16" xfId="4" applyFont="1" applyBorder="1" applyAlignment="1">
      <alignment vertical="top" wrapText="1"/>
    </xf>
    <xf numFmtId="0" fontId="16" fillId="0" borderId="18" xfId="4" applyBorder="1" applyAlignment="1">
      <alignment vertical="top" wrapText="1"/>
    </xf>
    <xf numFmtId="0" fontId="16" fillId="0" borderId="18" xfId="5" applyBorder="1" applyAlignment="1">
      <alignment wrapText="1"/>
    </xf>
    <xf numFmtId="0" fontId="16" fillId="0" borderId="17" xfId="5" applyBorder="1" applyAlignment="1">
      <alignment wrapText="1"/>
    </xf>
    <xf numFmtId="0" fontId="18" fillId="0" borderId="8" xfId="6" applyFont="1" applyBorder="1" applyAlignment="1">
      <alignment horizontal="center" vertical="center" wrapText="1"/>
    </xf>
    <xf numFmtId="0" fontId="17" fillId="0" borderId="9" xfId="6" applyFont="1" applyBorder="1" applyAlignment="1">
      <alignment horizontal="center" vertical="center" wrapText="1"/>
    </xf>
    <xf numFmtId="0" fontId="17" fillId="0" borderId="10" xfId="6" applyFont="1" applyBorder="1" applyAlignment="1">
      <alignment horizontal="center" vertical="center" wrapText="1"/>
    </xf>
    <xf numFmtId="0" fontId="20" fillId="0" borderId="8" xfId="6" applyFont="1" applyBorder="1" applyAlignment="1">
      <alignment vertical="top" wrapText="1"/>
    </xf>
    <xf numFmtId="0" fontId="20" fillId="0" borderId="9" xfId="6" applyBorder="1" applyAlignment="1">
      <alignment vertical="top" wrapText="1"/>
    </xf>
    <xf numFmtId="0" fontId="20" fillId="0" borderId="10" xfId="6" applyBorder="1" applyAlignment="1">
      <alignment vertical="top" wrapText="1"/>
    </xf>
    <xf numFmtId="0" fontId="20" fillId="0" borderId="11" xfId="7" applyBorder="1" applyAlignment="1">
      <alignment wrapText="1"/>
    </xf>
    <xf numFmtId="0" fontId="20" fillId="0" borderId="0" xfId="7" applyBorder="1" applyAlignment="1">
      <alignment wrapText="1"/>
    </xf>
    <xf numFmtId="0" fontId="20" fillId="0" borderId="12" xfId="7" applyBorder="1" applyAlignment="1">
      <alignment wrapText="1"/>
    </xf>
    <xf numFmtId="0" fontId="20" fillId="0" borderId="13" xfId="7" applyBorder="1" applyAlignment="1">
      <alignment wrapText="1"/>
    </xf>
    <xf numFmtId="0" fontId="20" fillId="0" borderId="14" xfId="7" applyBorder="1" applyAlignment="1">
      <alignment wrapText="1"/>
    </xf>
    <xf numFmtId="0" fontId="20" fillId="0" borderId="15" xfId="7" applyBorder="1" applyAlignment="1">
      <alignment wrapText="1"/>
    </xf>
    <xf numFmtId="0" fontId="18" fillId="0" borderId="16" xfId="6" applyFont="1" applyBorder="1" applyAlignment="1">
      <alignment horizontal="center" vertical="center" wrapText="1"/>
    </xf>
    <xf numFmtId="0" fontId="18" fillId="0" borderId="18" xfId="6" applyFont="1" applyBorder="1" applyAlignment="1">
      <alignment horizontal="center" vertical="center" wrapText="1"/>
    </xf>
    <xf numFmtId="0" fontId="18" fillId="0" borderId="17" xfId="6" applyFont="1" applyBorder="1" applyAlignment="1">
      <alignment horizontal="center" vertical="center" wrapText="1"/>
    </xf>
    <xf numFmtId="0" fontId="17" fillId="0" borderId="18" xfId="6" applyFont="1" applyBorder="1" applyAlignment="1">
      <alignment horizontal="center" vertical="center" wrapText="1"/>
    </xf>
    <xf numFmtId="0" fontId="17" fillId="0" borderId="17" xfId="6" applyFont="1" applyBorder="1" applyAlignment="1">
      <alignment horizontal="center" vertical="center" wrapText="1"/>
    </xf>
    <xf numFmtId="0" fontId="25" fillId="0" borderId="0" xfId="0" applyFont="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52" xfId="0" applyFont="1" applyFill="1" applyBorder="1" applyAlignment="1">
      <alignment horizontal="center" vertical="center"/>
    </xf>
    <xf numFmtId="0" fontId="5" fillId="0" borderId="55" xfId="0" applyFont="1" applyBorder="1" applyAlignment="1">
      <alignment horizontal="center" vertical="center"/>
    </xf>
    <xf numFmtId="0" fontId="5" fillId="0" borderId="56" xfId="0" applyFont="1" applyBorder="1" applyAlignment="1">
      <alignment horizontal="center" vertical="center"/>
    </xf>
    <xf numFmtId="0" fontId="5" fillId="0" borderId="57" xfId="0" applyFont="1" applyBorder="1" applyAlignment="1">
      <alignment horizontal="center" vertical="center"/>
    </xf>
    <xf numFmtId="0" fontId="4" fillId="0" borderId="50" xfId="0" applyFont="1" applyBorder="1" applyAlignment="1">
      <alignment horizontal="center" vertical="center"/>
    </xf>
    <xf numFmtId="0" fontId="4" fillId="0" borderId="0" xfId="0" applyFont="1" applyBorder="1" applyAlignment="1">
      <alignment horizontal="center" vertical="center"/>
    </xf>
    <xf numFmtId="0" fontId="4" fillId="0" borderId="51" xfId="0" applyFont="1" applyBorder="1" applyAlignment="1">
      <alignment horizontal="center" vertical="center"/>
    </xf>
    <xf numFmtId="0" fontId="4" fillId="0" borderId="55" xfId="0" applyFont="1" applyBorder="1" applyAlignment="1">
      <alignment horizontal="center" vertical="center"/>
    </xf>
    <xf numFmtId="0" fontId="4" fillId="0" borderId="56" xfId="0" applyFont="1" applyBorder="1" applyAlignment="1">
      <alignment horizontal="center" vertical="center"/>
    </xf>
    <xf numFmtId="0" fontId="4" fillId="0" borderId="57" xfId="0" applyFont="1" applyBorder="1" applyAlignment="1">
      <alignment horizontal="center" vertical="center"/>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6" fillId="0" borderId="2" xfId="0" applyFont="1" applyBorder="1" applyAlignment="1">
      <alignment vertical="center" wrapText="1"/>
    </xf>
    <xf numFmtId="0" fontId="6" fillId="0" borderId="3" xfId="0" applyFont="1" applyBorder="1" applyAlignment="1">
      <alignment vertical="center" wrapText="1"/>
    </xf>
    <xf numFmtId="0" fontId="6" fillId="0" borderId="5" xfId="0" applyFont="1" applyBorder="1" applyAlignment="1">
      <alignment horizontal="left" vertical="center" wrapText="1" indent="4"/>
    </xf>
    <xf numFmtId="0" fontId="6" fillId="0" borderId="6" xfId="0" applyFont="1" applyBorder="1" applyAlignment="1">
      <alignment horizontal="left" vertical="center" wrapText="1" indent="4"/>
    </xf>
    <xf numFmtId="0" fontId="7" fillId="0" borderId="2" xfId="0" applyFont="1" applyBorder="1" applyAlignment="1">
      <alignment vertical="center" wrapText="1"/>
    </xf>
    <xf numFmtId="0" fontId="7" fillId="0" borderId="0" xfId="0" applyFont="1" applyAlignment="1">
      <alignment vertical="center" wrapText="1"/>
    </xf>
    <xf numFmtId="0" fontId="4" fillId="0" borderId="2" xfId="0" applyFont="1" applyBorder="1" applyAlignment="1">
      <alignment vertical="center" wrapText="1"/>
    </xf>
    <xf numFmtId="0" fontId="4" fillId="0" borderId="0" xfId="0" applyFont="1" applyAlignment="1">
      <alignment vertical="center" wrapText="1"/>
    </xf>
    <xf numFmtId="0" fontId="4" fillId="0" borderId="5" xfId="0" applyFont="1" applyBorder="1" applyAlignment="1">
      <alignment vertical="center" wrapText="1"/>
    </xf>
    <xf numFmtId="0" fontId="4" fillId="0" borderId="7" xfId="0" applyFont="1" applyBorder="1" applyAlignment="1">
      <alignment vertical="center" wrapText="1"/>
    </xf>
  </cellXfs>
  <cellStyles count="8">
    <cellStyle name="Normal" xfId="0" builtinId="0"/>
    <cellStyle name="Normal 15 12" xfId="1"/>
    <cellStyle name="Normal 2" xfId="7"/>
    <cellStyle name="Normal 3" xfId="5"/>
    <cellStyle name="Normal_France" xfId="4"/>
    <cellStyle name="Normal_France 2" xfId="6"/>
    <cellStyle name="Normal_TabAnnexeH" xfId="3"/>
    <cellStyle name="Pourcentage"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2.xml"/><Relationship Id="rId13" Type="http://schemas.openxmlformats.org/officeDocument/2006/relationships/worksheet" Target="worksheets/sheet7.xml"/><Relationship Id="rId18" Type="http://schemas.openxmlformats.org/officeDocument/2006/relationships/worksheet" Target="worksheets/sheet12.xml"/><Relationship Id="rId26" Type="http://schemas.openxmlformats.org/officeDocument/2006/relationships/worksheet" Target="worksheets/sheet20.xml"/><Relationship Id="rId39" Type="http://schemas.openxmlformats.org/officeDocument/2006/relationships/theme" Target="theme/theme1.xml"/><Relationship Id="rId3" Type="http://schemas.openxmlformats.org/officeDocument/2006/relationships/chartsheet" Target="chartsheets/sheet2.xml"/><Relationship Id="rId21" Type="http://schemas.openxmlformats.org/officeDocument/2006/relationships/worksheet" Target="worksheets/sheet15.xml"/><Relationship Id="rId34" Type="http://schemas.openxmlformats.org/officeDocument/2006/relationships/externalLink" Target="externalLinks/externalLink3.xml"/><Relationship Id="rId42" Type="http://schemas.openxmlformats.org/officeDocument/2006/relationships/calcChain" Target="calcChain.xml"/><Relationship Id="rId7" Type="http://schemas.openxmlformats.org/officeDocument/2006/relationships/chartsheet" Target="chartsheets/sheet6.xml"/><Relationship Id="rId12" Type="http://schemas.openxmlformats.org/officeDocument/2006/relationships/worksheet" Target="worksheets/sheet6.xml"/><Relationship Id="rId17" Type="http://schemas.openxmlformats.org/officeDocument/2006/relationships/worksheet" Target="worksheets/sheet11.xml"/><Relationship Id="rId25" Type="http://schemas.openxmlformats.org/officeDocument/2006/relationships/worksheet" Target="worksheets/sheet19.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2" Type="http://schemas.openxmlformats.org/officeDocument/2006/relationships/chartsheet" Target="chartsheets/sheet1.xml"/><Relationship Id="rId16" Type="http://schemas.openxmlformats.org/officeDocument/2006/relationships/worksheet" Target="worksheets/sheet10.xml"/><Relationship Id="rId20" Type="http://schemas.openxmlformats.org/officeDocument/2006/relationships/worksheet" Target="worksheets/sheet14.xml"/><Relationship Id="rId29" Type="http://schemas.openxmlformats.org/officeDocument/2006/relationships/worksheet" Target="worksheets/sheet2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worksheet" Target="worksheets/sheet5.xml"/><Relationship Id="rId24" Type="http://schemas.openxmlformats.org/officeDocument/2006/relationships/worksheet" Target="worksheets/sheet18.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styles" Target="styles.xml"/><Relationship Id="rId5" Type="http://schemas.openxmlformats.org/officeDocument/2006/relationships/chartsheet" Target="chartsheets/sheet4.xml"/><Relationship Id="rId15" Type="http://schemas.openxmlformats.org/officeDocument/2006/relationships/worksheet" Target="worksheets/sheet9.xml"/><Relationship Id="rId23" Type="http://schemas.openxmlformats.org/officeDocument/2006/relationships/worksheet" Target="worksheets/sheet17.xml"/><Relationship Id="rId28" Type="http://schemas.openxmlformats.org/officeDocument/2006/relationships/worksheet" Target="worksheets/sheet22.xml"/><Relationship Id="rId36" Type="http://schemas.openxmlformats.org/officeDocument/2006/relationships/externalLink" Target="externalLinks/externalLink5.xml"/><Relationship Id="rId10" Type="http://schemas.openxmlformats.org/officeDocument/2006/relationships/worksheet" Target="worksheets/sheet4.xml"/><Relationship Id="rId19" Type="http://schemas.openxmlformats.org/officeDocument/2006/relationships/worksheet" Target="worksheets/sheet13.xml"/><Relationship Id="rId31" Type="http://schemas.openxmlformats.org/officeDocument/2006/relationships/worksheet" Target="worksheets/sheet25.xml"/><Relationship Id="rId4" Type="http://schemas.openxmlformats.org/officeDocument/2006/relationships/chartsheet" Target="chartsheets/sheet3.xml"/><Relationship Id="rId9" Type="http://schemas.openxmlformats.org/officeDocument/2006/relationships/worksheet" Target="worksheets/sheet3.xml"/><Relationship Id="rId14" Type="http://schemas.openxmlformats.org/officeDocument/2006/relationships/worksheet" Target="worksheets/sheet8.xml"/><Relationship Id="rId22" Type="http://schemas.openxmlformats.org/officeDocument/2006/relationships/worksheet" Target="worksheets/sheet16.xml"/><Relationship Id="rId27" Type="http://schemas.openxmlformats.org/officeDocument/2006/relationships/worksheet" Target="worksheets/sheet21.xml"/><Relationship Id="rId30" Type="http://schemas.openxmlformats.org/officeDocument/2006/relationships/worksheet" Target="worksheets/sheet24.xml"/><Relationship Id="rId35" Type="http://schemas.openxmlformats.org/officeDocument/2006/relationships/externalLink" Target="externalLinks/externalLink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Population in India, China and Europe, 1700-2050 </a:t>
            </a:r>
            <a:endParaRPr lang="fr-FR" sz="2000" b="0" baseline="0">
              <a:latin typeface="Arial Narrow" panose="020B0606020202030204" pitchFamily="34" charset="0"/>
              <a:cs typeface="Arial" panose="020B0604020202020204" pitchFamily="34" charset="0"/>
            </a:endParaRPr>
          </a:p>
        </c:rich>
      </c:tx>
      <c:layout>
        <c:manualLayout>
          <c:xMode val="edge"/>
          <c:yMode val="edge"/>
          <c:x val="0.19471500437445316"/>
          <c:y val="2.2031846775357349E-3"/>
        </c:manualLayout>
      </c:layout>
      <c:overlay val="0"/>
      <c:spPr>
        <a:noFill/>
        <a:ln w="25400">
          <a:noFill/>
        </a:ln>
      </c:spPr>
    </c:title>
    <c:autoTitleDeleted val="0"/>
    <c:plotArea>
      <c:layout>
        <c:manualLayout>
          <c:layoutTarget val="inner"/>
          <c:xMode val="edge"/>
          <c:yMode val="edge"/>
          <c:x val="8.8702537182852204E-2"/>
          <c:y val="7.0198022139414451E-2"/>
          <c:w val="0.86226596675415601"/>
          <c:h val="0.69688797501732003"/>
        </c:manualLayout>
      </c:layout>
      <c:lineChart>
        <c:grouping val="standard"/>
        <c:varyColors val="0"/>
        <c:ser>
          <c:idx val="1"/>
          <c:order val="1"/>
          <c:tx>
            <c:v>India</c:v>
          </c:tx>
          <c:spPr>
            <a:ln w="41275">
              <a:solidFill>
                <a:schemeClr val="accent3"/>
              </a:solidFill>
            </a:ln>
          </c:spPr>
          <c:marker>
            <c:symbol val="none"/>
          </c:marker>
          <c:cat>
            <c:numRef>
              <c:f>DataF8.1!$A$4:$A$39</c:f>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f>DataF8.1!$C$4:$C$39</c:f>
              <c:numCache>
                <c:formatCode>0</c:formatCode>
                <c:ptCount val="36"/>
                <c:pt idx="0">
                  <c:v>165</c:v>
                </c:pt>
                <c:pt idx="6">
                  <c:v>185.70137907095511</c:v>
                </c:pt>
                <c:pt idx="12">
                  <c:v>209.00001326578524</c:v>
                </c:pt>
                <c:pt idx="17">
                  <c:v>253.00001676234464</c:v>
                </c:pt>
                <c:pt idx="21">
                  <c:v>303.7</c:v>
                </c:pt>
                <c:pt idx="25">
                  <c:v>359</c:v>
                </c:pt>
                <c:pt idx="27">
                  <c:v>541</c:v>
                </c:pt>
                <c:pt idx="29">
                  <c:v>873.78544899999997</c:v>
                </c:pt>
                <c:pt idx="31">
                  <c:v>1258.3509709999998</c:v>
                </c:pt>
                <c:pt idx="32">
                  <c:v>1384.5849470323576</c:v>
                </c:pt>
                <c:pt idx="33">
                  <c:v>1523.4823349999999</c:v>
                </c:pt>
                <c:pt idx="35">
                  <c:v>1692.0076309999999</c:v>
                </c:pt>
              </c:numCache>
            </c:numRef>
          </c:val>
          <c:smooth val="1"/>
        </c:ser>
        <c:ser>
          <c:idx val="2"/>
          <c:order val="2"/>
          <c:tx>
            <c:v>China</c:v>
          </c:tx>
          <c:spPr>
            <a:ln w="41275">
              <a:solidFill>
                <a:schemeClr val="accent2"/>
              </a:solidFill>
            </a:ln>
          </c:spPr>
          <c:marker>
            <c:symbol val="none"/>
          </c:marker>
          <c:val>
            <c:numRef>
              <c:f>DataF8.1!$D$4:$D$39</c:f>
              <c:numCache>
                <c:formatCode>0</c:formatCode>
                <c:ptCount val="36"/>
                <c:pt idx="0">
                  <c:v>138</c:v>
                </c:pt>
                <c:pt idx="6">
                  <c:v>229.29893152825636</c:v>
                </c:pt>
                <c:pt idx="12">
                  <c:v>381</c:v>
                </c:pt>
                <c:pt idx="17">
                  <c:v>358</c:v>
                </c:pt>
                <c:pt idx="21">
                  <c:v>437.14</c:v>
                </c:pt>
                <c:pt idx="25">
                  <c:v>546.81500000000005</c:v>
                </c:pt>
                <c:pt idx="27">
                  <c:v>818.31500000000005</c:v>
                </c:pt>
                <c:pt idx="29">
                  <c:v>1145.1952290000002</c:v>
                </c:pt>
                <c:pt idx="31">
                  <c:v>1353.6006869999999</c:v>
                </c:pt>
                <c:pt idx="32">
                  <c:v>1373.1965346184277</c:v>
                </c:pt>
                <c:pt idx="33">
                  <c:v>1393.0760680000001</c:v>
                </c:pt>
                <c:pt idx="35">
                  <c:v>1295.6037630000001</c:v>
                </c:pt>
              </c:numCache>
            </c:numRef>
          </c:val>
          <c:smooth val="1"/>
        </c:ser>
        <c:ser>
          <c:idx val="4"/>
          <c:order val="4"/>
          <c:tx>
            <c:v>Europe</c:v>
          </c:tx>
          <c:spPr>
            <a:ln w="41275">
              <a:solidFill>
                <a:schemeClr val="accent1"/>
              </a:solidFill>
            </a:ln>
          </c:spPr>
          <c:marker>
            <c:symbol val="none"/>
          </c:marker>
          <c:val>
            <c:numRef>
              <c:f>DataF8.1!$G$4:$G$39</c:f>
              <c:numCache>
                <c:formatCode>0</c:formatCode>
                <c:ptCount val="36"/>
                <c:pt idx="0">
                  <c:v>100.25999999999999</c:v>
                </c:pt>
                <c:pt idx="6">
                  <c:v>130.27830785846766</c:v>
                </c:pt>
                <c:pt idx="12">
                  <c:v>169.48499999999999</c:v>
                </c:pt>
                <c:pt idx="17">
                  <c:v>241.05599999999998</c:v>
                </c:pt>
                <c:pt idx="21">
                  <c:v>340.505</c:v>
                </c:pt>
                <c:pt idx="25">
                  <c:v>393.26589100000001</c:v>
                </c:pt>
                <c:pt idx="27">
                  <c:v>461.29148699999996</c:v>
                </c:pt>
                <c:pt idx="29">
                  <c:v>505.98506800000007</c:v>
                </c:pt>
                <c:pt idx="31">
                  <c:v>539.48523799999998</c:v>
                </c:pt>
                <c:pt idx="32">
                  <c:v>545.77701410917177</c:v>
                </c:pt>
                <c:pt idx="33">
                  <c:v>552.2586389999999</c:v>
                </c:pt>
                <c:pt idx="35">
                  <c:v>546.33273499999996</c:v>
                </c:pt>
              </c:numCache>
            </c:numRef>
          </c:val>
          <c:smooth val="1"/>
        </c:ser>
        <c:dLbls>
          <c:showLegendKey val="0"/>
          <c:showVal val="0"/>
          <c:showCatName val="0"/>
          <c:showSerName val="0"/>
          <c:showPercent val="0"/>
          <c:showBubbleSize val="0"/>
        </c:dLbls>
        <c:smooth val="0"/>
        <c:axId val="461570472"/>
        <c:axId val="461569688"/>
        <c:extLst>
          <c:ext xmlns:c15="http://schemas.microsoft.com/office/drawing/2012/chart" uri="{02D57815-91ED-43cb-92C2-25804820EDAC}">
            <c15:filteredLineSeries>
              <c15:ser>
                <c:idx val="0"/>
                <c:order val="0"/>
                <c:tx>
                  <c:v>Population mondiale    </c:v>
                </c:tx>
                <c:spPr>
                  <a:ln w="41275"/>
                </c:spPr>
                <c:marker>
                  <c:symbol val="circle"/>
                  <c:size val="10"/>
                </c:marker>
                <c:cat>
                  <c:numRef>
                    <c:extLst>
                      <c:ext uri="{02D57815-91ED-43cb-92C2-25804820EDAC}">
                        <c15:formulaRef>
                          <c15:sqref>DataF8.1!$A$4:$A$39</c15:sqref>
                        </c15:formulaRef>
                      </c:ext>
                    </c:extLst>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extLst>
                      <c:ext uri="{02D57815-91ED-43cb-92C2-25804820EDAC}">
                        <c15:formulaRef>
                          <c15:sqref>DataF8.1!$B$4:$B$39</c15:sqref>
                        </c15:formulaRef>
                      </c:ext>
                    </c:extLst>
                    <c:numCache>
                      <c:formatCode>0</c:formatCode>
                      <c:ptCount val="36"/>
                      <c:pt idx="0">
                        <c:v>603.4899999999999</c:v>
                      </c:pt>
                      <c:pt idx="6">
                        <c:v>792.88103968779365</c:v>
                      </c:pt>
                      <c:pt idx="12">
                        <c:v>1041.7079704657854</c:v>
                      </c:pt>
                      <c:pt idx="17">
                        <c:v>1275.7320676894062</c:v>
                      </c:pt>
                      <c:pt idx="21">
                        <c:v>1792.9247028219831</c:v>
                      </c:pt>
                      <c:pt idx="25">
                        <c:v>2527.9598949347428</c:v>
                      </c:pt>
                      <c:pt idx="27">
                        <c:v>3691.1574281273156</c:v>
                      </c:pt>
                      <c:pt idx="29">
                        <c:v>5306.4251540000005</c:v>
                      </c:pt>
                      <c:pt idx="31">
                        <c:v>6926.8902032353044</c:v>
                      </c:pt>
                      <c:pt idx="32">
                        <c:v>7576.1744484624223</c:v>
                      </c:pt>
                      <c:pt idx="33">
                        <c:v>8321.37961</c:v>
                      </c:pt>
                      <c:pt idx="35">
                        <c:v>9306.1279859999995</c:v>
                      </c:pt>
                    </c:numCache>
                  </c:numRef>
                </c:val>
                <c:smooth val="0"/>
              </c15:ser>
            </c15:filteredLineSeries>
            <c15:filteredLineSeries>
              <c15:ser>
                <c:idx val="3"/>
                <c:order val="3"/>
                <c:tx>
                  <c:v>Reste de l'Asie</c:v>
                </c:tx>
                <c:marker>
                  <c:symbol val="none"/>
                </c:marker>
                <c:val>
                  <c:numRef>
                    <c:extLst xmlns:c15="http://schemas.microsoft.com/office/drawing/2012/chart">
                      <c:ext xmlns:c15="http://schemas.microsoft.com/office/drawing/2012/chart" uri="{02D57815-91ED-43cb-92C2-25804820EDAC}">
                        <c15:formulaRef>
                          <c15:sqref>DataF8.1!$E$4:$E$39</c15:sqref>
                        </c15:formulaRef>
                      </c:ext>
                    </c:extLst>
                    <c:numCache>
                      <c:formatCode>0</c:formatCode>
                      <c:ptCount val="36"/>
                      <c:pt idx="0">
                        <c:v>103.07814746166152</c:v>
                      </c:pt>
                      <c:pt idx="6">
                        <c:v>127.75966954339651</c:v>
                      </c:pt>
                      <c:pt idx="12">
                        <c:v>128.52409400142756</c:v>
                      </c:pt>
                      <c:pt idx="17">
                        <c:v>172.56716284967763</c:v>
                      </c:pt>
                      <c:pt idx="21">
                        <c:v>266.33452264615835</c:v>
                      </c:pt>
                      <c:pt idx="25">
                        <c:v>514.81446993474276</c:v>
                      </c:pt>
                      <c:pt idx="27">
                        <c:v>795.58754612731536</c:v>
                      </c:pt>
                      <c:pt idx="29">
                        <c:v>1207.4671370000008</c:v>
                      </c:pt>
                      <c:pt idx="31">
                        <c:v>1550.8981602353044</c:v>
                      </c:pt>
                      <c:pt idx="32">
                        <c:v>1760.0950137731647</c:v>
                      </c:pt>
                      <c:pt idx="33">
                        <c:v>1998.2784389999999</c:v>
                      </c:pt>
                      <c:pt idx="35">
                        <c:v>2209.8421069999995</c:v>
                      </c:pt>
                    </c:numCache>
                  </c:numRef>
                </c:val>
                <c:smooth val="0"/>
              </c15:ser>
            </c15:filteredLineSeries>
            <c15:filteredLineSeries>
              <c15:ser>
                <c:idx val="5"/>
                <c:order val="5"/>
                <c:tx>
                  <c:v>Afrique</c:v>
                </c:tx>
                <c:spPr>
                  <a:ln w="41275"/>
                </c:spPr>
                <c:marker>
                  <c:symbol val="none"/>
                </c:marker>
                <c:val>
                  <c:numRef>
                    <c:extLst xmlns:c15="http://schemas.microsoft.com/office/drawing/2012/chart">
                      <c:ext xmlns:c15="http://schemas.microsoft.com/office/drawing/2012/chart" uri="{02D57815-91ED-43cb-92C2-25804820EDAC}">
                        <c15:formulaRef>
                          <c15:sqref>DataF8.1!$F$4:$F$39</c15:sqref>
                        </c15:formulaRef>
                      </c:ext>
                    </c:extLst>
                    <c:numCache>
                      <c:formatCode>0</c:formatCode>
                      <c:ptCount val="36"/>
                      <c:pt idx="0">
                        <c:v>61.08</c:v>
                      </c:pt>
                      <c:pt idx="6">
                        <c:v>67.336258500290228</c:v>
                      </c:pt>
                      <c:pt idx="12">
                        <c:v>74.236000000000004</c:v>
                      </c:pt>
                      <c:pt idx="17">
                        <c:v>90.465999999999994</c:v>
                      </c:pt>
                      <c:pt idx="21">
                        <c:v>124.697</c:v>
                      </c:pt>
                      <c:pt idx="25">
                        <c:v>227.93904599999999</c:v>
                      </c:pt>
                      <c:pt idx="27">
                        <c:v>365.89757700000013</c:v>
                      </c:pt>
                      <c:pt idx="29">
                        <c:v>635.286969</c:v>
                      </c:pt>
                      <c:pt idx="31">
                        <c:v>1070.096166</c:v>
                      </c:pt>
                      <c:pt idx="32">
                        <c:v>1291.9875420341418</c:v>
                      </c:pt>
                      <c:pt idx="33">
                        <c:v>1562.0469890000002</c:v>
                      </c:pt>
                      <c:pt idx="35">
                        <c:v>2191.5989049999998</c:v>
                      </c:pt>
                    </c:numCache>
                  </c:numRef>
                </c:val>
                <c:smooth val="0"/>
              </c15:ser>
            </c15:filteredLineSeries>
            <c15:filteredLineSeries>
              <c15:ser>
                <c:idx val="6"/>
                <c:order val="6"/>
                <c:tx>
                  <c:v>Amériques</c:v>
                </c:tx>
                <c:marker>
                  <c:symbol val="none"/>
                </c:marker>
                <c:val>
                  <c:numRef>
                    <c:extLst xmlns:c15="http://schemas.microsoft.com/office/drawing/2012/chart">
                      <c:ext xmlns:c15="http://schemas.microsoft.com/office/drawing/2012/chart" uri="{02D57815-91ED-43cb-92C2-25804820EDAC}">
                        <c15:formulaRef>
                          <c15:sqref>DataF8.1!$I$4:$I$39</c15:sqref>
                        </c15:formulaRef>
                      </c:ext>
                    </c:extLst>
                    <c:numCache>
                      <c:formatCode>0</c:formatCode>
                      <c:ptCount val="36"/>
                      <c:pt idx="0">
                        <c:v>13.25</c:v>
                      </c:pt>
                      <c:pt idx="6">
                        <c:v>19.729419446455687</c:v>
                      </c:pt>
                      <c:pt idx="12">
                        <c:v>32.387957200000002</c:v>
                      </c:pt>
                      <c:pt idx="17">
                        <c:v>84.422198500000007</c:v>
                      </c:pt>
                      <c:pt idx="21">
                        <c:v>186.28863999999999</c:v>
                      </c:pt>
                      <c:pt idx="25">
                        <c:v>331.76996399999996</c:v>
                      </c:pt>
                      <c:pt idx="27">
                        <c:v>512.10102600000005</c:v>
                      </c:pt>
                      <c:pt idx="29">
                        <c:v>724.19323699999995</c:v>
                      </c:pt>
                      <c:pt idx="31">
                        <c:v>953.76876800000014</c:v>
                      </c:pt>
                      <c:pt idx="32">
                        <c:v>1025.7892620185712</c:v>
                      </c:pt>
                      <c:pt idx="33">
                        <c:v>1103.2629119999999</c:v>
                      </c:pt>
                      <c:pt idx="35">
                        <c:v>1197.8184309999999</c:v>
                      </c:pt>
                    </c:numCache>
                  </c:numRef>
                </c:val>
                <c:smooth val="0"/>
              </c15:ser>
            </c15:filteredLineSeries>
          </c:ext>
        </c:extLst>
      </c:lineChart>
      <c:catAx>
        <c:axId val="46157047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61569688"/>
        <c:crossesAt val="0"/>
        <c:auto val="0"/>
        <c:lblAlgn val="ctr"/>
        <c:lblOffset val="100"/>
        <c:tickLblSkip val="1"/>
        <c:tickMarkSkip val="2"/>
        <c:noMultiLvlLbl val="0"/>
      </c:catAx>
      <c:valAx>
        <c:axId val="461569688"/>
        <c:scaling>
          <c:logBase val="2"/>
          <c:orientation val="minMax"/>
          <c:max val="2000"/>
          <c:min val="100"/>
        </c:scaling>
        <c:delete val="0"/>
        <c:axPos val="l"/>
        <c:majorGridlines>
          <c:spPr>
            <a:ln w="12700">
              <a:solidFill>
                <a:srgbClr val="000000"/>
              </a:solidFill>
              <a:prstDash val="sysDash"/>
            </a:ln>
          </c:spPr>
        </c:majorGridlines>
        <c:title>
          <c:tx>
            <c:rich>
              <a:bodyPr/>
              <a:lstStyle/>
              <a:p>
                <a:pPr>
                  <a:defRPr/>
                </a:pPr>
                <a:r>
                  <a:rPr lang="fr-FR" sz="1200"/>
                  <a:t>Population</a:t>
                </a:r>
                <a:r>
                  <a:rPr lang="fr-FR" sz="1200" baseline="0"/>
                  <a:t> in millions</a:t>
                </a:r>
                <a:endParaRPr lang="fr-FR" sz="1200"/>
              </a:p>
            </c:rich>
          </c:tx>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61570472"/>
        <c:crossesAt val="1"/>
        <c:crossBetween val="midCat"/>
      </c:valAx>
      <c:spPr>
        <a:noFill/>
        <a:ln w="25400">
          <a:solidFill>
            <a:srgbClr val="000000"/>
          </a:solidFill>
        </a:ln>
      </c:spPr>
    </c:plotArea>
    <c:legend>
      <c:legendPos val="l"/>
      <c:layout>
        <c:manualLayout>
          <c:xMode val="edge"/>
          <c:yMode val="edge"/>
          <c:x val="0.30880481471509602"/>
          <c:y val="0.134245964613116"/>
          <c:w val="0.33977384579355402"/>
          <c:h val="0.181410846648554"/>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900"/>
            </a:pPr>
            <a:r>
              <a:rPr lang="fr-FR" sz="2000" baseline="0">
                <a:latin typeface="Arial" panose="020B0604020202020204" pitchFamily="34" charset="0"/>
                <a:cs typeface="Arial" panose="020B0604020202020204" pitchFamily="34" charset="0"/>
              </a:rPr>
              <a:t>The religious structure of India, 1871-2011</a:t>
            </a:r>
            <a:endParaRPr lang="fr-FR" sz="2000">
              <a:latin typeface="Arial" panose="020B0604020202020204" pitchFamily="34" charset="0"/>
              <a:cs typeface="Arial" panose="020B0604020202020204" pitchFamily="34" charset="0"/>
            </a:endParaRPr>
          </a:p>
        </c:rich>
      </c:tx>
      <c:layout>
        <c:manualLayout>
          <c:xMode val="edge"/>
          <c:yMode val="edge"/>
          <c:x val="0.2387411255970053"/>
          <c:y val="5.2713076137449344E-6"/>
        </c:manualLayout>
      </c:layout>
      <c:overlay val="0"/>
    </c:title>
    <c:autoTitleDeleted val="0"/>
    <c:plotArea>
      <c:layout>
        <c:manualLayout>
          <c:layoutTarget val="inner"/>
          <c:xMode val="edge"/>
          <c:yMode val="edge"/>
          <c:x val="7.6763478335699797E-2"/>
          <c:y val="5.2195005436036002E-2"/>
          <c:w val="0.89251171843880495"/>
          <c:h val="0.73127565644252601"/>
        </c:manualLayout>
      </c:layout>
      <c:areaChart>
        <c:grouping val="stacked"/>
        <c:varyColors val="0"/>
        <c:ser>
          <c:idx val="0"/>
          <c:order val="0"/>
          <c:tx>
            <c:v>Noirs esclaves</c:v>
          </c:tx>
          <c:spPr>
            <a:solidFill>
              <a:srgbClr val="ED7D31"/>
            </a:solidFill>
            <a:ln w="25400">
              <a:solidFill>
                <a:srgbClr val="ED7D31"/>
              </a:solidFill>
            </a:ln>
          </c:spPr>
          <c:cat>
            <c:numRef>
              <c:f>DataF8.2!$A$5:$A$19</c:f>
              <c:numCache>
                <c:formatCode>General</c:formatCode>
                <c:ptCount val="15"/>
                <c:pt idx="0">
                  <c:v>1871</c:v>
                </c:pt>
                <c:pt idx="1">
                  <c:v>1881</c:v>
                </c:pt>
                <c:pt idx="2">
                  <c:v>1891</c:v>
                </c:pt>
                <c:pt idx="3">
                  <c:v>1901</c:v>
                </c:pt>
                <c:pt idx="4">
                  <c:v>1911</c:v>
                </c:pt>
                <c:pt idx="5">
                  <c:v>1921</c:v>
                </c:pt>
                <c:pt idx="6">
                  <c:v>1931</c:v>
                </c:pt>
                <c:pt idx="7">
                  <c:v>1941</c:v>
                </c:pt>
                <c:pt idx="8">
                  <c:v>1951</c:v>
                </c:pt>
                <c:pt idx="9">
                  <c:v>1961</c:v>
                </c:pt>
                <c:pt idx="10">
                  <c:v>1971</c:v>
                </c:pt>
                <c:pt idx="11">
                  <c:v>1981</c:v>
                </c:pt>
                <c:pt idx="12">
                  <c:v>1991</c:v>
                </c:pt>
                <c:pt idx="13">
                  <c:v>2001</c:v>
                </c:pt>
                <c:pt idx="14">
                  <c:v>2011</c:v>
                </c:pt>
              </c:numCache>
            </c:numRef>
          </c:cat>
          <c:val>
            <c:numRef>
              <c:f>DataF8.2!$B$5:$B$19</c:f>
              <c:numCache>
                <c:formatCode>0%</c:formatCode>
                <c:ptCount val="15"/>
                <c:pt idx="0">
                  <c:v>0.75209999999999999</c:v>
                </c:pt>
                <c:pt idx="1">
                  <c:v>0.76549999999999996</c:v>
                </c:pt>
                <c:pt idx="2">
                  <c:v>0.75549999999999995</c:v>
                </c:pt>
                <c:pt idx="3">
                  <c:v>0.7329</c:v>
                </c:pt>
                <c:pt idx="4">
                  <c:v>0.7268</c:v>
                </c:pt>
                <c:pt idx="5">
                  <c:v>0.71650000000000003</c:v>
                </c:pt>
                <c:pt idx="6">
                  <c:v>0.70599999999999996</c:v>
                </c:pt>
                <c:pt idx="7">
                  <c:v>0.72509999999999997</c:v>
                </c:pt>
                <c:pt idx="8">
                  <c:v>0.84099999999999997</c:v>
                </c:pt>
                <c:pt idx="9">
                  <c:v>0.83450000000000002</c:v>
                </c:pt>
                <c:pt idx="10">
                  <c:v>0.82699999999999996</c:v>
                </c:pt>
                <c:pt idx="11">
                  <c:v>0.82299999999999995</c:v>
                </c:pt>
                <c:pt idx="12">
                  <c:v>0.81530000000000002</c:v>
                </c:pt>
                <c:pt idx="13">
                  <c:v>0.80500000000000005</c:v>
                </c:pt>
                <c:pt idx="14">
                  <c:v>0.79800000000000004</c:v>
                </c:pt>
              </c:numCache>
            </c:numRef>
          </c:val>
          <c:extLst xmlns:c16r2="http://schemas.microsoft.com/office/drawing/2015/06/chart">
            <c:ext xmlns:c16="http://schemas.microsoft.com/office/drawing/2014/chart" uri="{C3380CC4-5D6E-409C-BE32-E72D297353CC}">
              <c16:uniqueId val="{00000000-EC50-4E9A-B1D4-0CFB523FDF94}"/>
            </c:ext>
          </c:extLst>
        </c:ser>
        <c:ser>
          <c:idx val="1"/>
          <c:order val="1"/>
          <c:tx>
            <c:v>Noirs libres</c:v>
          </c:tx>
          <c:spPr>
            <a:solidFill>
              <a:srgbClr val="5B9BD5"/>
            </a:solidFill>
            <a:ln w="25400">
              <a:noFill/>
            </a:ln>
          </c:spPr>
          <c:cat>
            <c:numRef>
              <c:f>DataF8.2!$A$5:$A$19</c:f>
              <c:numCache>
                <c:formatCode>General</c:formatCode>
                <c:ptCount val="15"/>
                <c:pt idx="0">
                  <c:v>1871</c:v>
                </c:pt>
                <c:pt idx="1">
                  <c:v>1881</c:v>
                </c:pt>
                <c:pt idx="2">
                  <c:v>1891</c:v>
                </c:pt>
                <c:pt idx="3">
                  <c:v>1901</c:v>
                </c:pt>
                <c:pt idx="4">
                  <c:v>1911</c:v>
                </c:pt>
                <c:pt idx="5">
                  <c:v>1921</c:v>
                </c:pt>
                <c:pt idx="6">
                  <c:v>1931</c:v>
                </c:pt>
                <c:pt idx="7">
                  <c:v>1941</c:v>
                </c:pt>
                <c:pt idx="8">
                  <c:v>1951</c:v>
                </c:pt>
                <c:pt idx="9">
                  <c:v>1961</c:v>
                </c:pt>
                <c:pt idx="10">
                  <c:v>1971</c:v>
                </c:pt>
                <c:pt idx="11">
                  <c:v>1981</c:v>
                </c:pt>
                <c:pt idx="12">
                  <c:v>1991</c:v>
                </c:pt>
                <c:pt idx="13">
                  <c:v>2001</c:v>
                </c:pt>
                <c:pt idx="14">
                  <c:v>2011</c:v>
                </c:pt>
              </c:numCache>
            </c:numRef>
          </c:cat>
          <c:val>
            <c:numRef>
              <c:f>DataF8.2!$C$5:$C$19</c:f>
              <c:numCache>
                <c:formatCode>0%</c:formatCode>
                <c:ptCount val="15"/>
                <c:pt idx="0">
                  <c:v>0.19390000000000002</c:v>
                </c:pt>
                <c:pt idx="1">
                  <c:v>0.19739999999999999</c:v>
                </c:pt>
                <c:pt idx="2">
                  <c:v>0.1996</c:v>
                </c:pt>
                <c:pt idx="3">
                  <c:v>0.2122</c:v>
                </c:pt>
                <c:pt idx="4">
                  <c:v>0.21260000000000001</c:v>
                </c:pt>
                <c:pt idx="5">
                  <c:v>0.21740000000000001</c:v>
                </c:pt>
                <c:pt idx="6">
                  <c:v>0.22159999999999999</c:v>
                </c:pt>
                <c:pt idx="7">
                  <c:v>0.23810000000000001</c:v>
                </c:pt>
                <c:pt idx="8">
                  <c:v>9.8000000000000004E-2</c:v>
                </c:pt>
                <c:pt idx="9">
                  <c:v>0.1069</c:v>
                </c:pt>
                <c:pt idx="10">
                  <c:v>0.112</c:v>
                </c:pt>
                <c:pt idx="11">
                  <c:v>0.11799999999999999</c:v>
                </c:pt>
                <c:pt idx="12">
                  <c:v>0.12609999999999999</c:v>
                </c:pt>
                <c:pt idx="13">
                  <c:v>0.1343</c:v>
                </c:pt>
                <c:pt idx="14">
                  <c:v>0.14230000000000001</c:v>
                </c:pt>
              </c:numCache>
            </c:numRef>
          </c:val>
          <c:extLst xmlns:c16r2="http://schemas.microsoft.com/office/drawing/2015/06/chart">
            <c:ext xmlns:c16="http://schemas.microsoft.com/office/drawing/2014/chart" uri="{C3380CC4-5D6E-409C-BE32-E72D297353CC}">
              <c16:uniqueId val="{00000001-EC50-4E9A-B1D4-0CFB523FDF94}"/>
            </c:ext>
          </c:extLst>
        </c:ser>
        <c:ser>
          <c:idx val="3"/>
          <c:order val="2"/>
          <c:tx>
            <c:v>Blancs</c:v>
          </c:tx>
          <c:spPr>
            <a:solidFill>
              <a:srgbClr val="70AD47"/>
            </a:solidFill>
            <a:ln w="25400">
              <a:solidFill>
                <a:srgbClr val="70AD47"/>
              </a:solidFill>
            </a:ln>
            <a:effectLst>
              <a:softEdge rad="0"/>
            </a:effectLst>
          </c:spPr>
          <c:cat>
            <c:numRef>
              <c:f>DataF8.2!$A$5:$A$19</c:f>
              <c:numCache>
                <c:formatCode>General</c:formatCode>
                <c:ptCount val="15"/>
                <c:pt idx="0">
                  <c:v>1871</c:v>
                </c:pt>
                <c:pt idx="1">
                  <c:v>1881</c:v>
                </c:pt>
                <c:pt idx="2">
                  <c:v>1891</c:v>
                </c:pt>
                <c:pt idx="3">
                  <c:v>1901</c:v>
                </c:pt>
                <c:pt idx="4">
                  <c:v>1911</c:v>
                </c:pt>
                <c:pt idx="5">
                  <c:v>1921</c:v>
                </c:pt>
                <c:pt idx="6">
                  <c:v>1931</c:v>
                </c:pt>
                <c:pt idx="7">
                  <c:v>1941</c:v>
                </c:pt>
                <c:pt idx="8">
                  <c:v>1951</c:v>
                </c:pt>
                <c:pt idx="9">
                  <c:v>1961</c:v>
                </c:pt>
                <c:pt idx="10">
                  <c:v>1971</c:v>
                </c:pt>
                <c:pt idx="11">
                  <c:v>1981</c:v>
                </c:pt>
                <c:pt idx="12">
                  <c:v>1991</c:v>
                </c:pt>
                <c:pt idx="13">
                  <c:v>2001</c:v>
                </c:pt>
                <c:pt idx="14">
                  <c:v>2011</c:v>
                </c:pt>
              </c:numCache>
            </c:numRef>
          </c:cat>
          <c:val>
            <c:numRef>
              <c:f>DataF8.2!$D$5:$D$19</c:f>
              <c:numCache>
                <c:formatCode>0%</c:formatCode>
                <c:ptCount val="15"/>
                <c:pt idx="0">
                  <c:v>5.3999999999999992E-2</c:v>
                </c:pt>
                <c:pt idx="1">
                  <c:v>3.710000000000005E-2</c:v>
                </c:pt>
                <c:pt idx="2">
                  <c:v>4.4900000000000051E-2</c:v>
                </c:pt>
                <c:pt idx="3">
                  <c:v>5.4900000000000004E-2</c:v>
                </c:pt>
                <c:pt idx="4">
                  <c:v>6.0599999999999987E-2</c:v>
                </c:pt>
                <c:pt idx="5">
                  <c:v>6.6099999999999964E-2</c:v>
                </c:pt>
                <c:pt idx="6">
                  <c:v>7.2400000000000048E-2</c:v>
                </c:pt>
                <c:pt idx="7">
                  <c:v>3.6800000000000027E-2</c:v>
                </c:pt>
                <c:pt idx="8">
                  <c:v>6.1000000000000026E-2</c:v>
                </c:pt>
                <c:pt idx="9">
                  <c:v>5.8599999999999985E-2</c:v>
                </c:pt>
                <c:pt idx="10">
                  <c:v>6.100000000000004E-2</c:v>
                </c:pt>
                <c:pt idx="11">
                  <c:v>5.9000000000000052E-2</c:v>
                </c:pt>
                <c:pt idx="12">
                  <c:v>5.8599999999999985E-2</c:v>
                </c:pt>
                <c:pt idx="13">
                  <c:v>6.0699999999999948E-2</c:v>
                </c:pt>
                <c:pt idx="14">
                  <c:v>5.9699999999999948E-2</c:v>
                </c:pt>
              </c:numCache>
            </c:numRef>
          </c:val>
          <c:extLst xmlns:c16r2="http://schemas.microsoft.com/office/drawing/2015/06/chart">
            <c:ext xmlns:c16="http://schemas.microsoft.com/office/drawing/2014/chart" uri="{C3380CC4-5D6E-409C-BE32-E72D297353CC}">
              <c16:uniqueId val="{00000003-EC50-4E9A-B1D4-0CFB523FDF94}"/>
            </c:ext>
          </c:extLst>
        </c:ser>
        <c:dLbls>
          <c:showLegendKey val="0"/>
          <c:showVal val="0"/>
          <c:showCatName val="0"/>
          <c:showSerName val="0"/>
          <c:showPercent val="0"/>
          <c:showBubbleSize val="0"/>
        </c:dLbls>
        <c:axId val="573641736"/>
        <c:axId val="573640952"/>
      </c:areaChart>
      <c:catAx>
        <c:axId val="573641736"/>
        <c:scaling>
          <c:orientation val="minMax"/>
        </c:scaling>
        <c:delete val="0"/>
        <c:axPos val="b"/>
        <c:numFmt formatCode="General" sourceLinked="0"/>
        <c:majorTickMark val="out"/>
        <c:minorTickMark val="none"/>
        <c:tickLblPos val="nextTo"/>
        <c:txPr>
          <a:bodyPr rot="0" vert="horz" anchor="ctr" anchorCtr="0"/>
          <a:lstStyle/>
          <a:p>
            <a:pPr>
              <a:defRPr sz="1600" b="0">
                <a:latin typeface="Arial" panose="020B0604020202020204" pitchFamily="34" charset="0"/>
                <a:cs typeface="Arial" panose="020B0604020202020204" pitchFamily="34" charset="0"/>
              </a:defRPr>
            </a:pPr>
            <a:endParaRPr lang="fr-FR"/>
          </a:p>
        </c:txPr>
        <c:crossAx val="573640952"/>
        <c:crosses val="autoZero"/>
        <c:auto val="1"/>
        <c:lblAlgn val="ctr"/>
        <c:lblOffset val="100"/>
        <c:tickLblSkip val="1"/>
        <c:noMultiLvlLbl val="0"/>
      </c:catAx>
      <c:valAx>
        <c:axId val="573640952"/>
        <c:scaling>
          <c:orientation val="minMax"/>
          <c:max val="1"/>
          <c:min val="0"/>
        </c:scaling>
        <c:delete val="0"/>
        <c:axPos val="l"/>
        <c:majorGridlines/>
        <c:numFmt formatCode="0%" sourceLinked="0"/>
        <c:majorTickMark val="out"/>
        <c:minorTickMark val="none"/>
        <c:tickLblPos val="nextTo"/>
        <c:txPr>
          <a:bodyPr/>
          <a:lstStyle/>
          <a:p>
            <a:pPr>
              <a:defRPr sz="1600">
                <a:latin typeface="Arial" panose="020B0604020202020204" pitchFamily="34" charset="0"/>
                <a:cs typeface="Arial" panose="020B0604020202020204" pitchFamily="34" charset="0"/>
              </a:defRPr>
            </a:pPr>
            <a:endParaRPr lang="fr-FR"/>
          </a:p>
        </c:txPr>
        <c:crossAx val="573641736"/>
        <c:crosses val="autoZero"/>
        <c:crossBetween val="midCat"/>
        <c:majorUnit val="0.1"/>
        <c:minorUnit val="0.1"/>
      </c:valAx>
      <c:spPr>
        <a:ln w="25400">
          <a:solidFill>
            <a:sysClr val="windowText" lastClr="000000"/>
          </a:solidFill>
        </a:ln>
      </c:spPr>
    </c:plotArea>
    <c:plotVisOnly val="1"/>
    <c:dispBlanksAs val="gap"/>
    <c:showDLblsOverMax val="0"/>
  </c:chart>
  <c:spPr>
    <a:ln>
      <a:noFill/>
    </a:ln>
  </c:spPr>
  <c:userShapes r:id="rId2"/>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00">
                <a:latin typeface="Arial"/>
              </a:defRPr>
            </a:pPr>
            <a:r>
              <a:rPr lang="fr-FR" sz="2000" baseline="0"/>
              <a:t>The evolution of ternary societies: Europe-India 1530-1930</a:t>
            </a:r>
            <a:endParaRPr lang="fr-FR" sz="2000"/>
          </a:p>
        </c:rich>
      </c:tx>
      <c:layout>
        <c:manualLayout>
          <c:xMode val="edge"/>
          <c:yMode val="edge"/>
          <c:x val="0.1501945399416158"/>
          <c:y val="1.3360886450279689E-5"/>
        </c:manualLayout>
      </c:layout>
      <c:overlay val="0"/>
    </c:title>
    <c:autoTitleDeleted val="0"/>
    <c:plotArea>
      <c:layout>
        <c:manualLayout>
          <c:layoutTarget val="inner"/>
          <c:xMode val="edge"/>
          <c:yMode val="edge"/>
          <c:x val="8.7372862934424603E-2"/>
          <c:y val="6.4534159310515302E-2"/>
          <c:w val="0.902900705240266"/>
          <c:h val="0.73371157589249703"/>
        </c:manualLayout>
      </c:layout>
      <c:barChart>
        <c:barDir val="col"/>
        <c:grouping val="clustered"/>
        <c:varyColors val="0"/>
        <c:ser>
          <c:idx val="0"/>
          <c:order val="0"/>
          <c:spPr>
            <a:solidFill>
              <a:schemeClr val="bg1">
                <a:lumMod val="75000"/>
              </a:schemeClr>
            </a:solidFill>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chemeClr val="accent2"/>
              </a:solidFill>
              <a:ln>
                <a:solidFill>
                  <a:sysClr val="windowText" lastClr="000000"/>
                </a:solidFill>
              </a:ln>
            </c:spPr>
          </c:dPt>
          <c:dPt>
            <c:idx val="2"/>
            <c:invertIfNegative val="0"/>
            <c:bubble3D val="0"/>
            <c:spPr>
              <a:solidFill>
                <a:schemeClr val="accent1"/>
              </a:solidFill>
              <a:ln>
                <a:solidFill>
                  <a:sysClr val="windowText" lastClr="000000"/>
                </a:solidFill>
              </a:ln>
            </c:spPr>
          </c:dPt>
          <c:dPt>
            <c:idx val="3"/>
            <c:invertIfNegative val="0"/>
            <c:bubble3D val="0"/>
            <c:spPr>
              <a:solidFill>
                <a:schemeClr val="accent1"/>
              </a:solidFill>
              <a:ln>
                <a:solidFill>
                  <a:sysClr val="windowText" lastClr="000000"/>
                </a:solidFill>
              </a:ln>
            </c:spPr>
          </c:dPt>
          <c:dPt>
            <c:idx val="4"/>
            <c:invertIfNegative val="0"/>
            <c:bubble3D val="0"/>
            <c:spPr>
              <a:solidFill>
                <a:schemeClr val="accent3"/>
              </a:solidFill>
              <a:ln>
                <a:solidFill>
                  <a:sysClr val="windowText" lastClr="000000"/>
                </a:solidFill>
              </a:ln>
            </c:spPr>
          </c:dPt>
          <c:dPt>
            <c:idx val="5"/>
            <c:invertIfNegative val="0"/>
            <c:bubble3D val="0"/>
            <c:spPr>
              <a:solidFill>
                <a:schemeClr val="accent3"/>
              </a:solidFill>
              <a:ln>
                <a:solidFill>
                  <a:sysClr val="windowText" lastClr="000000"/>
                </a:solidFill>
              </a:ln>
            </c:spPr>
          </c:dPt>
          <c:cat>
            <c:strRef>
              <c:f>DataF8.3!$A$4:$A$9</c:f>
              <c:strCache>
                <c:ptCount val="6"/>
                <c:pt idx="0">
                  <c:v>Britain 1530</c:v>
                </c:pt>
                <c:pt idx="1">
                  <c:v>Britain 1790</c:v>
                </c:pt>
                <c:pt idx="2">
                  <c:v>France 1560</c:v>
                </c:pt>
                <c:pt idx="3">
                  <c:v>France 1780</c:v>
                </c:pt>
                <c:pt idx="4">
                  <c:v>India 1880</c:v>
                </c:pt>
                <c:pt idx="5">
                  <c:v>India 1930</c:v>
                </c:pt>
              </c:strCache>
            </c:strRef>
          </c:cat>
          <c:val>
            <c:numRef>
              <c:f>DataF8.3!$B$4:$B$9</c:f>
              <c:numCache>
                <c:formatCode>0.0%</c:formatCode>
                <c:ptCount val="6"/>
                <c:pt idx="0">
                  <c:v>2.9000000000000001E-2</c:v>
                </c:pt>
                <c:pt idx="1">
                  <c:v>8.9999999999999993E-3</c:v>
                </c:pt>
                <c:pt idx="2">
                  <c:v>3.3000000000000002E-2</c:v>
                </c:pt>
                <c:pt idx="3">
                  <c:v>1.7000000000000001E-2</c:v>
                </c:pt>
                <c:pt idx="4">
                  <c:v>6.5648718758617455E-2</c:v>
                </c:pt>
                <c:pt idx="5">
                  <c:v>5.5772427671718534E-2</c:v>
                </c:pt>
              </c:numCache>
            </c:numRef>
          </c:val>
          <c:extLst/>
        </c:ser>
        <c:ser>
          <c:idx val="1"/>
          <c:order val="1"/>
          <c:spPr>
            <a:solidFill>
              <a:schemeClr val="accent2"/>
            </a:solidFill>
            <a:ln>
              <a:solidFill>
                <a:schemeClr val="tx1"/>
              </a:solidFill>
            </a:ln>
          </c:spPr>
          <c:invertIfNegative val="0"/>
          <c:dPt>
            <c:idx val="0"/>
            <c:invertIfNegative val="0"/>
            <c:bubble3D val="0"/>
          </c:dPt>
          <c:dPt>
            <c:idx val="1"/>
            <c:invertIfNegative val="0"/>
            <c:bubble3D val="0"/>
          </c:dPt>
          <c:dPt>
            <c:idx val="2"/>
            <c:invertIfNegative val="0"/>
            <c:bubble3D val="0"/>
            <c:spPr>
              <a:solidFill>
                <a:schemeClr val="accent1"/>
              </a:solidFill>
              <a:ln>
                <a:solidFill>
                  <a:schemeClr val="tx1"/>
                </a:solidFill>
              </a:ln>
            </c:spPr>
          </c:dPt>
          <c:dPt>
            <c:idx val="3"/>
            <c:invertIfNegative val="0"/>
            <c:bubble3D val="0"/>
            <c:spPr>
              <a:solidFill>
                <a:schemeClr val="accent1"/>
              </a:solidFill>
              <a:ln>
                <a:solidFill>
                  <a:schemeClr val="tx1"/>
                </a:solidFill>
              </a:ln>
            </c:spPr>
          </c:dPt>
          <c:dPt>
            <c:idx val="4"/>
            <c:invertIfNegative val="0"/>
            <c:bubble3D val="0"/>
            <c:spPr>
              <a:solidFill>
                <a:schemeClr val="accent3"/>
              </a:solidFill>
              <a:ln>
                <a:solidFill>
                  <a:schemeClr val="tx1"/>
                </a:solidFill>
              </a:ln>
            </c:spPr>
          </c:dPt>
          <c:dPt>
            <c:idx val="5"/>
            <c:invertIfNegative val="0"/>
            <c:bubble3D val="0"/>
            <c:spPr>
              <a:solidFill>
                <a:schemeClr val="accent3"/>
              </a:solidFill>
              <a:ln>
                <a:solidFill>
                  <a:schemeClr val="tx1"/>
                </a:solidFill>
              </a:ln>
            </c:spPr>
          </c:dPt>
          <c:cat>
            <c:strRef>
              <c:f>DataF8.3!$A$4:$A$9</c:f>
              <c:strCache>
                <c:ptCount val="6"/>
                <c:pt idx="0">
                  <c:v>Britain 1530</c:v>
                </c:pt>
                <c:pt idx="1">
                  <c:v>Britain 1790</c:v>
                </c:pt>
                <c:pt idx="2">
                  <c:v>France 1560</c:v>
                </c:pt>
                <c:pt idx="3">
                  <c:v>France 1780</c:v>
                </c:pt>
                <c:pt idx="4">
                  <c:v>India 1880</c:v>
                </c:pt>
                <c:pt idx="5">
                  <c:v>India 1930</c:v>
                </c:pt>
              </c:strCache>
            </c:strRef>
          </c:cat>
          <c:val>
            <c:numRef>
              <c:f>DataF8.3!$C$4:$C$9</c:f>
              <c:numCache>
                <c:formatCode>0.0%</c:formatCode>
                <c:ptCount val="6"/>
                <c:pt idx="0">
                  <c:v>1.4999999999999999E-2</c:v>
                </c:pt>
                <c:pt idx="1">
                  <c:v>1.2E-2</c:v>
                </c:pt>
                <c:pt idx="2">
                  <c:v>1.9E-2</c:v>
                </c:pt>
                <c:pt idx="3">
                  <c:v>7.0000000000000001E-3</c:v>
                </c:pt>
                <c:pt idx="4">
                  <c:v>3.6904358357012994E-2</c:v>
                </c:pt>
                <c:pt idx="5">
                  <c:v>4.1352504889689855E-2</c:v>
                </c:pt>
              </c:numCache>
            </c:numRef>
          </c:val>
        </c:ser>
        <c:dLbls>
          <c:showLegendKey val="0"/>
          <c:showVal val="0"/>
          <c:showCatName val="0"/>
          <c:showSerName val="0"/>
          <c:showPercent val="0"/>
          <c:showBubbleSize val="0"/>
        </c:dLbls>
        <c:gapWidth val="10"/>
        <c:axId val="573641344"/>
        <c:axId val="573646048"/>
        <c:extLst>
          <c:ext xmlns:c15="http://schemas.microsoft.com/office/drawing/2012/chart" uri="{02D57815-91ED-43cb-92C2-25804820EDAC}">
            <c15:filteredBarSeries>
              <c15:ser>
                <c:idx val="2"/>
                <c:order val="2"/>
                <c:spPr>
                  <a:solidFill>
                    <a:schemeClr val="accent3"/>
                  </a:solidFill>
                  <a:ln>
                    <a:solidFill>
                      <a:schemeClr val="tx1"/>
                    </a:solidFill>
                  </a:ln>
                </c:spPr>
                <c:invertIfNegative val="0"/>
                <c:dPt>
                  <c:idx val="0"/>
                  <c:invertIfNegative val="0"/>
                  <c:bubble3D val="0"/>
                  <c:spPr>
                    <a:solidFill>
                      <a:schemeClr val="accent1"/>
                    </a:solidFill>
                    <a:ln>
                      <a:solidFill>
                        <a:schemeClr val="tx1"/>
                      </a:solidFill>
                    </a:ln>
                  </c:spPr>
                </c:dPt>
                <c:dPt>
                  <c:idx val="1"/>
                  <c:invertIfNegative val="0"/>
                  <c:bubble3D val="0"/>
                  <c:spPr>
                    <a:solidFill>
                      <a:schemeClr val="accent1"/>
                    </a:solidFill>
                    <a:ln>
                      <a:solidFill>
                        <a:schemeClr val="tx1"/>
                      </a:solidFill>
                    </a:ln>
                  </c:spPr>
                </c:dPt>
                <c:dPt>
                  <c:idx val="2"/>
                  <c:invertIfNegative val="0"/>
                  <c:bubble3D val="0"/>
                  <c:spPr>
                    <a:solidFill>
                      <a:schemeClr val="accent6"/>
                    </a:solidFill>
                    <a:ln>
                      <a:solidFill>
                        <a:schemeClr val="tx1"/>
                      </a:solidFill>
                    </a:ln>
                  </c:spPr>
                </c:dPt>
                <c:cat>
                  <c:strRef>
                    <c:extLst>
                      <c:ext uri="{02D57815-91ED-43cb-92C2-25804820EDAC}">
                        <c15:formulaRef>
                          <c15:sqref>DataF8.3!$A$4:$A$9</c15:sqref>
                        </c15:formulaRef>
                      </c:ext>
                    </c:extLst>
                    <c:strCache>
                      <c:ptCount val="6"/>
                      <c:pt idx="0">
                        <c:v>Britain 1530</c:v>
                      </c:pt>
                      <c:pt idx="1">
                        <c:v>Britain 1790</c:v>
                      </c:pt>
                      <c:pt idx="2">
                        <c:v>France 1560</c:v>
                      </c:pt>
                      <c:pt idx="3">
                        <c:v>France 1780</c:v>
                      </c:pt>
                      <c:pt idx="4">
                        <c:v>India 1880</c:v>
                      </c:pt>
                      <c:pt idx="5">
                        <c:v>India 1930</c:v>
                      </c:pt>
                    </c:strCache>
                  </c:strRef>
                </c:cat>
                <c:val>
                  <c:numRef>
                    <c:extLst>
                      <c:ext uri="{02D57815-91ED-43cb-92C2-25804820EDAC}">
                        <c15:formulaRef>
                          <c15:sqref>DataF8.3!$D$4:$D$9</c15:sqref>
                        </c15:formulaRef>
                      </c:ext>
                    </c:extLst>
                    <c:numCache>
                      <c:formatCode>0.0%</c:formatCode>
                      <c:ptCount val="6"/>
                      <c:pt idx="0">
                        <c:v>4.3999999999999997E-2</c:v>
                      </c:pt>
                      <c:pt idx="1">
                        <c:v>2.0999999999999998E-2</c:v>
                      </c:pt>
                      <c:pt idx="2">
                        <c:v>5.2000000000000005E-2</c:v>
                      </c:pt>
                      <c:pt idx="3">
                        <c:v>2.4E-2</c:v>
                      </c:pt>
                      <c:pt idx="4">
                        <c:v>0.10255307711563044</c:v>
                      </c:pt>
                      <c:pt idx="5">
                        <c:v>9.7124932561408389E-2</c:v>
                      </c:pt>
                    </c:numCache>
                  </c:numRef>
                </c:val>
              </c15:ser>
            </c15:filteredBarSeries>
          </c:ext>
        </c:extLst>
      </c:barChart>
      <c:catAx>
        <c:axId val="573641344"/>
        <c:scaling>
          <c:orientation val="minMax"/>
        </c:scaling>
        <c:delete val="0"/>
        <c:axPos val="b"/>
        <c:numFmt formatCode="General" sourceLinked="0"/>
        <c:majorTickMark val="out"/>
        <c:minorTickMark val="none"/>
        <c:tickLblPos val="nextTo"/>
        <c:txPr>
          <a:bodyPr/>
          <a:lstStyle/>
          <a:p>
            <a:pPr>
              <a:defRPr sz="1600" b="1" i="0">
                <a:latin typeface="Arial"/>
              </a:defRPr>
            </a:pPr>
            <a:endParaRPr lang="fr-FR"/>
          </a:p>
        </c:txPr>
        <c:crossAx val="573646048"/>
        <c:crosses val="autoZero"/>
        <c:auto val="1"/>
        <c:lblAlgn val="ctr"/>
        <c:lblOffset val="100"/>
        <c:noMultiLvlLbl val="0"/>
      </c:catAx>
      <c:valAx>
        <c:axId val="573646048"/>
        <c:scaling>
          <c:orientation val="minMax"/>
          <c:max val="7.0000000000000007E-2"/>
          <c:min val="0"/>
        </c:scaling>
        <c:delete val="0"/>
        <c:axPos val="l"/>
        <c:majorGridlines>
          <c:spPr>
            <a:ln w="12700">
              <a:prstDash val="sysDash"/>
            </a:ln>
          </c:spPr>
        </c:majorGridlines>
        <c:title>
          <c:tx>
            <c:rich>
              <a:bodyPr/>
              <a:lstStyle/>
              <a:p>
                <a:pPr>
                  <a:defRPr sz="1200"/>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in adult male population</a:t>
                </a:r>
                <a:endParaRPr lang="fr-FR" sz="1200" b="0">
                  <a:latin typeface="Arial" panose="020B0604020202020204" pitchFamily="34" charset="0"/>
                  <a:cs typeface="Arial" panose="020B0604020202020204" pitchFamily="34" charset="0"/>
                </a:endParaRPr>
              </a:p>
            </c:rich>
          </c:tx>
          <c:overlay val="0"/>
        </c:title>
        <c:numFmt formatCode="0%" sourceLinked="0"/>
        <c:majorTickMark val="out"/>
        <c:minorTickMark val="none"/>
        <c:tickLblPos val="nextTo"/>
        <c:txPr>
          <a:bodyPr/>
          <a:lstStyle/>
          <a:p>
            <a:pPr>
              <a:defRPr sz="1600" b="0" i="0">
                <a:latin typeface="Arial"/>
              </a:defRPr>
            </a:pPr>
            <a:endParaRPr lang="fr-FR"/>
          </a:p>
        </c:txPr>
        <c:crossAx val="573641344"/>
        <c:crosses val="autoZero"/>
        <c:crossBetween val="between"/>
        <c:majorUnit val="0.01"/>
      </c:valAx>
      <c:spPr>
        <a:ln w="25400">
          <a:solidFill>
            <a:schemeClr val="tx1"/>
          </a:solidFill>
        </a:ln>
      </c:spPr>
    </c:plotArea>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rigidification of upper castes in India, 1871-2014</a:t>
            </a:r>
            <a:endParaRPr lang="fr-FR" sz="2000" b="0" baseline="0">
              <a:latin typeface="Arial" panose="020B0604020202020204" pitchFamily="34" charset="0"/>
              <a:cs typeface="Arial" panose="020B0604020202020204" pitchFamily="34" charset="0"/>
            </a:endParaRPr>
          </a:p>
        </c:rich>
      </c:tx>
      <c:layout>
        <c:manualLayout>
          <c:xMode val="edge"/>
          <c:yMode val="edge"/>
          <c:x val="0.15872747156605424"/>
          <c:y val="2.2031846775357349E-3"/>
        </c:manualLayout>
      </c:layout>
      <c:overlay val="0"/>
      <c:spPr>
        <a:noFill/>
        <a:ln w="25400">
          <a:noFill/>
        </a:ln>
      </c:spPr>
    </c:title>
    <c:autoTitleDeleted val="0"/>
    <c:plotArea>
      <c:layout>
        <c:manualLayout>
          <c:layoutTarget val="inner"/>
          <c:xMode val="edge"/>
          <c:yMode val="edge"/>
          <c:x val="9.4599628171478559E-2"/>
          <c:y val="6.3436701840347928E-2"/>
          <c:w val="0.87198296434755396"/>
          <c:h val="0.71492157821838798"/>
        </c:manualLayout>
      </c:layout>
      <c:lineChart>
        <c:grouping val="standard"/>
        <c:varyColors val="0"/>
        <c:ser>
          <c:idx val="3"/>
          <c:order val="0"/>
          <c:tx>
            <c:v>Total upper castes</c:v>
          </c:tx>
          <c:spPr>
            <a:ln w="41275">
              <a:solidFill>
                <a:srgbClr val="C00000"/>
              </a:solidFill>
            </a:ln>
          </c:spPr>
          <c:marker>
            <c:symbol val="circle"/>
            <c:size val="10"/>
            <c:spPr>
              <a:solidFill>
                <a:srgbClr val="C00000"/>
              </a:solidFill>
              <a:ln>
                <a:solidFill>
                  <a:srgbClr val="C00000"/>
                </a:solidFill>
              </a:ln>
            </c:spPr>
          </c:marker>
          <c:cat>
            <c:numRef>
              <c:f>DataF8.4!$A$7:$A$152</c:f>
              <c:numCache>
                <c:formatCode>General</c:formatCode>
                <c:ptCount val="146"/>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numCache>
            </c:numRef>
          </c:cat>
          <c:val>
            <c:numRef>
              <c:f>DataF8.4!$E$7:$E$152</c:f>
              <c:numCache>
                <c:formatCode>0.0%</c:formatCode>
                <c:ptCount val="146"/>
                <c:pt idx="1">
                  <c:v>0.13297784177908364</c:v>
                </c:pt>
                <c:pt idx="11">
                  <c:v>0.12525429163671303</c:v>
                </c:pt>
                <c:pt idx="21">
                  <c:v>0.13351570519033767</c:v>
                </c:pt>
                <c:pt idx="31">
                  <c:v>0.13240629954860783</c:v>
                </c:pt>
                <c:pt idx="41">
                  <c:v>0.12307743650176445</c:v>
                </c:pt>
                <c:pt idx="51">
                  <c:v>0.12004690996030412</c:v>
                </c:pt>
                <c:pt idx="61">
                  <c:v>0.12691435911885027</c:v>
                </c:pt>
                <c:pt idx="92">
                  <c:v>0.13601653315712839</c:v>
                </c:pt>
                <c:pt idx="97">
                  <c:v>0.13804060329294449</c:v>
                </c:pt>
                <c:pt idx="101">
                  <c:v>0.14243591665365388</c:v>
                </c:pt>
                <c:pt idx="107">
                  <c:v>0.13749397063326346</c:v>
                </c:pt>
                <c:pt idx="114">
                  <c:v>0.13269156804494897</c:v>
                </c:pt>
                <c:pt idx="126">
                  <c:v>0.12788916545663448</c:v>
                </c:pt>
                <c:pt idx="129">
                  <c:v>0.13662883073741108</c:v>
                </c:pt>
                <c:pt idx="134">
                  <c:v>0.13724203789503669</c:v>
                </c:pt>
                <c:pt idx="139">
                  <c:v>0.12889445448640327</c:v>
                </c:pt>
                <c:pt idx="144">
                  <c:v>0.14049534387357177</c:v>
                </c:pt>
              </c:numCache>
            </c:numRef>
          </c:val>
          <c:smooth val="0"/>
        </c:ser>
        <c:ser>
          <c:idx val="0"/>
          <c:order val="1"/>
          <c:tx>
            <c:v>Brahmins</c:v>
          </c:tx>
          <c:spPr>
            <a:ln w="41275">
              <a:solidFill>
                <a:schemeClr val="accent3"/>
              </a:solidFill>
            </a:ln>
          </c:spPr>
          <c:marker>
            <c:symbol val="circle"/>
            <c:size val="11"/>
            <c:spPr>
              <a:solidFill>
                <a:schemeClr val="accent3"/>
              </a:solidFill>
              <a:ln>
                <a:solidFill>
                  <a:schemeClr val="accent3"/>
                </a:solidFill>
              </a:ln>
            </c:spPr>
          </c:marker>
          <c:cat>
            <c:numRef>
              <c:f>DataF8.4!$A$7:$A$152</c:f>
              <c:numCache>
                <c:formatCode>General</c:formatCode>
                <c:ptCount val="146"/>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numCache>
            </c:numRef>
          </c:cat>
          <c:val>
            <c:numRef>
              <c:f>DataF8.4!$B$7:$B$152</c:f>
              <c:numCache>
                <c:formatCode>0.0%</c:formatCode>
                <c:ptCount val="146"/>
                <c:pt idx="1">
                  <c:v>6.7447225480751008E-2</c:v>
                </c:pt>
                <c:pt idx="11">
                  <c:v>6.5648718758617455E-2</c:v>
                </c:pt>
                <c:pt idx="21">
                  <c:v>6.4518070458762372E-2</c:v>
                </c:pt>
                <c:pt idx="31">
                  <c:v>6.4268958632454132E-2</c:v>
                </c:pt>
                <c:pt idx="41">
                  <c:v>5.9100394494825986E-2</c:v>
                </c:pt>
                <c:pt idx="51">
                  <c:v>5.7663942453913736E-2</c:v>
                </c:pt>
                <c:pt idx="61">
                  <c:v>5.5772427671718534E-2</c:v>
                </c:pt>
                <c:pt idx="92">
                  <c:v>6.5863768016615365E-2</c:v>
                </c:pt>
                <c:pt idx="97">
                  <c:v>6.7037729538500831E-2</c:v>
                </c:pt>
                <c:pt idx="101">
                  <c:v>7.1347505343074991E-2</c:v>
                </c:pt>
                <c:pt idx="107">
                  <c:v>6.5407239766404501E-2</c:v>
                </c:pt>
                <c:pt idx="114">
                  <c:v>6.0782941767432853E-2</c:v>
                </c:pt>
                <c:pt idx="126">
                  <c:v>5.6158643768461206E-2</c:v>
                </c:pt>
                <c:pt idx="129">
                  <c:v>6.1279004234779708E-2</c:v>
                </c:pt>
                <c:pt idx="134">
                  <c:v>6.113851245700936E-2</c:v>
                </c:pt>
                <c:pt idx="139">
                  <c:v>5.7292817839012938E-2</c:v>
                </c:pt>
                <c:pt idx="144">
                  <c:v>6.2418695669032367E-2</c:v>
                </c:pt>
              </c:numCache>
            </c:numRef>
          </c:val>
          <c:smooth val="0"/>
        </c:ser>
        <c:ser>
          <c:idx val="1"/>
          <c:order val="2"/>
          <c:tx>
            <c:v>Kshatryas (Rajputs)</c:v>
          </c:tx>
          <c:spPr>
            <a:ln w="41275">
              <a:solidFill>
                <a:schemeClr val="accent5"/>
              </a:solidFill>
            </a:ln>
          </c:spPr>
          <c:marker>
            <c:symbol val="triangle"/>
            <c:size val="11"/>
            <c:spPr>
              <a:solidFill>
                <a:schemeClr val="accent5"/>
              </a:solidFill>
              <a:ln>
                <a:solidFill>
                  <a:schemeClr val="accent5"/>
                </a:solidFill>
              </a:ln>
            </c:spPr>
          </c:marker>
          <c:cat>
            <c:numRef>
              <c:f>DataF8.4!$A$7:$A$152</c:f>
              <c:numCache>
                <c:formatCode>General</c:formatCode>
                <c:ptCount val="146"/>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numCache>
            </c:numRef>
          </c:cat>
          <c:val>
            <c:numRef>
              <c:f>DataF8.4!$C$7:$C$152</c:f>
              <c:numCache>
                <c:formatCode>0.0%</c:formatCode>
                <c:ptCount val="146"/>
                <c:pt idx="1">
                  <c:v>3.7553922611973128E-2</c:v>
                </c:pt>
                <c:pt idx="11">
                  <c:v>3.6904358357012994E-2</c:v>
                </c:pt>
                <c:pt idx="21">
                  <c:v>4.5376524802534395E-2</c:v>
                </c:pt>
                <c:pt idx="31">
                  <c:v>4.6356021803029411E-2</c:v>
                </c:pt>
                <c:pt idx="41">
                  <c:v>4.0601734611639025E-2</c:v>
                </c:pt>
                <c:pt idx="51">
                  <c:v>4.1685021314070939E-2</c:v>
                </c:pt>
                <c:pt idx="61">
                  <c:v>4.1352504889689855E-2</c:v>
                </c:pt>
                <c:pt idx="92">
                  <c:v>3.881361759904018E-2</c:v>
                </c:pt>
                <c:pt idx="97">
                  <c:v>3.9970794279791957E-2</c:v>
                </c:pt>
                <c:pt idx="101">
                  <c:v>4.0870880016032105E-2</c:v>
                </c:pt>
                <c:pt idx="107">
                  <c:v>4.1896839939895604E-2</c:v>
                </c:pt>
                <c:pt idx="114">
                  <c:v>4.1010919691049211E-2</c:v>
                </c:pt>
                <c:pt idx="126">
                  <c:v>4.0124999442202824E-2</c:v>
                </c:pt>
                <c:pt idx="129">
                  <c:v>4.1965487441896994E-2</c:v>
                </c:pt>
                <c:pt idx="134">
                  <c:v>4.69138543643026E-2</c:v>
                </c:pt>
                <c:pt idx="139">
                  <c:v>4.6271394433473001E-2</c:v>
                </c:pt>
                <c:pt idx="144">
                  <c:v>4.805259948307658E-2</c:v>
                </c:pt>
              </c:numCache>
            </c:numRef>
          </c:val>
          <c:smooth val="0"/>
        </c:ser>
        <c:ser>
          <c:idx val="2"/>
          <c:order val="3"/>
          <c:tx>
            <c:v>Vaishyas (Banias), Kayasths</c:v>
          </c:tx>
          <c:spPr>
            <a:ln w="41275">
              <a:solidFill>
                <a:schemeClr val="accent6"/>
              </a:solidFill>
            </a:ln>
          </c:spPr>
          <c:marker>
            <c:symbol val="triangle"/>
            <c:size val="11"/>
            <c:spPr>
              <a:solidFill>
                <a:schemeClr val="accent6"/>
              </a:solidFill>
              <a:ln>
                <a:solidFill>
                  <a:schemeClr val="accent6"/>
                </a:solidFill>
              </a:ln>
            </c:spPr>
          </c:marker>
          <c:cat>
            <c:numRef>
              <c:f>DataF8.4!$A$7:$A$152</c:f>
              <c:numCache>
                <c:formatCode>General</c:formatCode>
                <c:ptCount val="146"/>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numCache>
            </c:numRef>
          </c:cat>
          <c:val>
            <c:numRef>
              <c:f>DataF8.4!$D$7:$D$152</c:f>
              <c:numCache>
                <c:formatCode>0.0%</c:formatCode>
                <c:ptCount val="146"/>
                <c:pt idx="1">
                  <c:v>2.7976693686359508E-2</c:v>
                </c:pt>
                <c:pt idx="11">
                  <c:v>2.2701214521082581E-2</c:v>
                </c:pt>
                <c:pt idx="21">
                  <c:v>2.3621109929040887E-2</c:v>
                </c:pt>
                <c:pt idx="31">
                  <c:v>2.1781319113124274E-2</c:v>
                </c:pt>
                <c:pt idx="41">
                  <c:v>2.3375307395299437E-2</c:v>
                </c:pt>
                <c:pt idx="51">
                  <c:v>2.0697946192319447E-2</c:v>
                </c:pt>
                <c:pt idx="61">
                  <c:v>2.9789426557441885E-2</c:v>
                </c:pt>
                <c:pt idx="92">
                  <c:v>3.1339147541472857E-2</c:v>
                </c:pt>
                <c:pt idx="97">
                  <c:v>3.1032079474651694E-2</c:v>
                </c:pt>
                <c:pt idx="101">
                  <c:v>3.0217531294546782E-2</c:v>
                </c:pt>
                <c:pt idx="107">
                  <c:v>3.0189890926963361E-2</c:v>
                </c:pt>
                <c:pt idx="114">
                  <c:v>3.0897706586466907E-2</c:v>
                </c:pt>
                <c:pt idx="126">
                  <c:v>3.1605522245970449E-2</c:v>
                </c:pt>
                <c:pt idx="129">
                  <c:v>3.3384339060734382E-2</c:v>
                </c:pt>
                <c:pt idx="134">
                  <c:v>2.9189671073724728E-2</c:v>
                </c:pt>
                <c:pt idx="139">
                  <c:v>2.5330242213917328E-2</c:v>
                </c:pt>
                <c:pt idx="144">
                  <c:v>3.0024048721462828E-2</c:v>
                </c:pt>
              </c:numCache>
            </c:numRef>
          </c:val>
          <c:smooth val="0"/>
        </c:ser>
        <c:dLbls>
          <c:showLegendKey val="0"/>
          <c:showVal val="0"/>
          <c:showCatName val="0"/>
          <c:showSerName val="0"/>
          <c:showPercent val="0"/>
          <c:showBubbleSize val="0"/>
        </c:dLbls>
        <c:marker val="1"/>
        <c:smooth val="0"/>
        <c:axId val="573644088"/>
        <c:axId val="573645656"/>
      </c:lineChart>
      <c:catAx>
        <c:axId val="57364408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73645656"/>
        <c:crossesAt val="0"/>
        <c:auto val="1"/>
        <c:lblAlgn val="ctr"/>
        <c:lblOffset val="100"/>
        <c:tickLblSkip val="20"/>
        <c:tickMarkSkip val="10"/>
        <c:noMultiLvlLbl val="0"/>
      </c:catAx>
      <c:valAx>
        <c:axId val="573645656"/>
        <c:scaling>
          <c:orientation val="minMax"/>
          <c:max val="0.15"/>
          <c:min val="0"/>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in total hindu population</a:t>
                </a:r>
                <a:endParaRPr lang="fr-FR" sz="1200"/>
              </a:p>
            </c:rich>
          </c:tx>
          <c:layout>
            <c:manualLayout>
              <c:xMode val="edge"/>
              <c:yMode val="edge"/>
              <c:x val="9.5144356955382694E-6"/>
              <c:y val="0.2373406308812789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73644088"/>
        <c:crosses val="autoZero"/>
        <c:crossBetween val="midCat"/>
        <c:majorUnit val="0.01"/>
      </c:valAx>
      <c:spPr>
        <a:noFill/>
        <a:ln w="25400">
          <a:solidFill>
            <a:schemeClr val="tx1"/>
          </a:solidFill>
        </a:ln>
      </c:spPr>
    </c:plotArea>
    <c:legend>
      <c:legendPos val="l"/>
      <c:layout>
        <c:manualLayout>
          <c:xMode val="edge"/>
          <c:yMode val="edge"/>
          <c:x val="0.36219564741907301"/>
          <c:y val="0.217708030876025"/>
          <c:w val="0.31749334500173099"/>
          <c:h val="0.19642062241105199"/>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Positive discrimination in India, 1950-2015</a:t>
            </a:r>
            <a:endParaRPr lang="fr-FR" sz="2000" b="0" baseline="0">
              <a:latin typeface="Arial" panose="020B0604020202020204" pitchFamily="34" charset="0"/>
              <a:cs typeface="Arial" panose="020B0604020202020204" pitchFamily="34" charset="0"/>
            </a:endParaRPr>
          </a:p>
        </c:rich>
      </c:tx>
      <c:layout>
        <c:manualLayout>
          <c:xMode val="edge"/>
          <c:yMode val="edge"/>
          <c:x val="0.2212564523184602"/>
          <c:y val="2.2031846775357349E-3"/>
        </c:manualLayout>
      </c:layout>
      <c:overlay val="0"/>
      <c:spPr>
        <a:noFill/>
        <a:ln w="25400">
          <a:noFill/>
        </a:ln>
      </c:spPr>
    </c:title>
    <c:autoTitleDeleted val="0"/>
    <c:plotArea>
      <c:layout>
        <c:manualLayout>
          <c:layoutTarget val="inner"/>
          <c:xMode val="edge"/>
          <c:yMode val="edge"/>
          <c:x val="9.4599628171478559E-2"/>
          <c:y val="5.6673784001634468E-2"/>
          <c:w val="0.87198296434755396"/>
          <c:h val="0.71492157821838798"/>
        </c:manualLayout>
      </c:layout>
      <c:lineChart>
        <c:grouping val="standard"/>
        <c:varyColors val="0"/>
        <c:ser>
          <c:idx val="3"/>
          <c:order val="0"/>
          <c:tx>
            <c:v>Classes benefiting from quotas (OBC + SC + ST)</c:v>
          </c:tx>
          <c:spPr>
            <a:ln w="41275">
              <a:solidFill>
                <a:srgbClr val="C00000"/>
              </a:solidFill>
            </a:ln>
          </c:spPr>
          <c:marker>
            <c:symbol val="circle"/>
            <c:size val="10"/>
            <c:spPr>
              <a:solidFill>
                <a:srgbClr val="C00000"/>
              </a:solidFill>
              <a:ln>
                <a:solidFill>
                  <a:srgbClr val="C00000"/>
                </a:solidFill>
              </a:ln>
            </c:spPr>
          </c:marker>
          <c:cat>
            <c:numRef>
              <c:f>DataF8.5!$A$7:$A$72</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DataF8.5!$F$7:$F$72</c:f>
              <c:numCache>
                <c:formatCode>General</c:formatCode>
                <c:ptCount val="66"/>
                <c:pt idx="31" formatCode="0.0%">
                  <c:v>0.58499999999999996</c:v>
                </c:pt>
                <c:pt idx="41" formatCode="0.0%">
                  <c:v>0.59599999999999997</c:v>
                </c:pt>
                <c:pt idx="49" formatCode="0.0%">
                  <c:v>0.60230000000000006</c:v>
                </c:pt>
                <c:pt idx="54" formatCode="0.0%">
                  <c:v>0.65339999999999998</c:v>
                </c:pt>
                <c:pt idx="59" formatCode="0.0%">
                  <c:v>0.66549999999999998</c:v>
                </c:pt>
                <c:pt idx="61" formatCode="0.0%">
                  <c:v>0.69259999999999999</c:v>
                </c:pt>
                <c:pt idx="64" formatCode="0.0%">
                  <c:v>0.69059999999999999</c:v>
                </c:pt>
              </c:numCache>
            </c:numRef>
          </c:val>
          <c:smooth val="0"/>
        </c:ser>
        <c:ser>
          <c:idx val="4"/>
          <c:order val="1"/>
          <c:tx>
            <c:v>Other backward classes (OBC)</c:v>
          </c:tx>
          <c:spPr>
            <a:ln w="41275">
              <a:solidFill>
                <a:schemeClr val="accent4"/>
              </a:solidFill>
            </a:ln>
          </c:spPr>
          <c:marker>
            <c:spPr>
              <a:solidFill>
                <a:schemeClr val="accent4"/>
              </a:solidFill>
              <a:ln>
                <a:solidFill>
                  <a:schemeClr val="accent4"/>
                </a:solidFill>
              </a:ln>
            </c:spPr>
          </c:marker>
          <c:val>
            <c:numRef>
              <c:f>DataF8.5!$E$7:$E$72</c:f>
              <c:numCache>
                <c:formatCode>0.0%</c:formatCode>
                <c:ptCount val="66"/>
                <c:pt idx="31">
                  <c:v>0.35</c:v>
                </c:pt>
                <c:pt idx="41">
                  <c:v>0.35</c:v>
                </c:pt>
                <c:pt idx="49">
                  <c:v>0.35730000000000001</c:v>
                </c:pt>
                <c:pt idx="54">
                  <c:v>0.40939999999999999</c:v>
                </c:pt>
                <c:pt idx="59">
                  <c:v>0.41749999999999998</c:v>
                </c:pt>
                <c:pt idx="61">
                  <c:v>0.44059999999999999</c:v>
                </c:pt>
                <c:pt idx="64">
                  <c:v>0.43859999999999999</c:v>
                </c:pt>
              </c:numCache>
            </c:numRef>
          </c:val>
          <c:smooth val="0"/>
        </c:ser>
        <c:ser>
          <c:idx val="2"/>
          <c:order val="2"/>
          <c:tx>
            <c:v>Scheduled castes &amp; tribes (SC + ST)</c:v>
          </c:tx>
          <c:spPr>
            <a:ln w="41275">
              <a:solidFill>
                <a:schemeClr val="accent6"/>
              </a:solidFill>
            </a:ln>
          </c:spPr>
          <c:marker>
            <c:symbol val="triangle"/>
            <c:size val="11"/>
            <c:spPr>
              <a:solidFill>
                <a:schemeClr val="accent6"/>
              </a:solidFill>
              <a:ln>
                <a:solidFill>
                  <a:schemeClr val="accent6"/>
                </a:solidFill>
              </a:ln>
            </c:spPr>
          </c:marker>
          <c:cat>
            <c:numRef>
              <c:f>DataF8.5!$A$7:$A$72</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DataF8.5!$D$7:$D$72</c:f>
              <c:numCache>
                <c:formatCode>0.0%</c:formatCode>
                <c:ptCount val="66"/>
                <c:pt idx="1">
                  <c:v>0.20929999999999999</c:v>
                </c:pt>
                <c:pt idx="11">
                  <c:v>0.216</c:v>
                </c:pt>
                <c:pt idx="21">
                  <c:v>0.215</c:v>
                </c:pt>
                <c:pt idx="31">
                  <c:v>0.23499999999999999</c:v>
                </c:pt>
                <c:pt idx="33">
                  <c:v>0.23499999999999999</c:v>
                </c:pt>
                <c:pt idx="37">
                  <c:v>0.24049999999999999</c:v>
                </c:pt>
                <c:pt idx="41">
                  <c:v>0.246</c:v>
                </c:pt>
                <c:pt idx="43">
                  <c:v>0.246</c:v>
                </c:pt>
                <c:pt idx="49">
                  <c:v>0.245</c:v>
                </c:pt>
                <c:pt idx="51">
                  <c:v>0.24399999999999999</c:v>
                </c:pt>
                <c:pt idx="54">
                  <c:v>0.24399999999999999</c:v>
                </c:pt>
                <c:pt idx="59">
                  <c:v>0.248</c:v>
                </c:pt>
                <c:pt idx="61">
                  <c:v>0.252</c:v>
                </c:pt>
                <c:pt idx="64">
                  <c:v>0.252</c:v>
                </c:pt>
              </c:numCache>
            </c:numRef>
          </c:val>
          <c:smooth val="0"/>
        </c:ser>
        <c:ser>
          <c:idx val="1"/>
          <c:order val="3"/>
          <c:tx>
            <c:v>Schedules castes (SC)</c:v>
          </c:tx>
          <c:spPr>
            <a:ln w="41275">
              <a:solidFill>
                <a:schemeClr val="accent5"/>
              </a:solidFill>
            </a:ln>
          </c:spPr>
          <c:marker>
            <c:symbol val="triangle"/>
            <c:size val="11"/>
            <c:spPr>
              <a:solidFill>
                <a:schemeClr val="accent5"/>
              </a:solidFill>
              <a:ln>
                <a:solidFill>
                  <a:schemeClr val="accent5"/>
                </a:solidFill>
              </a:ln>
            </c:spPr>
          </c:marker>
          <c:cat>
            <c:numRef>
              <c:f>DataF8.5!$A$7:$A$72</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DataF8.5!$C$7:$C$72</c:f>
              <c:numCache>
                <c:formatCode>0.0%</c:formatCode>
                <c:ptCount val="66"/>
                <c:pt idx="1">
                  <c:v>0.14699999999999999</c:v>
                </c:pt>
                <c:pt idx="11">
                  <c:v>0.14699999999999999</c:v>
                </c:pt>
                <c:pt idx="21">
                  <c:v>0.14599999999999999</c:v>
                </c:pt>
                <c:pt idx="31">
                  <c:v>0.157</c:v>
                </c:pt>
                <c:pt idx="33">
                  <c:v>0.157</c:v>
                </c:pt>
                <c:pt idx="37">
                  <c:v>0.161</c:v>
                </c:pt>
                <c:pt idx="41">
                  <c:v>0.16500000000000001</c:v>
                </c:pt>
                <c:pt idx="43">
                  <c:v>0.16500000000000001</c:v>
                </c:pt>
                <c:pt idx="49">
                  <c:v>0.16350000000000001</c:v>
                </c:pt>
                <c:pt idx="51">
                  <c:v>0.16200000000000001</c:v>
                </c:pt>
                <c:pt idx="54">
                  <c:v>0.16200000000000001</c:v>
                </c:pt>
                <c:pt idx="59">
                  <c:v>0.16400000000000001</c:v>
                </c:pt>
                <c:pt idx="61">
                  <c:v>0.16600000000000001</c:v>
                </c:pt>
                <c:pt idx="64">
                  <c:v>0.16600000000000001</c:v>
                </c:pt>
              </c:numCache>
            </c:numRef>
          </c:val>
          <c:smooth val="0"/>
        </c:ser>
        <c:ser>
          <c:idx val="0"/>
          <c:order val="4"/>
          <c:tx>
            <c:v>Scheduled tribes (ST)</c:v>
          </c:tx>
          <c:spPr>
            <a:ln w="41275">
              <a:solidFill>
                <a:schemeClr val="accent3"/>
              </a:solidFill>
            </a:ln>
          </c:spPr>
          <c:marker>
            <c:symbol val="circle"/>
            <c:size val="11"/>
            <c:spPr>
              <a:solidFill>
                <a:schemeClr val="accent3"/>
              </a:solidFill>
              <a:ln>
                <a:solidFill>
                  <a:schemeClr val="accent3"/>
                </a:solidFill>
              </a:ln>
            </c:spPr>
          </c:marker>
          <c:cat>
            <c:numRef>
              <c:f>DataF8.5!$A$7:$A$72</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DataF8.5!$B$7:$B$72</c:f>
              <c:numCache>
                <c:formatCode>0.0%</c:formatCode>
                <c:ptCount val="66"/>
                <c:pt idx="1">
                  <c:v>6.2300000000000001E-2</c:v>
                </c:pt>
                <c:pt idx="11">
                  <c:v>6.9000000000000006E-2</c:v>
                </c:pt>
                <c:pt idx="21">
                  <c:v>6.9000000000000006E-2</c:v>
                </c:pt>
                <c:pt idx="31">
                  <c:v>7.8E-2</c:v>
                </c:pt>
                <c:pt idx="33">
                  <c:v>7.8E-2</c:v>
                </c:pt>
                <c:pt idx="37">
                  <c:v>7.9500000000000001E-2</c:v>
                </c:pt>
                <c:pt idx="41">
                  <c:v>8.1000000000000003E-2</c:v>
                </c:pt>
                <c:pt idx="43">
                  <c:v>8.1000000000000003E-2</c:v>
                </c:pt>
                <c:pt idx="49">
                  <c:v>8.1499999999999989E-2</c:v>
                </c:pt>
                <c:pt idx="51">
                  <c:v>8.199999999999999E-2</c:v>
                </c:pt>
                <c:pt idx="54">
                  <c:v>8.199999999999999E-2</c:v>
                </c:pt>
                <c:pt idx="59">
                  <c:v>8.3999999999999991E-2</c:v>
                </c:pt>
                <c:pt idx="61">
                  <c:v>8.5999999999999993E-2</c:v>
                </c:pt>
                <c:pt idx="64">
                  <c:v>8.5999999999999993E-2</c:v>
                </c:pt>
              </c:numCache>
            </c:numRef>
          </c:val>
          <c:smooth val="0"/>
        </c:ser>
        <c:dLbls>
          <c:showLegendKey val="0"/>
          <c:showVal val="0"/>
          <c:showCatName val="0"/>
          <c:showSerName val="0"/>
          <c:showPercent val="0"/>
          <c:showBubbleSize val="0"/>
        </c:dLbls>
        <c:marker val="1"/>
        <c:smooth val="0"/>
        <c:axId val="573645264"/>
        <c:axId val="573644480"/>
      </c:lineChart>
      <c:catAx>
        <c:axId val="57364526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73644480"/>
        <c:crossesAt val="0"/>
        <c:auto val="1"/>
        <c:lblAlgn val="ctr"/>
        <c:lblOffset val="100"/>
        <c:tickLblSkip val="10"/>
        <c:tickMarkSkip val="10"/>
        <c:noMultiLvlLbl val="0"/>
      </c:catAx>
      <c:valAx>
        <c:axId val="573644480"/>
        <c:scaling>
          <c:orientation val="minMax"/>
          <c:max val="0.75"/>
          <c:min val="0"/>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in total Indian population</a:t>
                </a:r>
                <a:endParaRPr lang="fr-FR" sz="1200"/>
              </a:p>
            </c:rich>
          </c:tx>
          <c:layout>
            <c:manualLayout>
              <c:xMode val="edge"/>
              <c:yMode val="edge"/>
              <c:x val="1.38888888888886E-5"/>
              <c:y val="0.21480053613478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573645264"/>
        <c:crosses val="autoZero"/>
        <c:crossBetween val="midCat"/>
        <c:majorUnit val="0.05"/>
      </c:valAx>
      <c:spPr>
        <a:noFill/>
        <a:ln w="25400">
          <a:solidFill>
            <a:schemeClr val="tx1"/>
          </a:solidFill>
        </a:ln>
      </c:spPr>
    </c:plotArea>
    <c:legend>
      <c:legendPos val="l"/>
      <c:layout>
        <c:manualLayout>
          <c:xMode val="edge"/>
          <c:yMode val="edge"/>
          <c:x val="0.12161690726159199"/>
          <c:y val="0.18389788875629101"/>
          <c:w val="0.35454461942257198"/>
          <c:h val="0.31068414689468499"/>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Discrimination and inequality in comparative perspective</a:t>
            </a:r>
            <a:endParaRPr lang="fr-FR" sz="2000" b="0" baseline="0">
              <a:latin typeface="Arial" panose="020B0604020202020204" pitchFamily="34" charset="0"/>
              <a:cs typeface="Arial" panose="020B0604020202020204" pitchFamily="34" charset="0"/>
            </a:endParaRPr>
          </a:p>
        </c:rich>
      </c:tx>
      <c:layout>
        <c:manualLayout>
          <c:xMode val="edge"/>
          <c:yMode val="edge"/>
          <c:x val="0.1434586614173228"/>
          <c:y val="2.2031846775357349E-3"/>
        </c:manualLayout>
      </c:layout>
      <c:overlay val="0"/>
      <c:spPr>
        <a:noFill/>
        <a:ln w="25400">
          <a:noFill/>
        </a:ln>
      </c:spPr>
    </c:title>
    <c:autoTitleDeleted val="0"/>
    <c:plotArea>
      <c:layout>
        <c:manualLayout>
          <c:layoutTarget val="inner"/>
          <c:xMode val="edge"/>
          <c:yMode val="edge"/>
          <c:x val="8.7644028871391069E-2"/>
          <c:y val="6.5691007786585737E-2"/>
          <c:w val="0.87893853513712805"/>
          <c:h val="0.71492157821838798"/>
        </c:manualLayout>
      </c:layout>
      <c:lineChart>
        <c:grouping val="standard"/>
        <c:varyColors val="0"/>
        <c:ser>
          <c:idx val="0"/>
          <c:order val="0"/>
          <c:tx>
            <c:v>India: average income lower castes (SC+ST)/rest of the population</c:v>
          </c:tx>
          <c:spPr>
            <a:ln w="41275">
              <a:solidFill>
                <a:schemeClr val="accent3"/>
              </a:solidFill>
            </a:ln>
          </c:spPr>
          <c:marker>
            <c:symbol val="circle"/>
            <c:size val="11"/>
            <c:spPr>
              <a:solidFill>
                <a:schemeClr val="accent3"/>
              </a:solidFill>
              <a:ln>
                <a:solidFill>
                  <a:schemeClr val="accent3"/>
                </a:solidFill>
              </a:ln>
            </c:spPr>
          </c:marker>
          <c:cat>
            <c:numRef>
              <c:f>Dataf8.6!$A$8:$A$73</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Dataf8.6!$B$8:$B$73</c:f>
              <c:numCache>
                <c:formatCode>0.0%</c:formatCode>
                <c:ptCount val="66"/>
                <c:pt idx="1">
                  <c:v>0.56553015833930143</c:v>
                </c:pt>
                <c:pt idx="11">
                  <c:v>0.55504455215054493</c:v>
                </c:pt>
                <c:pt idx="21">
                  <c:v>0.63891544454625282</c:v>
                </c:pt>
                <c:pt idx="31">
                  <c:v>0.714260863815386</c:v>
                </c:pt>
                <c:pt idx="33">
                  <c:v>0.714260863815386</c:v>
                </c:pt>
                <c:pt idx="37">
                  <c:v>0.7187711188503576</c:v>
                </c:pt>
                <c:pt idx="43">
                  <c:v>0.71701775623054198</c:v>
                </c:pt>
                <c:pt idx="49">
                  <c:v>0.70537527485722384</c:v>
                </c:pt>
                <c:pt idx="54">
                  <c:v>0.69364164206867029</c:v>
                </c:pt>
                <c:pt idx="59">
                  <c:v>0.70091363122684591</c:v>
                </c:pt>
                <c:pt idx="61">
                  <c:v>0.70386162441454359</c:v>
                </c:pt>
                <c:pt idx="64">
                  <c:v>0.74339834048875097</c:v>
                </c:pt>
              </c:numCache>
            </c:numRef>
          </c:val>
          <c:smooth val="0"/>
        </c:ser>
        <c:ser>
          <c:idx val="1"/>
          <c:order val="1"/>
          <c:tx>
            <c:v>United States: average income blacks/whites</c:v>
          </c:tx>
          <c:spPr>
            <a:ln w="41275">
              <a:solidFill>
                <a:schemeClr val="accent5"/>
              </a:solidFill>
            </a:ln>
          </c:spPr>
          <c:marker>
            <c:symbol val="triangle"/>
            <c:size val="11"/>
            <c:spPr>
              <a:solidFill>
                <a:schemeClr val="accent5"/>
              </a:solidFill>
              <a:ln>
                <a:solidFill>
                  <a:schemeClr val="accent5"/>
                </a:solidFill>
              </a:ln>
            </c:spPr>
          </c:marker>
          <c:cat>
            <c:numRef>
              <c:f>Dataf8.6!$A$8:$A$73</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Dataf8.6!$C$8:$C$73</c:f>
              <c:numCache>
                <c:formatCode>0.0%</c:formatCode>
                <c:ptCount val="66"/>
                <c:pt idx="0">
                  <c:v>0.53883449411236017</c:v>
                </c:pt>
                <c:pt idx="10">
                  <c:v>0.52285542690393316</c:v>
                </c:pt>
                <c:pt idx="20">
                  <c:v>0.58637716603351553</c:v>
                </c:pt>
                <c:pt idx="30">
                  <c:v>0.62241966591213571</c:v>
                </c:pt>
                <c:pt idx="40">
                  <c:v>0.59576625218150081</c:v>
                </c:pt>
                <c:pt idx="50">
                  <c:v>0.59699269521164</c:v>
                </c:pt>
                <c:pt idx="57">
                  <c:v>0.58924565549147478</c:v>
                </c:pt>
                <c:pt idx="60">
                  <c:v>0.56918690119155035</c:v>
                </c:pt>
                <c:pt idx="64">
                  <c:v>0.55789060450573835</c:v>
                </c:pt>
              </c:numCache>
            </c:numRef>
          </c:val>
          <c:smooth val="0"/>
        </c:ser>
        <c:ser>
          <c:idx val="2"/>
          <c:order val="2"/>
          <c:tx>
            <c:v>South Africa: average income blacks/whites</c:v>
          </c:tx>
          <c:spPr>
            <a:ln w="41275">
              <a:solidFill>
                <a:schemeClr val="accent6"/>
              </a:solidFill>
            </a:ln>
          </c:spPr>
          <c:marker>
            <c:symbol val="triangle"/>
            <c:size val="11"/>
            <c:spPr>
              <a:solidFill>
                <a:schemeClr val="accent6"/>
              </a:solidFill>
              <a:ln>
                <a:solidFill>
                  <a:schemeClr val="accent6"/>
                </a:solidFill>
              </a:ln>
            </c:spPr>
          </c:marker>
          <c:cat>
            <c:numRef>
              <c:f>Dataf8.6!$A$8:$A$73</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Dataf8.6!$D$8:$D$73</c:f>
              <c:numCache>
                <c:formatCode>0.0%</c:formatCode>
                <c:ptCount val="66"/>
                <c:pt idx="0">
                  <c:v>8.8999999999999996E-2</c:v>
                </c:pt>
                <c:pt idx="6">
                  <c:v>8.5999999999999993E-2</c:v>
                </c:pt>
                <c:pt idx="10">
                  <c:v>8.1000000000000003E-2</c:v>
                </c:pt>
                <c:pt idx="20">
                  <c:v>6.8000000000000005E-2</c:v>
                </c:pt>
                <c:pt idx="25">
                  <c:v>8.5999999999999993E-2</c:v>
                </c:pt>
                <c:pt idx="30">
                  <c:v>8.5000000000000006E-2</c:v>
                </c:pt>
                <c:pt idx="37">
                  <c:v>8.5000000000000006E-2</c:v>
                </c:pt>
                <c:pt idx="42">
                  <c:v>0.109</c:v>
                </c:pt>
                <c:pt idx="45">
                  <c:v>0.13500000000000001</c:v>
                </c:pt>
                <c:pt idx="50">
                  <c:v>0.159</c:v>
                </c:pt>
                <c:pt idx="58">
                  <c:v>0.13</c:v>
                </c:pt>
                <c:pt idx="64">
                  <c:v>0.18</c:v>
                </c:pt>
              </c:numCache>
            </c:numRef>
          </c:val>
          <c:smooth val="0"/>
        </c:ser>
        <c:dLbls>
          <c:showLegendKey val="0"/>
          <c:showVal val="0"/>
          <c:showCatName val="0"/>
          <c:showSerName val="0"/>
          <c:showPercent val="0"/>
          <c:showBubbleSize val="0"/>
        </c:dLbls>
        <c:marker val="1"/>
        <c:smooth val="0"/>
        <c:axId val="573642520"/>
        <c:axId val="573647224"/>
      </c:lineChart>
      <c:catAx>
        <c:axId val="57364252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73647224"/>
        <c:crossesAt val="0"/>
        <c:auto val="1"/>
        <c:lblAlgn val="ctr"/>
        <c:lblOffset val="100"/>
        <c:tickLblSkip val="10"/>
        <c:tickMarkSkip val="10"/>
        <c:noMultiLvlLbl val="0"/>
      </c:catAx>
      <c:valAx>
        <c:axId val="573647224"/>
        <c:scaling>
          <c:orientation val="minMax"/>
          <c:max val="0.8"/>
          <c:min val="0"/>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573642520"/>
        <c:crosses val="autoZero"/>
        <c:crossBetween val="midCat"/>
        <c:majorUnit val="0.1"/>
      </c:valAx>
      <c:spPr>
        <a:noFill/>
        <a:ln w="25400">
          <a:solidFill>
            <a:schemeClr val="tx1"/>
          </a:solidFill>
        </a:ln>
      </c:spPr>
    </c:plotArea>
    <c:legend>
      <c:legendPos val="l"/>
      <c:layout>
        <c:manualLayout>
          <c:xMode val="edge"/>
          <c:yMode val="edge"/>
          <c:x val="0.25092399827983303"/>
          <c:y val="0.34393256145636703"/>
          <c:w val="0.63147075376483697"/>
          <c:h val="0.2227777773833750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4.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5.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6.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44000" cy="565078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0.00655</cdr:x>
      <cdr:y>0.8313</cdr:y>
    </cdr:from>
    <cdr:to>
      <cdr:x>0.98876</cdr:x>
      <cdr:y>0.9877</cdr:y>
    </cdr:to>
    <cdr:sp macro="" textlink="">
      <cdr:nvSpPr>
        <cdr:cNvPr id="4" name="Rectangle 3"/>
        <cdr:cNvSpPr/>
      </cdr:nvSpPr>
      <cdr:spPr>
        <a:xfrm xmlns:a="http://schemas.openxmlformats.org/drawingml/2006/main">
          <a:off x="59932" y="4683264"/>
          <a:ext cx="8981326" cy="88110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results reported here were obtained from the decennial censuses 1951-2011 and NSS surveys 1983-2014. Quotas for accessing universities and public sector jobs were enacted for "scheduled castes" (SC) and "scheduled tribes" (ST) (ancient discriminated groups of untouchables and aborigenal tribes) in 1950, before being gradually extended beginning in 1980-1990 to "other backward classes" (OBC) (ancient shudras), following the Mandal commission in 1979-1980. OBCs are registered in NSS surveys since 1999 only, so the estimates reported here for 1981 and 1991 (35% of population) are approximate.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8.5).</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0.05859</cdr:x>
      <cdr:y>0.84562</cdr:y>
    </cdr:from>
    <cdr:to>
      <cdr:x>0.9687</cdr:x>
      <cdr:y>0.97921</cdr:y>
    </cdr:to>
    <cdr:sp macro="" textlink="">
      <cdr:nvSpPr>
        <cdr:cNvPr id="4" name="Rectangle 3"/>
        <cdr:cNvSpPr/>
      </cdr:nvSpPr>
      <cdr:spPr>
        <a:xfrm xmlns:a="http://schemas.openxmlformats.org/drawingml/2006/main">
          <a:off x="535729" y="4763930"/>
          <a:ext cx="8322046" cy="75260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ratio between the average income of lower castes in India (scheduled castes and tribes, SC+ST, ancient discriminated groups of untouchables and aborigenal tribes) and that of the rest of the population rise from 57% in 1950 to 74% in 2014. The ratio between the average income of Blacks and Whites rose over the same period from 54% to 56% in the United States, and from 9% to 18% in South Africa.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8.6).</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273503</xdr:colOff>
      <xdr:row>1</xdr:row>
      <xdr:rowOff>47625</xdr:rowOff>
    </xdr:from>
    <xdr:to>
      <xdr:col>13</xdr:col>
      <xdr:colOff>103323</xdr:colOff>
      <xdr:row>20</xdr:row>
      <xdr:rowOff>76200</xdr:rowOff>
    </xdr:to>
    <xdr:grpSp>
      <xdr:nvGrpSpPr>
        <xdr:cNvPr id="2" name="Group 2"/>
        <xdr:cNvGrpSpPr/>
      </xdr:nvGrpSpPr>
      <xdr:grpSpPr>
        <a:xfrm>
          <a:off x="273503" y="242358"/>
          <a:ext cx="10176087" cy="3567642"/>
          <a:chOff x="1320" y="1987"/>
          <a:chExt cx="16937" cy="6826"/>
        </a:xfrm>
      </xdr:grpSpPr>
      <xdr:pic>
        <xdr:nvPicPr>
          <xdr:cNvPr id="3" name="Picture 4" descr="Year_1983"/>
          <xdr:cNvPicPr>
            <a:picLocks noChangeAspect="1"/>
          </xdr:cNvPicPr>
        </xdr:nvPicPr>
        <xdr:blipFill>
          <a:blip xmlns:r="http://schemas.openxmlformats.org/officeDocument/2006/relationships" r:embed="rId1"/>
          <a:stretch>
            <a:fillRect/>
          </a:stretch>
        </xdr:blipFill>
        <xdr:spPr>
          <a:xfrm>
            <a:off x="1320" y="1987"/>
            <a:ext cx="5473" cy="6826"/>
          </a:xfrm>
          <a:prstGeom prst="rect">
            <a:avLst/>
          </a:prstGeom>
          <a:ln w="19050">
            <a:solidFill>
              <a:schemeClr val="tx1"/>
            </a:solidFill>
          </a:ln>
        </xdr:spPr>
      </xdr:pic>
      <xdr:pic>
        <xdr:nvPicPr>
          <xdr:cNvPr id="4" name="Picture 5" descr="Year_1987"/>
          <xdr:cNvPicPr>
            <a:picLocks noChangeAspect="1"/>
          </xdr:cNvPicPr>
        </xdr:nvPicPr>
        <xdr:blipFill>
          <a:blip xmlns:r="http://schemas.openxmlformats.org/officeDocument/2006/relationships" r:embed="rId2"/>
          <a:stretch>
            <a:fillRect/>
          </a:stretch>
        </xdr:blipFill>
        <xdr:spPr>
          <a:xfrm>
            <a:off x="7039" y="1987"/>
            <a:ext cx="5473" cy="6826"/>
          </a:xfrm>
          <a:prstGeom prst="rect">
            <a:avLst/>
          </a:prstGeom>
          <a:ln w="19050">
            <a:solidFill>
              <a:schemeClr val="tx1"/>
            </a:solidFill>
          </a:ln>
        </xdr:spPr>
      </xdr:pic>
      <xdr:pic>
        <xdr:nvPicPr>
          <xdr:cNvPr id="5" name="Picture 6" descr="Year_1993"/>
          <xdr:cNvPicPr>
            <a:picLocks noChangeAspect="1"/>
          </xdr:cNvPicPr>
        </xdr:nvPicPr>
        <xdr:blipFill>
          <a:blip xmlns:r="http://schemas.openxmlformats.org/officeDocument/2006/relationships" r:embed="rId3"/>
          <a:stretch>
            <a:fillRect/>
          </a:stretch>
        </xdr:blipFill>
        <xdr:spPr>
          <a:xfrm>
            <a:off x="12784" y="1987"/>
            <a:ext cx="5473" cy="6826"/>
          </a:xfrm>
          <a:prstGeom prst="rect">
            <a:avLst/>
          </a:prstGeom>
          <a:ln w="19050">
            <a:solidFill>
              <a:schemeClr val="tx1"/>
            </a:solidFill>
          </a:ln>
        </xdr:spPr>
      </xdr:pic>
    </xdr:grpSp>
    <xdr:clientData/>
  </xdr:twoCellAnchor>
  <xdr:twoCellAnchor>
    <xdr:from>
      <xdr:col>0</xdr:col>
      <xdr:colOff>254453</xdr:colOff>
      <xdr:row>21</xdr:row>
      <xdr:rowOff>47625</xdr:rowOff>
    </xdr:from>
    <xdr:to>
      <xdr:col>13</xdr:col>
      <xdr:colOff>63953</xdr:colOff>
      <xdr:row>40</xdr:row>
      <xdr:rowOff>161924</xdr:rowOff>
    </xdr:to>
    <xdr:grpSp>
      <xdr:nvGrpSpPr>
        <xdr:cNvPr id="6" name="Group 6"/>
        <xdr:cNvGrpSpPr/>
      </xdr:nvGrpSpPr>
      <xdr:grpSpPr>
        <a:xfrm>
          <a:off x="254453" y="3967692"/>
          <a:ext cx="10155767" cy="3653365"/>
          <a:chOff x="2108" y="1045"/>
          <a:chExt cx="16073" cy="7787"/>
        </a:xfrm>
      </xdr:grpSpPr>
      <xdr:pic>
        <xdr:nvPicPr>
          <xdr:cNvPr id="7" name="Picture 3" descr="Year_2004"/>
          <xdr:cNvPicPr>
            <a:picLocks noChangeAspect="1"/>
          </xdr:cNvPicPr>
        </xdr:nvPicPr>
        <xdr:blipFill>
          <a:blip xmlns:r="http://schemas.openxmlformats.org/officeDocument/2006/relationships" r:embed="rId4"/>
          <a:stretch>
            <a:fillRect/>
          </a:stretch>
        </xdr:blipFill>
        <xdr:spPr>
          <a:xfrm>
            <a:off x="7504" y="1045"/>
            <a:ext cx="5276" cy="7787"/>
          </a:xfrm>
          <a:prstGeom prst="rect">
            <a:avLst/>
          </a:prstGeom>
          <a:ln w="19050">
            <a:solidFill>
              <a:schemeClr val="tx1"/>
            </a:solidFill>
          </a:ln>
        </xdr:spPr>
      </xdr:pic>
      <xdr:pic>
        <xdr:nvPicPr>
          <xdr:cNvPr id="8" name="Picture 4" descr="Year_2009"/>
          <xdr:cNvPicPr>
            <a:picLocks noChangeAspect="1"/>
          </xdr:cNvPicPr>
        </xdr:nvPicPr>
        <xdr:blipFill>
          <a:blip xmlns:r="http://schemas.openxmlformats.org/officeDocument/2006/relationships" r:embed="rId5"/>
          <a:stretch>
            <a:fillRect/>
          </a:stretch>
        </xdr:blipFill>
        <xdr:spPr>
          <a:xfrm>
            <a:off x="12905" y="1045"/>
            <a:ext cx="5276" cy="7787"/>
          </a:xfrm>
          <a:prstGeom prst="rect">
            <a:avLst/>
          </a:prstGeom>
          <a:ln w="19050">
            <a:solidFill>
              <a:schemeClr val="tx1"/>
            </a:solidFill>
          </a:ln>
        </xdr:spPr>
      </xdr:pic>
      <xdr:pic>
        <xdr:nvPicPr>
          <xdr:cNvPr id="9" name="Picture 5" descr="Year_1999"/>
          <xdr:cNvPicPr>
            <a:picLocks noChangeAspect="1"/>
          </xdr:cNvPicPr>
        </xdr:nvPicPr>
        <xdr:blipFill>
          <a:blip xmlns:r="http://schemas.openxmlformats.org/officeDocument/2006/relationships" r:embed="rId6"/>
          <a:stretch>
            <a:fillRect/>
          </a:stretch>
        </xdr:blipFill>
        <xdr:spPr>
          <a:xfrm>
            <a:off x="2108" y="1045"/>
            <a:ext cx="5276" cy="7787"/>
          </a:xfrm>
          <a:prstGeom prst="rect">
            <a:avLst/>
          </a:prstGeom>
          <a:ln w="19050">
            <a:solidFill>
              <a:schemeClr val="tx1"/>
            </a:solidFill>
          </a:ln>
        </xdr:spPr>
      </xdr:pic>
    </xdr:grpSp>
    <xdr:clientData/>
  </xdr:twoCellAnchor>
  <xdr:twoCellAnchor editAs="oneCell">
    <xdr:from>
      <xdr:col>0</xdr:col>
      <xdr:colOff>254453</xdr:colOff>
      <xdr:row>42</xdr:row>
      <xdr:rowOff>28575</xdr:rowOff>
    </xdr:from>
    <xdr:to>
      <xdr:col>4</xdr:col>
      <xdr:colOff>273503</xdr:colOff>
      <xdr:row>66</xdr:row>
      <xdr:rowOff>23592</xdr:rowOff>
    </xdr:to>
    <xdr:pic>
      <xdr:nvPicPr>
        <xdr:cNvPr id="10" name="Espace réservé du contenu 6"/>
        <xdr:cNvPicPr>
          <a:picLocks noGrp="1"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54453" y="7709535"/>
          <a:ext cx="3188970" cy="4409537"/>
        </a:xfrm>
        <a:prstGeom prst="rect">
          <a:avLst/>
        </a:prstGeom>
        <a:ln w="19050">
          <a:solidFill>
            <a:schemeClr val="tx1"/>
          </a:solidFill>
        </a:ln>
      </xdr:spPr>
    </xdr:pic>
    <xdr:clientData/>
  </xdr:twoCellAnchor>
  <xdr:twoCellAnchor editAs="oneCell">
    <xdr:from>
      <xdr:col>4</xdr:col>
      <xdr:colOff>521153</xdr:colOff>
      <xdr:row>42</xdr:row>
      <xdr:rowOff>28575</xdr:rowOff>
    </xdr:from>
    <xdr:to>
      <xdr:col>8</xdr:col>
      <xdr:colOff>540203</xdr:colOff>
      <xdr:row>66</xdr:row>
      <xdr:rowOff>23592</xdr:rowOff>
    </xdr:to>
    <xdr:pic>
      <xdr:nvPicPr>
        <xdr:cNvPr id="11" name="Image 1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691073" y="7709535"/>
          <a:ext cx="3188970" cy="4409537"/>
        </a:xfrm>
        <a:prstGeom prst="rect">
          <a:avLst/>
        </a:prstGeom>
        <a:ln w="19050">
          <a:solidFill>
            <a:schemeClr val="tx1"/>
          </a:solid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518160</xdr:colOff>
      <xdr:row>0</xdr:row>
      <xdr:rowOff>0</xdr:rowOff>
    </xdr:from>
    <xdr:to>
      <xdr:col>20</xdr:col>
      <xdr:colOff>678180</xdr:colOff>
      <xdr:row>13</xdr:row>
      <xdr:rowOff>0</xdr:rowOff>
    </xdr:to>
    <xdr:sp macro="" textlink="">
      <xdr:nvSpPr>
        <xdr:cNvPr id="2050" name="AutoShape 2"/>
        <xdr:cNvSpPr>
          <a:spLocks/>
        </xdr:cNvSpPr>
      </xdr:nvSpPr>
      <xdr:spPr bwMode="auto">
        <a:xfrm>
          <a:off x="15575280" y="0"/>
          <a:ext cx="952500" cy="6156960"/>
        </a:xfrm>
        <a:custGeom>
          <a:avLst/>
          <a:gdLst>
            <a:gd name="T0" fmla="+- 0 2943 24526"/>
            <a:gd name="T1" fmla="*/ T0 w 1504"/>
            <a:gd name="T2" fmla="+- 0 2163 -65056"/>
            <a:gd name="T3" fmla="*/ 2163 h 9695"/>
            <a:gd name="T4" fmla="+- 0 3033 24526"/>
            <a:gd name="T5" fmla="*/ T4 w 1504"/>
            <a:gd name="T6" fmla="+- 0 2237 -65056"/>
            <a:gd name="T7" fmla="*/ 2237 h 9695"/>
            <a:gd name="T8" fmla="+- 0 3033 24526"/>
            <a:gd name="T9" fmla="*/ T8 w 1504"/>
            <a:gd name="T10" fmla="+- 0 2690 -65056"/>
            <a:gd name="T11" fmla="*/ 2690 h 9695"/>
            <a:gd name="T12" fmla="+- 0 3124 24526"/>
            <a:gd name="T13" fmla="*/ T12 w 1504"/>
            <a:gd name="T14" fmla="+- 0 2742 -65056"/>
            <a:gd name="T15" fmla="*/ 2742 h 9695"/>
            <a:gd name="T16" fmla="+- 0 2943 24526"/>
            <a:gd name="T17" fmla="*/ T16 w 1504"/>
            <a:gd name="T18" fmla="+- 0 3327 -65056"/>
            <a:gd name="T19" fmla="*/ 3327 h 9695"/>
            <a:gd name="T20" fmla="+- 0 3033 24526"/>
            <a:gd name="T21" fmla="*/ T20 w 1504"/>
            <a:gd name="T22" fmla="+- 0 3253 -65056"/>
            <a:gd name="T23" fmla="*/ 3253 h 9695"/>
            <a:gd name="T24" fmla="+- 0 3033 24526"/>
            <a:gd name="T25" fmla="*/ T24 w 1504"/>
            <a:gd name="T26" fmla="+- 0 2789 -65056"/>
            <a:gd name="T27" fmla="*/ 2789 h 9695"/>
            <a:gd name="T28" fmla="+- 0 3124 24526"/>
            <a:gd name="T29" fmla="*/ T28 w 1504"/>
            <a:gd name="T30" fmla="+- 0 2737 -65056"/>
            <a:gd name="T31" fmla="*/ 2737 h 9695"/>
          </a:gdLst>
          <a:ahLst/>
          <a:cxnLst>
            <a:cxn ang="0">
              <a:pos x="T1" y="T3"/>
            </a:cxn>
            <a:cxn ang="0">
              <a:pos x="T5" y="T7"/>
            </a:cxn>
            <a:cxn ang="0">
              <a:pos x="T9" y="T11"/>
            </a:cxn>
            <a:cxn ang="0">
              <a:pos x="T13" y="T15"/>
            </a:cxn>
            <a:cxn ang="0">
              <a:pos x="T17" y="T19"/>
            </a:cxn>
            <a:cxn ang="0">
              <a:pos x="T21" y="T23"/>
            </a:cxn>
            <a:cxn ang="0">
              <a:pos x="T25" y="T27"/>
            </a:cxn>
            <a:cxn ang="0">
              <a:pos x="T29" y="T31"/>
            </a:cxn>
          </a:cxnLst>
          <a:rect l="0" t="0" r="r" b="b"/>
          <a:pathLst>
            <a:path w="1504" h="9695">
              <a:moveTo>
                <a:pt x="-21583" y="67219"/>
              </a:moveTo>
              <a:lnTo>
                <a:pt x="-21493" y="67293"/>
              </a:lnTo>
              <a:lnTo>
                <a:pt x="-21493" y="67746"/>
              </a:lnTo>
              <a:lnTo>
                <a:pt x="-21402" y="67798"/>
              </a:lnTo>
              <a:moveTo>
                <a:pt x="-21583" y="68383"/>
              </a:moveTo>
              <a:lnTo>
                <a:pt x="-21493" y="68309"/>
              </a:lnTo>
              <a:lnTo>
                <a:pt x="-21493" y="67845"/>
              </a:lnTo>
              <a:lnTo>
                <a:pt x="-21402" y="67793"/>
              </a:lnTo>
            </a:path>
          </a:pathLst>
        </a:custGeom>
        <a:noFill/>
        <a:ln w="10160">
          <a:solidFill>
            <a:srgbClr val="231F2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0.05847</cdr:x>
      <cdr:y>0.83482</cdr:y>
    </cdr:from>
    <cdr:to>
      <cdr:x>0.95032</cdr:x>
      <cdr:y>0.96229</cdr:y>
    </cdr:to>
    <cdr:sp macro="" textlink="">
      <cdr:nvSpPr>
        <cdr:cNvPr id="4" name="Rectangle 3"/>
        <cdr:cNvSpPr/>
      </cdr:nvSpPr>
      <cdr:spPr>
        <a:xfrm xmlns:a="http://schemas.openxmlformats.org/drawingml/2006/main">
          <a:off x="533400" y="4701600"/>
          <a:ext cx="8136577" cy="71789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Around 170, total population was about 170 millions inhabitants in India, 140 millions in China and 100 millions in Eruope (about 125 millions if one includes the territories corresponding to today's Russia, Belarus and Ukraine). In 2050, according to UN projections, total population will be 1,7 billion in India, 1,3 billion in China and 550 millions in Europe (EU+) (720 millions if one includes Russia, Belarus and Ukraine).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8.1).</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0.02459</cdr:x>
      <cdr:y>0.84241</cdr:y>
    </cdr:from>
    <cdr:to>
      <cdr:x>0.98452</cdr:x>
      <cdr:y>0.97893</cdr:y>
    </cdr:to>
    <cdr:sp macro="" textlink="">
      <cdr:nvSpPr>
        <cdr:cNvPr id="26" name="Rectangle 25"/>
        <cdr:cNvSpPr/>
      </cdr:nvSpPr>
      <cdr:spPr>
        <a:xfrm xmlns:a="http://schemas.openxmlformats.org/drawingml/2006/main">
          <a:off x="228591" y="5113909"/>
          <a:ext cx="8923893" cy="82875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2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200" b="0" i="0" baseline="0">
              <a:solidFill>
                <a:sysClr val="windowText" lastClr="000000"/>
              </a:solidFill>
              <a:effectLst/>
              <a:latin typeface="Arial" panose="020B0604020202020204" pitchFamily="34" charset="0"/>
              <a:ea typeface="+mn-ea"/>
              <a:cs typeface="Arial" panose="020B0604020202020204" pitchFamily="34" charset="0"/>
            </a:rPr>
            <a:t> in the 2011 census, 80% of India's population was reported as "hindus", 14% as "muslims" and 6% from another religion (sikhs, christians, buddhists, no religion, etc.). These figures were 75%, 20% and 5% in the colonial census of 1871; 72%, 24% and 4% in that of 1941; then 84%, 10% and 6% in the first census conducted by independant India in 1951 (given the partition with Pakistan and Bengladesh).  </a:t>
          </a:r>
          <a:r>
            <a:rPr lang="fr-FR" sz="12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2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8.2).</a:t>
          </a:r>
          <a:endParaRPr lang="fr-FR">
            <a:effectLst/>
            <a:latin typeface="Arial Narrow" panose="020B0606020202030204" pitchFamily="34" charset="0"/>
          </a:endParaRPr>
        </a:p>
      </cdr:txBody>
    </cdr:sp>
  </cdr:relSizeAnchor>
  <cdr:relSizeAnchor xmlns:cdr="http://schemas.openxmlformats.org/drawingml/2006/chartDrawing">
    <cdr:from>
      <cdr:x>0</cdr:x>
      <cdr:y>0.12754</cdr:y>
    </cdr:from>
    <cdr:to>
      <cdr:x>0.19224</cdr:x>
      <cdr:y>0.20894</cdr:y>
    </cdr:to>
    <cdr:sp macro="" textlink="">
      <cdr:nvSpPr>
        <cdr:cNvPr id="19" name="ZoneTexte 1"/>
        <cdr:cNvSpPr txBox="1"/>
      </cdr:nvSpPr>
      <cdr:spPr>
        <a:xfrm xmlns:a="http://schemas.openxmlformats.org/drawingml/2006/main">
          <a:off x="0" y="774221"/>
          <a:ext cx="1787140" cy="49414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20%</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0.03574</cdr:y>
    </cdr:from>
    <cdr:to>
      <cdr:x>0.19224</cdr:x>
      <cdr:y>0.11714</cdr:y>
    </cdr:to>
    <cdr:sp macro="" textlink="">
      <cdr:nvSpPr>
        <cdr:cNvPr id="22" name="ZoneTexte 1"/>
        <cdr:cNvSpPr txBox="1"/>
      </cdr:nvSpPr>
      <cdr:spPr>
        <a:xfrm xmlns:a="http://schemas.openxmlformats.org/drawingml/2006/main">
          <a:off x="0" y="216962"/>
          <a:ext cx="1787140"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5%</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0.00234</cdr:x>
      <cdr:y>0.71877</cdr:y>
    </cdr:from>
    <cdr:to>
      <cdr:x>0.19458</cdr:x>
      <cdr:y>0.80017</cdr:y>
    </cdr:to>
    <cdr:sp macro="" textlink="">
      <cdr:nvSpPr>
        <cdr:cNvPr id="24" name="ZoneTexte 1"/>
        <cdr:cNvSpPr txBox="1"/>
      </cdr:nvSpPr>
      <cdr:spPr>
        <a:xfrm xmlns:a="http://schemas.openxmlformats.org/drawingml/2006/main">
          <a:off x="21786" y="4363363"/>
          <a:ext cx="1787140"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75%</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0.91424</cdr:x>
      <cdr:y>0.04723</cdr:y>
    </cdr:from>
    <cdr:to>
      <cdr:x>0.98725</cdr:x>
      <cdr:y>0.11312</cdr:y>
    </cdr:to>
    <cdr:sp macro="" textlink="">
      <cdr:nvSpPr>
        <cdr:cNvPr id="33" name="ZoneTexte 1"/>
        <cdr:cNvSpPr txBox="1"/>
      </cdr:nvSpPr>
      <cdr:spPr>
        <a:xfrm xmlns:a="http://schemas.openxmlformats.org/drawingml/2006/main">
          <a:off x="8499137" y="286737"/>
          <a:ext cx="678730" cy="399992"/>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6%</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0.9208</cdr:x>
      <cdr:y>0.13347</cdr:y>
    </cdr:from>
    <cdr:to>
      <cdr:x>0.98069</cdr:x>
      <cdr:y>0.18986</cdr:y>
    </cdr:to>
    <cdr:sp macro="" textlink="">
      <cdr:nvSpPr>
        <cdr:cNvPr id="35" name="ZoneTexte 1"/>
        <cdr:cNvSpPr txBox="1"/>
      </cdr:nvSpPr>
      <cdr:spPr>
        <a:xfrm xmlns:a="http://schemas.openxmlformats.org/drawingml/2006/main">
          <a:off x="8560108" y="810215"/>
          <a:ext cx="556761" cy="34232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14%</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0.91623</cdr:x>
      <cdr:y>0.7136</cdr:y>
    </cdr:from>
    <cdr:to>
      <cdr:x>0.98049</cdr:x>
      <cdr:y>0.795</cdr:y>
    </cdr:to>
    <cdr:sp macro="" textlink="">
      <cdr:nvSpPr>
        <cdr:cNvPr id="37" name="ZoneTexte 1"/>
        <cdr:cNvSpPr txBox="1"/>
      </cdr:nvSpPr>
      <cdr:spPr>
        <a:xfrm xmlns:a="http://schemas.openxmlformats.org/drawingml/2006/main">
          <a:off x="8517684" y="4331963"/>
          <a:ext cx="597386"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80%</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0.32787</cdr:x>
      <cdr:y>0.4742</cdr:y>
    </cdr:from>
    <cdr:to>
      <cdr:x>0.43169</cdr:x>
      <cdr:y>0.53417</cdr:y>
    </cdr:to>
    <cdr:sp macro="" textlink="">
      <cdr:nvSpPr>
        <cdr:cNvPr id="13" name="ZoneTexte 1"/>
        <cdr:cNvSpPr txBox="1"/>
      </cdr:nvSpPr>
      <cdr:spPr>
        <a:xfrm xmlns:a="http://schemas.openxmlformats.org/drawingml/2006/main">
          <a:off x="3048011" y="2878679"/>
          <a:ext cx="965189" cy="364053"/>
        </a:xfrm>
        <a:prstGeom xmlns:a="http://schemas.openxmlformats.org/drawingml/2006/main" prst="rect">
          <a:avLst/>
        </a:prstGeom>
        <a:solidFill xmlns:a="http://schemas.openxmlformats.org/drawingml/2006/main">
          <a:sysClr val="window" lastClr="FFFFFF"/>
        </a:solidFill>
        <a:ln xmlns:a="http://schemas.openxmlformats.org/drawingml/2006/main">
          <a:solidFill>
            <a:schemeClr val="accent6"/>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chemeClr val="accent6"/>
              </a:solidFill>
              <a:latin typeface="Arial" panose="020B0604020202020204" pitchFamily="34" charset="0"/>
              <a:cs typeface="Arial" panose="020B0604020202020204" pitchFamily="34" charset="0"/>
            </a:rPr>
            <a:t>Hindus</a:t>
          </a:r>
          <a:endParaRPr lang="fr-FR" sz="1300" b="0" i="0">
            <a:solidFill>
              <a:schemeClr val="accent6"/>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0.32423</cdr:x>
      <cdr:y>0.15482</cdr:y>
    </cdr:from>
    <cdr:to>
      <cdr:x>0.43443</cdr:x>
      <cdr:y>0.21479</cdr:y>
    </cdr:to>
    <cdr:sp macro="" textlink="">
      <cdr:nvSpPr>
        <cdr:cNvPr id="15" name="ZoneTexte 1"/>
        <cdr:cNvSpPr txBox="1"/>
      </cdr:nvSpPr>
      <cdr:spPr>
        <a:xfrm xmlns:a="http://schemas.openxmlformats.org/drawingml/2006/main">
          <a:off x="3014172" y="939850"/>
          <a:ext cx="1024428" cy="364054"/>
        </a:xfrm>
        <a:prstGeom xmlns:a="http://schemas.openxmlformats.org/drawingml/2006/main" prst="rect">
          <a:avLst/>
        </a:prstGeom>
        <a:solidFill xmlns:a="http://schemas.openxmlformats.org/drawingml/2006/main">
          <a:sysClr val="window" lastClr="FFFFFF"/>
        </a:solidFill>
        <a:ln xmlns:a="http://schemas.openxmlformats.org/drawingml/2006/main">
          <a:solidFill>
            <a:schemeClr val="accent1"/>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a:solidFill>
                <a:schemeClr val="accent1"/>
              </a:solidFill>
              <a:latin typeface="Arial" panose="020B0604020202020204" pitchFamily="34" charset="0"/>
              <a:cs typeface="Arial" panose="020B0604020202020204" pitchFamily="34" charset="0"/>
            </a:rPr>
            <a:t>Muslims</a:t>
          </a:r>
        </a:p>
      </cdr:txBody>
    </cdr:sp>
  </cdr:relSizeAnchor>
  <cdr:relSizeAnchor xmlns:cdr="http://schemas.openxmlformats.org/drawingml/2006/chartDrawing">
    <cdr:from>
      <cdr:x>0.31512</cdr:x>
      <cdr:y>0.05997</cdr:y>
    </cdr:from>
    <cdr:to>
      <cdr:x>0.45902</cdr:x>
      <cdr:y>0.09623</cdr:y>
    </cdr:to>
    <cdr:sp macro="" textlink="">
      <cdr:nvSpPr>
        <cdr:cNvPr id="17" name="ZoneTexte 1"/>
        <cdr:cNvSpPr txBox="1"/>
      </cdr:nvSpPr>
      <cdr:spPr>
        <a:xfrm xmlns:a="http://schemas.openxmlformats.org/drawingml/2006/main">
          <a:off x="2929466" y="364069"/>
          <a:ext cx="1337733" cy="220132"/>
        </a:xfrm>
        <a:prstGeom xmlns:a="http://schemas.openxmlformats.org/drawingml/2006/main" prst="rect">
          <a:avLst/>
        </a:prstGeom>
        <a:solidFill xmlns:a="http://schemas.openxmlformats.org/drawingml/2006/main">
          <a:sysClr val="window" lastClr="FFFFFF"/>
        </a:solidFill>
        <a:ln xmlns:a="http://schemas.openxmlformats.org/drawingml/2006/main">
          <a:solidFill>
            <a:schemeClr val="accent3"/>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a:solidFill>
                <a:schemeClr val="accent3"/>
              </a:solidFill>
              <a:latin typeface="Arial" panose="020B0604020202020204" pitchFamily="34" charset="0"/>
              <a:cs typeface="Arial" panose="020B0604020202020204" pitchFamily="34" charset="0"/>
            </a:rPr>
            <a:t>Other religions</a:t>
          </a:r>
        </a:p>
      </cdr:txBody>
    </cdr:sp>
  </cdr:relSizeAnchor>
  <cdr:relSizeAnchor xmlns:cdr="http://schemas.openxmlformats.org/drawingml/2006/chartDrawing">
    <cdr:from>
      <cdr:x>0.49362</cdr:x>
      <cdr:y>0.71967</cdr:y>
    </cdr:from>
    <cdr:to>
      <cdr:x>0.55738</cdr:x>
      <cdr:y>0.80107</cdr:y>
    </cdr:to>
    <cdr:sp macro="" textlink="">
      <cdr:nvSpPr>
        <cdr:cNvPr id="21" name="ZoneTexte 1"/>
        <cdr:cNvSpPr txBox="1"/>
      </cdr:nvSpPr>
      <cdr:spPr>
        <a:xfrm xmlns:a="http://schemas.openxmlformats.org/drawingml/2006/main">
          <a:off x="4588934" y="4368800"/>
          <a:ext cx="592666"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72%</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0.5592</cdr:x>
      <cdr:y>0.71967</cdr:y>
    </cdr:from>
    <cdr:to>
      <cdr:x>0.62295</cdr:x>
      <cdr:y>0.80107</cdr:y>
    </cdr:to>
    <cdr:sp macro="" textlink="">
      <cdr:nvSpPr>
        <cdr:cNvPr id="27" name="ZoneTexte 1"/>
        <cdr:cNvSpPr txBox="1"/>
      </cdr:nvSpPr>
      <cdr:spPr>
        <a:xfrm xmlns:a="http://schemas.openxmlformats.org/drawingml/2006/main">
          <a:off x="5198534" y="4368800"/>
          <a:ext cx="592666"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84%</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0.55556</cdr:x>
      <cdr:y>0.10181</cdr:y>
    </cdr:from>
    <cdr:to>
      <cdr:x>0.61931</cdr:x>
      <cdr:y>0.18321</cdr:y>
    </cdr:to>
    <cdr:sp macro="" textlink="">
      <cdr:nvSpPr>
        <cdr:cNvPr id="28" name="ZoneTexte 1"/>
        <cdr:cNvSpPr txBox="1"/>
      </cdr:nvSpPr>
      <cdr:spPr>
        <a:xfrm xmlns:a="http://schemas.openxmlformats.org/drawingml/2006/main">
          <a:off x="5164668" y="618067"/>
          <a:ext cx="592666"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10%</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0.55373</cdr:x>
      <cdr:y>0.03487</cdr:y>
    </cdr:from>
    <cdr:to>
      <cdr:x>0.61749</cdr:x>
      <cdr:y>0.11627</cdr:y>
    </cdr:to>
    <cdr:sp macro="" textlink="">
      <cdr:nvSpPr>
        <cdr:cNvPr id="29" name="ZoneTexte 1"/>
        <cdr:cNvSpPr txBox="1"/>
      </cdr:nvSpPr>
      <cdr:spPr>
        <a:xfrm xmlns:a="http://schemas.openxmlformats.org/drawingml/2006/main">
          <a:off x="5147734" y="211666"/>
          <a:ext cx="592666"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6%</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0.48543</cdr:x>
      <cdr:y>0.02789</cdr:y>
    </cdr:from>
    <cdr:to>
      <cdr:x>0.54918</cdr:x>
      <cdr:y>0.10929</cdr:y>
    </cdr:to>
    <cdr:sp macro="" textlink="">
      <cdr:nvSpPr>
        <cdr:cNvPr id="31" name="ZoneTexte 1"/>
        <cdr:cNvSpPr txBox="1"/>
      </cdr:nvSpPr>
      <cdr:spPr>
        <a:xfrm xmlns:a="http://schemas.openxmlformats.org/drawingml/2006/main">
          <a:off x="4512733" y="169333"/>
          <a:ext cx="592666"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4%</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0.48634</cdr:x>
      <cdr:y>0.159</cdr:y>
    </cdr:from>
    <cdr:to>
      <cdr:x>0.55009</cdr:x>
      <cdr:y>0.2404</cdr:y>
    </cdr:to>
    <cdr:sp macro="" textlink="">
      <cdr:nvSpPr>
        <cdr:cNvPr id="32" name="ZoneTexte 1"/>
        <cdr:cNvSpPr txBox="1"/>
      </cdr:nvSpPr>
      <cdr:spPr>
        <a:xfrm xmlns:a="http://schemas.openxmlformats.org/drawingml/2006/main">
          <a:off x="4521200" y="965200"/>
          <a:ext cx="592666"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24%</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0.09016</cdr:x>
      <cdr:y>0.64575</cdr:y>
    </cdr:from>
    <cdr:to>
      <cdr:x>0.53643</cdr:x>
      <cdr:y>0.68619</cdr:y>
    </cdr:to>
    <cdr:sp macro="" textlink="">
      <cdr:nvSpPr>
        <cdr:cNvPr id="34" name="ZoneTexte 1"/>
        <cdr:cNvSpPr txBox="1"/>
      </cdr:nvSpPr>
      <cdr:spPr>
        <a:xfrm xmlns:a="http://schemas.openxmlformats.org/drawingml/2006/main">
          <a:off x="838200" y="3920066"/>
          <a:ext cx="4148667" cy="245534"/>
        </a:xfrm>
        <a:prstGeom xmlns:a="http://schemas.openxmlformats.org/drawingml/2006/main" prst="rect">
          <a:avLst/>
        </a:prstGeom>
        <a:solidFill xmlns:a="http://schemas.openxmlformats.org/drawingml/2006/main">
          <a:sysClr val="window" lastClr="FFFFFF"/>
        </a:solidFill>
        <a:ln xmlns:a="http://schemas.openxmlformats.org/drawingml/2006/main">
          <a:solidFill>
            <a:schemeClr val="accent6"/>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a:solidFill>
                <a:sysClr val="windowText" lastClr="000000"/>
              </a:solidFill>
              <a:latin typeface="Arial" panose="020B0604020202020204" pitchFamily="34" charset="0"/>
              <a:cs typeface="Arial" panose="020B0604020202020204" pitchFamily="34" charset="0"/>
            </a:rPr>
            <a:t>1871-1941:</a:t>
          </a:r>
          <a:r>
            <a:rPr lang="fr-FR" sz="1300" b="0" i="0" baseline="0">
              <a:solidFill>
                <a:sysClr val="windowText" lastClr="000000"/>
              </a:solidFill>
              <a:latin typeface="Arial" panose="020B0604020202020204" pitchFamily="34" charset="0"/>
              <a:cs typeface="Arial" panose="020B0604020202020204" pitchFamily="34" charset="0"/>
            </a:rPr>
            <a:t> censuses of British Indian Empire</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0.55191</cdr:x>
      <cdr:y>0.64714</cdr:y>
    </cdr:from>
    <cdr:to>
      <cdr:x>0.9663</cdr:x>
      <cdr:y>0.68759</cdr:y>
    </cdr:to>
    <cdr:sp macro="" textlink="">
      <cdr:nvSpPr>
        <cdr:cNvPr id="36" name="ZoneTexte 1"/>
        <cdr:cNvSpPr txBox="1"/>
      </cdr:nvSpPr>
      <cdr:spPr>
        <a:xfrm xmlns:a="http://schemas.openxmlformats.org/drawingml/2006/main">
          <a:off x="5130800" y="3928533"/>
          <a:ext cx="3852333" cy="245534"/>
        </a:xfrm>
        <a:prstGeom xmlns:a="http://schemas.openxmlformats.org/drawingml/2006/main" prst="rect">
          <a:avLst/>
        </a:prstGeom>
        <a:solidFill xmlns:a="http://schemas.openxmlformats.org/drawingml/2006/main">
          <a:sysClr val="window" lastClr="FFFFFF"/>
        </a:solidFill>
        <a:ln xmlns:a="http://schemas.openxmlformats.org/drawingml/2006/main">
          <a:solidFill>
            <a:schemeClr val="accent6"/>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a:solidFill>
                <a:sysClr val="windowText" lastClr="000000"/>
              </a:solidFill>
              <a:latin typeface="Arial" panose="020B0604020202020204" pitchFamily="34" charset="0"/>
              <a:cs typeface="Arial" panose="020B0604020202020204" pitchFamily="34" charset="0"/>
            </a:rPr>
            <a:t>1951-2011:</a:t>
          </a:r>
          <a:r>
            <a:rPr lang="fr-FR" sz="1300" b="0" i="0" baseline="0">
              <a:solidFill>
                <a:sysClr val="windowText" lastClr="000000"/>
              </a:solidFill>
              <a:latin typeface="Arial" panose="020B0604020202020204" pitchFamily="34" charset="0"/>
              <a:cs typeface="Arial" panose="020B0604020202020204" pitchFamily="34" charset="0"/>
            </a:rPr>
            <a:t> censuses of independant India</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0.08733</cdr:x>
      <cdr:y>0.53567</cdr:y>
    </cdr:from>
    <cdr:to>
      <cdr:x>0.16499</cdr:x>
      <cdr:y>0.62057</cdr:y>
    </cdr:to>
    <cdr:sp macro="" textlink="">
      <cdr:nvSpPr>
        <cdr:cNvPr id="7" name="ZoneTexte 6"/>
        <cdr:cNvSpPr txBox="1"/>
      </cdr:nvSpPr>
      <cdr:spPr>
        <a:xfrm xmlns:a="http://schemas.openxmlformats.org/drawingml/2006/main">
          <a:off x="804326" y="3006415"/>
          <a:ext cx="715244" cy="47649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a:latin typeface="Arial" panose="020B0604020202020204" pitchFamily="34" charset="0"/>
              <a:cs typeface="Arial" panose="020B0604020202020204" pitchFamily="34" charset="0"/>
            </a:rPr>
            <a:t>Clergy</a:t>
          </a:r>
        </a:p>
      </cdr:txBody>
    </cdr:sp>
  </cdr:relSizeAnchor>
  <cdr:relSizeAnchor xmlns:cdr="http://schemas.openxmlformats.org/drawingml/2006/chartDrawing">
    <cdr:from>
      <cdr:x>0.15412</cdr:x>
      <cdr:y>0.66272</cdr:y>
    </cdr:from>
    <cdr:to>
      <cdr:x>0.244</cdr:x>
      <cdr:y>0.83254</cdr:y>
    </cdr:to>
    <cdr:sp macro="" textlink="">
      <cdr:nvSpPr>
        <cdr:cNvPr id="8" name="ZoneTexte 7"/>
        <cdr:cNvSpPr txBox="1"/>
      </cdr:nvSpPr>
      <cdr:spPr>
        <a:xfrm xmlns:a="http://schemas.openxmlformats.org/drawingml/2006/main">
          <a:off x="1419436" y="3719473"/>
          <a:ext cx="827790" cy="9531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a:latin typeface="Arial" panose="020B0604020202020204" pitchFamily="34" charset="0"/>
              <a:cs typeface="Arial" panose="020B0604020202020204" pitchFamily="34" charset="0"/>
            </a:rPr>
            <a:t>Nobility</a:t>
          </a:r>
        </a:p>
      </cdr:txBody>
    </cdr:sp>
  </cdr:relSizeAnchor>
  <cdr:relSizeAnchor xmlns:cdr="http://schemas.openxmlformats.org/drawingml/2006/chartDrawing">
    <cdr:from>
      <cdr:x>0.3031</cdr:x>
      <cdr:y>0.6595</cdr:y>
    </cdr:from>
    <cdr:to>
      <cdr:x>0.393</cdr:x>
      <cdr:y>0.76461</cdr:y>
    </cdr:to>
    <cdr:sp macro="" textlink="">
      <cdr:nvSpPr>
        <cdr:cNvPr id="9" name="ZoneTexte 8"/>
        <cdr:cNvSpPr txBox="1"/>
      </cdr:nvSpPr>
      <cdr:spPr>
        <a:xfrm xmlns:a="http://schemas.openxmlformats.org/drawingml/2006/main">
          <a:off x="2791558" y="3701401"/>
          <a:ext cx="827941" cy="5899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Nobility</a:t>
          </a:r>
        </a:p>
      </cdr:txBody>
    </cdr:sp>
  </cdr:relSizeAnchor>
  <cdr:relSizeAnchor xmlns:cdr="http://schemas.openxmlformats.org/drawingml/2006/chartDrawing">
    <cdr:from>
      <cdr:x>0.67602</cdr:x>
      <cdr:y>0.26293</cdr:y>
    </cdr:from>
    <cdr:to>
      <cdr:x>0.78123</cdr:x>
      <cdr:y>0.37049</cdr:y>
    </cdr:to>
    <cdr:sp macro="" textlink="">
      <cdr:nvSpPr>
        <cdr:cNvPr id="10" name="ZoneTexte 9"/>
        <cdr:cNvSpPr txBox="1"/>
      </cdr:nvSpPr>
      <cdr:spPr>
        <a:xfrm xmlns:a="http://schemas.openxmlformats.org/drawingml/2006/main">
          <a:off x="6226064" y="1475649"/>
          <a:ext cx="968978" cy="60367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a:latin typeface="Arial" panose="020B0604020202020204" pitchFamily="34" charset="0"/>
              <a:cs typeface="Arial" panose="020B0604020202020204" pitchFamily="34" charset="0"/>
            </a:rPr>
            <a:t>Brahmins</a:t>
          </a:r>
        </a:p>
      </cdr:txBody>
    </cdr:sp>
  </cdr:relSizeAnchor>
  <cdr:relSizeAnchor xmlns:cdr="http://schemas.openxmlformats.org/drawingml/2006/chartDrawing">
    <cdr:from>
      <cdr:x>0.75423</cdr:x>
      <cdr:y>0.43241</cdr:y>
    </cdr:from>
    <cdr:to>
      <cdr:x>0.85067</cdr:x>
      <cdr:y>0.53247</cdr:y>
    </cdr:to>
    <cdr:sp macro="" textlink="">
      <cdr:nvSpPr>
        <cdr:cNvPr id="11" name="ZoneTexte 10"/>
        <cdr:cNvSpPr txBox="1"/>
      </cdr:nvSpPr>
      <cdr:spPr>
        <a:xfrm xmlns:a="http://schemas.openxmlformats.org/drawingml/2006/main">
          <a:off x="6946394" y="2426887"/>
          <a:ext cx="888207" cy="5615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Kshatryas</a:t>
          </a:r>
        </a:p>
      </cdr:txBody>
    </cdr:sp>
  </cdr:relSizeAnchor>
  <cdr:relSizeAnchor xmlns:cdr="http://schemas.openxmlformats.org/drawingml/2006/chartDrawing">
    <cdr:from>
      <cdr:x>0.03807</cdr:x>
      <cdr:y>0.862</cdr:y>
    </cdr:from>
    <cdr:to>
      <cdr:x>0.99329</cdr:x>
      <cdr:y>0.99111</cdr:y>
    </cdr:to>
    <cdr:sp macro="" textlink="">
      <cdr:nvSpPr>
        <cdr:cNvPr id="13" name="Rectangle 12"/>
        <cdr:cNvSpPr/>
      </cdr:nvSpPr>
      <cdr:spPr>
        <a:xfrm xmlns:a="http://schemas.openxmlformats.org/drawingml/2006/main">
          <a:off x="350241" y="4830793"/>
          <a:ext cx="8787468" cy="72357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Britain and in France, the two dominant classes of the trifunctional society (clergy and nobility) had a declining numerical importance between the 16th and the 18th century. In India, the numerical signficance of brahmins and kshatryas (ancient classes of priests and warriors), as measured by British colonial censuses, dropped slightly between 1880 and 1930, albeit at significantly higher levels than the corresponding classes in Europe in the 16th-18th centuries.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8.3).</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dr:relSizeAnchor xmlns:cdr="http://schemas.openxmlformats.org/drawingml/2006/chartDrawing">
    <cdr:from>
      <cdr:x>0.23948</cdr:x>
      <cdr:y>0.71995</cdr:y>
    </cdr:from>
    <cdr:to>
      <cdr:x>0.31714</cdr:x>
      <cdr:y>0.80485</cdr:y>
    </cdr:to>
    <cdr:sp macro="" textlink="">
      <cdr:nvSpPr>
        <cdr:cNvPr id="16" name="ZoneTexte 1"/>
        <cdr:cNvSpPr txBox="1"/>
      </cdr:nvSpPr>
      <cdr:spPr>
        <a:xfrm xmlns:a="http://schemas.openxmlformats.org/drawingml/2006/main">
          <a:off x="2205565" y="4040666"/>
          <a:ext cx="715244" cy="4764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Clergy</a:t>
          </a:r>
        </a:p>
      </cdr:txBody>
    </cdr:sp>
  </cdr:relSizeAnchor>
  <cdr:relSizeAnchor xmlns:cdr="http://schemas.openxmlformats.org/drawingml/2006/chartDrawing">
    <cdr:from>
      <cdr:x>0.53606</cdr:x>
      <cdr:y>0.65487</cdr:y>
    </cdr:from>
    <cdr:to>
      <cdr:x>0.61372</cdr:x>
      <cdr:y>0.73977</cdr:y>
    </cdr:to>
    <cdr:sp macro="" textlink="">
      <cdr:nvSpPr>
        <cdr:cNvPr id="18" name="ZoneTexte 1"/>
        <cdr:cNvSpPr txBox="1"/>
      </cdr:nvSpPr>
      <cdr:spPr>
        <a:xfrm xmlns:a="http://schemas.openxmlformats.org/drawingml/2006/main">
          <a:off x="4937061" y="3675422"/>
          <a:ext cx="715244" cy="4764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Clergy</a:t>
          </a:r>
        </a:p>
      </cdr:txBody>
    </cdr:sp>
  </cdr:relSizeAnchor>
  <cdr:relSizeAnchor xmlns:cdr="http://schemas.openxmlformats.org/drawingml/2006/chartDrawing">
    <cdr:from>
      <cdr:x>0.45382</cdr:x>
      <cdr:y>0.65246</cdr:y>
    </cdr:from>
    <cdr:to>
      <cdr:x>0.5437</cdr:x>
      <cdr:y>0.82228</cdr:y>
    </cdr:to>
    <cdr:sp macro="" textlink="">
      <cdr:nvSpPr>
        <cdr:cNvPr id="19" name="ZoneTexte 1"/>
        <cdr:cNvSpPr txBox="1"/>
      </cdr:nvSpPr>
      <cdr:spPr>
        <a:xfrm xmlns:a="http://schemas.openxmlformats.org/drawingml/2006/main">
          <a:off x="4179617" y="3661890"/>
          <a:ext cx="827790" cy="9531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Nobility</a:t>
          </a:r>
        </a:p>
      </cdr:txBody>
    </cdr:sp>
  </cdr:relSizeAnchor>
  <cdr:relSizeAnchor xmlns:cdr="http://schemas.openxmlformats.org/drawingml/2006/chartDrawing">
    <cdr:from>
      <cdr:x>0.60483</cdr:x>
      <cdr:y>0.73698</cdr:y>
    </cdr:from>
    <cdr:to>
      <cdr:x>0.69472</cdr:x>
      <cdr:y>0.79634</cdr:y>
    </cdr:to>
    <cdr:sp macro="" textlink="">
      <cdr:nvSpPr>
        <cdr:cNvPr id="20" name="ZoneTexte 1"/>
        <cdr:cNvSpPr txBox="1"/>
      </cdr:nvSpPr>
      <cdr:spPr>
        <a:xfrm xmlns:a="http://schemas.openxmlformats.org/drawingml/2006/main">
          <a:off x="5570480" y="4136270"/>
          <a:ext cx="827882" cy="3331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Nobility</a:t>
          </a:r>
        </a:p>
      </cdr:txBody>
    </cdr:sp>
  </cdr:relSizeAnchor>
  <cdr:relSizeAnchor xmlns:cdr="http://schemas.openxmlformats.org/drawingml/2006/chartDrawing">
    <cdr:from>
      <cdr:x>0.38796</cdr:x>
      <cdr:y>0.51885</cdr:y>
    </cdr:from>
    <cdr:to>
      <cdr:x>0.46301</cdr:x>
      <cdr:y>0.62396</cdr:y>
    </cdr:to>
    <cdr:sp macro="" textlink="">
      <cdr:nvSpPr>
        <cdr:cNvPr id="21" name="ZoneTexte 1"/>
        <cdr:cNvSpPr txBox="1"/>
      </cdr:nvSpPr>
      <cdr:spPr>
        <a:xfrm xmlns:a="http://schemas.openxmlformats.org/drawingml/2006/main">
          <a:off x="3573108" y="2912017"/>
          <a:ext cx="691161" cy="5899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Clergy</a:t>
          </a:r>
        </a:p>
      </cdr:txBody>
    </cdr:sp>
  </cdr:relSizeAnchor>
  <cdr:relSizeAnchor xmlns:cdr="http://schemas.openxmlformats.org/drawingml/2006/chartDrawing">
    <cdr:from>
      <cdr:x>0.82652</cdr:x>
      <cdr:y>0.26232</cdr:y>
    </cdr:from>
    <cdr:to>
      <cdr:x>0.93173</cdr:x>
      <cdr:y>0.36988</cdr:y>
    </cdr:to>
    <cdr:sp macro="" textlink="">
      <cdr:nvSpPr>
        <cdr:cNvPr id="17" name="ZoneTexte 1"/>
        <cdr:cNvSpPr txBox="1"/>
      </cdr:nvSpPr>
      <cdr:spPr>
        <a:xfrm xmlns:a="http://schemas.openxmlformats.org/drawingml/2006/main">
          <a:off x="7612202" y="1472231"/>
          <a:ext cx="968978" cy="60367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Brahmins</a:t>
          </a:r>
        </a:p>
      </cdr:txBody>
    </cdr:sp>
  </cdr:relSizeAnchor>
  <cdr:relSizeAnchor xmlns:cdr="http://schemas.openxmlformats.org/drawingml/2006/chartDrawing">
    <cdr:from>
      <cdr:x>0.90356</cdr:x>
      <cdr:y>0.43333</cdr:y>
    </cdr:from>
    <cdr:to>
      <cdr:x>1</cdr:x>
      <cdr:y>0.53339</cdr:y>
    </cdr:to>
    <cdr:sp macro="" textlink="">
      <cdr:nvSpPr>
        <cdr:cNvPr id="24" name="ZoneTexte 1"/>
        <cdr:cNvSpPr txBox="1"/>
      </cdr:nvSpPr>
      <cdr:spPr>
        <a:xfrm xmlns:a="http://schemas.openxmlformats.org/drawingml/2006/main">
          <a:off x="8321735" y="2432050"/>
          <a:ext cx="888207" cy="561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Kshatryas</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0.03647</cdr:x>
      <cdr:y>0.83586</cdr:y>
    </cdr:from>
    <cdr:to>
      <cdr:x>0.97356</cdr:x>
      <cdr:y>0.99226</cdr:y>
    </cdr:to>
    <cdr:sp macro="" textlink="">
      <cdr:nvSpPr>
        <cdr:cNvPr id="4" name="Rectangle 3"/>
        <cdr:cNvSpPr/>
      </cdr:nvSpPr>
      <cdr:spPr>
        <a:xfrm xmlns:a="http://schemas.openxmlformats.org/drawingml/2006/main">
          <a:off x="333454" y="4708949"/>
          <a:ext cx="8568751" cy="88110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results reported here were obtained from British colonial censuses conducted between 1871 and 1931 and from post-electoral surveys (self-declaration) conducted between 1962 and 2014. One observes a relative stability over time of the fraction of the population registered as brahmins (ancient class of priests and intellectuals), kshatryas (rajputs) (ancient class of warriors) and other upper castes: vaishyas (banias) (craftsmen, tradepeople) and kayasths (writers, accountants). Other local upper castes such as marathas (about 2% of total population) were not included here.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8.4).</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ydiaassouad/Desktop/Texte/China,%20Russia/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piketty/Dropbox/WIDMiddleEast/AlvaredoAssouadPiketty2017MiddleEast/All%20couples%201970%20to%202004%20MFTTAWE%20comparis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election activeCell="A2" sqref="A2"/>
    </sheetView>
  </sheetViews>
  <sheetFormatPr baseColWidth="10" defaultColWidth="8.77734375" defaultRowHeight="14.4" x14ac:dyDescent="0.3"/>
  <cols>
    <col min="1" max="1" width="15.33203125" customWidth="1"/>
  </cols>
  <sheetData>
    <row r="1" spans="1:1" ht="15.6" x14ac:dyDescent="0.3">
      <c r="A1" s="379" t="s">
        <v>548</v>
      </c>
    </row>
    <row r="2" spans="1:1" ht="15.6" x14ac:dyDescent="0.3">
      <c r="A2" s="19" t="s">
        <v>527</v>
      </c>
    </row>
    <row r="3" spans="1:1" ht="15.6" x14ac:dyDescent="0.3">
      <c r="A3" s="1" t="s">
        <v>531</v>
      </c>
    </row>
    <row r="5" spans="1:1" ht="15.6" x14ac:dyDescent="0.3">
      <c r="A5" s="19" t="s">
        <v>528</v>
      </c>
    </row>
    <row r="6" spans="1:1" ht="15.6" x14ac:dyDescent="0.3">
      <c r="A6" s="1" t="s">
        <v>529</v>
      </c>
    </row>
    <row r="7" spans="1:1" ht="15.6" x14ac:dyDescent="0.3">
      <c r="A7" s="1" t="s">
        <v>530</v>
      </c>
    </row>
    <row r="8" spans="1:1" ht="15.6" x14ac:dyDescent="0.3">
      <c r="A8" s="1"/>
    </row>
    <row r="9" spans="1:1" ht="15.6" x14ac:dyDescent="0.3">
      <c r="A9" s="19"/>
    </row>
    <row r="10" spans="1:1" ht="15.6" x14ac:dyDescent="0.3">
      <c r="A10" s="1"/>
    </row>
    <row r="11" spans="1:1" ht="15.6" x14ac:dyDescent="0.3">
      <c r="A11" s="1"/>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heetViews>
  <sheetFormatPr baseColWidth="10" defaultRowHeight="14.4" x14ac:dyDescent="0.3"/>
  <cols>
    <col min="1" max="1" width="22.77734375" customWidth="1"/>
  </cols>
  <sheetData>
    <row r="1" spans="1:17" ht="15.6" x14ac:dyDescent="0.3">
      <c r="A1" s="19" t="s">
        <v>399</v>
      </c>
      <c r="B1" s="1"/>
      <c r="C1" s="1"/>
      <c r="D1" s="1"/>
      <c r="E1" s="1"/>
      <c r="F1" s="1"/>
      <c r="G1" s="1"/>
      <c r="H1" s="1"/>
      <c r="I1" s="1"/>
      <c r="J1" s="1"/>
      <c r="K1" s="1"/>
      <c r="L1" s="1"/>
      <c r="M1" s="1"/>
      <c r="N1" s="1"/>
      <c r="O1" s="1"/>
      <c r="P1" s="1"/>
      <c r="Q1" s="1"/>
    </row>
    <row r="2" spans="1:17" ht="15.6" x14ac:dyDescent="0.3">
      <c r="A2" s="1" t="s">
        <v>301</v>
      </c>
      <c r="B2" s="1"/>
      <c r="C2" s="1"/>
      <c r="D2" s="1"/>
      <c r="E2" s="1"/>
      <c r="F2" s="1"/>
      <c r="G2" s="1"/>
      <c r="H2" s="1"/>
      <c r="I2" s="1"/>
      <c r="J2" s="1"/>
      <c r="K2" s="1"/>
      <c r="L2" s="1"/>
      <c r="M2" s="1"/>
      <c r="N2" s="1"/>
      <c r="O2" s="1"/>
      <c r="P2" s="1"/>
    </row>
    <row r="3" spans="1:17" ht="15.6" x14ac:dyDescent="0.3">
      <c r="A3" s="1"/>
      <c r="B3" s="23">
        <v>1871</v>
      </c>
      <c r="C3" s="23">
        <v>1881</v>
      </c>
      <c r="D3" s="23">
        <v>1891</v>
      </c>
      <c r="E3" s="23">
        <v>1901</v>
      </c>
      <c r="F3" s="23">
        <v>1911</v>
      </c>
      <c r="G3" s="23">
        <v>1921</v>
      </c>
      <c r="H3" s="23">
        <v>1931</v>
      </c>
      <c r="I3" s="23">
        <v>1962</v>
      </c>
      <c r="J3" s="23">
        <v>1967</v>
      </c>
      <c r="K3" s="23">
        <v>1971</v>
      </c>
      <c r="L3" s="23">
        <v>1977</v>
      </c>
      <c r="M3" s="23">
        <v>1996</v>
      </c>
      <c r="N3" s="23">
        <v>1999</v>
      </c>
      <c r="O3" s="23">
        <v>2004</v>
      </c>
      <c r="P3" s="23">
        <v>2009</v>
      </c>
      <c r="Q3" s="23">
        <v>2014</v>
      </c>
    </row>
    <row r="4" spans="1:17" ht="49.95" customHeight="1" x14ac:dyDescent="0.3">
      <c r="A4" s="120" t="s">
        <v>405</v>
      </c>
      <c r="B4" s="122">
        <f>B13</f>
        <v>6.7447225480751008E-2</v>
      </c>
      <c r="C4" s="122">
        <f t="shared" ref="C4:E4" si="0">C13</f>
        <v>6.5648718758617455E-2</v>
      </c>
      <c r="D4" s="122">
        <f t="shared" si="0"/>
        <v>6.4518070458762372E-2</v>
      </c>
      <c r="E4" s="122">
        <f t="shared" si="0"/>
        <v>6.4268958632454132E-2</v>
      </c>
      <c r="F4" s="122">
        <f t="shared" ref="F4:G4" si="1">F13</f>
        <v>5.9100394494825986E-2</v>
      </c>
      <c r="G4" s="122">
        <f t="shared" si="1"/>
        <v>5.7663942453913736E-2</v>
      </c>
      <c r="H4" s="122">
        <f t="shared" ref="H4" si="2">H13</f>
        <v>5.5772427671718534E-2</v>
      </c>
      <c r="I4" s="122">
        <f>'NES1962-2014'!L14</f>
        <v>6.5863768016615365E-2</v>
      </c>
      <c r="J4" s="122">
        <f>'NES1962-2014'!M14</f>
        <v>6.7037729538500831E-2</v>
      </c>
      <c r="K4" s="122">
        <f>'NES1962-2014'!N14</f>
        <v>7.1347505343074991E-2</v>
      </c>
      <c r="L4" s="122">
        <f>'NES1962-2014'!O14</f>
        <v>6.5407239766404501E-2</v>
      </c>
      <c r="M4" s="122">
        <f>'NES1962-2014'!P14</f>
        <v>5.6158643768461206E-2</v>
      </c>
      <c r="N4" s="122">
        <f>'NES1962-2014'!R14</f>
        <v>6.1279004234779708E-2</v>
      </c>
      <c r="O4" s="122">
        <f>'NES1962-2014'!S14</f>
        <v>6.113851245700936E-2</v>
      </c>
      <c r="P4" s="122">
        <f>'NES1962-2014'!T14</f>
        <v>5.7292817839012938E-2</v>
      </c>
      <c r="Q4" s="122">
        <f>'NES1962-2014'!U14</f>
        <v>6.2418695669032367E-2</v>
      </c>
    </row>
    <row r="5" spans="1:17" ht="49.95" customHeight="1" x14ac:dyDescent="0.3">
      <c r="A5" s="120" t="s">
        <v>225</v>
      </c>
      <c r="B5" s="122">
        <f>B14+B15</f>
        <v>3.7553922611973128E-2</v>
      </c>
      <c r="C5" s="122">
        <f t="shared" ref="C5:E5" si="3">C14+C15</f>
        <v>3.6904358357012994E-2</v>
      </c>
      <c r="D5" s="122">
        <f t="shared" si="3"/>
        <v>4.5376524802534395E-2</v>
      </c>
      <c r="E5" s="122">
        <f t="shared" si="3"/>
        <v>4.6356021803029411E-2</v>
      </c>
      <c r="F5" s="122">
        <f t="shared" ref="F5:G5" si="4">F14+F15</f>
        <v>4.0601734611639025E-2</v>
      </c>
      <c r="G5" s="122">
        <f t="shared" si="4"/>
        <v>4.1685021314070939E-2</v>
      </c>
      <c r="H5" s="122">
        <f t="shared" ref="H5" si="5">H14+H15</f>
        <v>4.1352504889689855E-2</v>
      </c>
      <c r="I5" s="122">
        <f>'NES1962-2014'!L22</f>
        <v>3.881361759904018E-2</v>
      </c>
      <c r="J5" s="122">
        <f>'NES1962-2014'!M22</f>
        <v>3.9970794279791957E-2</v>
      </c>
      <c r="K5" s="122">
        <f>'NES1962-2014'!N22</f>
        <v>4.0870880016032105E-2</v>
      </c>
      <c r="L5" s="122">
        <f>'NES1962-2014'!O22</f>
        <v>4.1896839939895604E-2</v>
      </c>
      <c r="M5" s="122">
        <f>'NES1962-2014'!P22</f>
        <v>4.0124999442202824E-2</v>
      </c>
      <c r="N5" s="122">
        <f>'NES1962-2014'!R22</f>
        <v>4.1965487441896994E-2</v>
      </c>
      <c r="O5" s="122">
        <f>'NES1962-2014'!S22</f>
        <v>4.69138543643026E-2</v>
      </c>
      <c r="P5" s="122">
        <f>'NES1962-2014'!T22</f>
        <v>4.6271394433473001E-2</v>
      </c>
      <c r="Q5" s="122">
        <f>'NES1962-2014'!U22</f>
        <v>4.805259948307658E-2</v>
      </c>
    </row>
    <row r="6" spans="1:17" ht="49.95" customHeight="1" x14ac:dyDescent="0.3">
      <c r="A6" s="120" t="s">
        <v>404</v>
      </c>
      <c r="B6" s="122">
        <f>B16+B17</f>
        <v>2.7976693686359508E-2</v>
      </c>
      <c r="C6" s="122">
        <f t="shared" ref="C6:E6" si="6">C16+C17</f>
        <v>2.2701214521082581E-2</v>
      </c>
      <c r="D6" s="122">
        <f t="shared" si="6"/>
        <v>2.3621109929040887E-2</v>
      </c>
      <c r="E6" s="122">
        <f t="shared" si="6"/>
        <v>2.1781319113124274E-2</v>
      </c>
      <c r="F6" s="122">
        <f t="shared" ref="F6:G6" si="7">F16+F17</f>
        <v>2.3375307395299437E-2</v>
      </c>
      <c r="G6" s="122">
        <f t="shared" si="7"/>
        <v>2.0697946192319447E-2</v>
      </c>
      <c r="H6" s="122">
        <f t="shared" ref="H6" si="8">H16+H17</f>
        <v>2.9789426557441885E-2</v>
      </c>
      <c r="I6" s="122">
        <f>'NES1962-2014'!L20</f>
        <v>3.1339147541472857E-2</v>
      </c>
      <c r="J6" s="122">
        <f>'NES1962-2014'!M20</f>
        <v>3.1032079474651694E-2</v>
      </c>
      <c r="K6" s="122">
        <f>'NES1962-2014'!N20</f>
        <v>3.0217531294546782E-2</v>
      </c>
      <c r="L6" s="122">
        <f>'NES1962-2014'!O20</f>
        <v>3.0189890926963361E-2</v>
      </c>
      <c r="M6" s="122">
        <f>'NES1962-2014'!P20</f>
        <v>3.1605522245970449E-2</v>
      </c>
      <c r="N6" s="122">
        <f>'NES1962-2014'!R20</f>
        <v>3.3384339060734382E-2</v>
      </c>
      <c r="O6" s="122">
        <f>'NES1962-2014'!S20</f>
        <v>2.9189671073724728E-2</v>
      </c>
      <c r="P6" s="122">
        <f>'NES1962-2014'!T20</f>
        <v>2.5330242213917328E-2</v>
      </c>
      <c r="Q6" s="122">
        <f>'NES1962-2014'!U20</f>
        <v>3.0024048721462828E-2</v>
      </c>
    </row>
    <row r="7" spans="1:17" ht="28.2" customHeight="1" x14ac:dyDescent="0.3">
      <c r="A7" s="285" t="s">
        <v>389</v>
      </c>
      <c r="B7" s="122">
        <f>B4+B5+B6</f>
        <v>0.13297784177908364</v>
      </c>
      <c r="C7" s="122">
        <f t="shared" ref="C7:E7" si="9">C4+C5+C6</f>
        <v>0.12525429163671303</v>
      </c>
      <c r="D7" s="122">
        <f t="shared" si="9"/>
        <v>0.13351570519033767</v>
      </c>
      <c r="E7" s="122">
        <f t="shared" si="9"/>
        <v>0.13240629954860783</v>
      </c>
      <c r="F7" s="122">
        <f t="shared" ref="F7" si="10">F4+F5+F6</f>
        <v>0.12307743650176445</v>
      </c>
      <c r="G7" s="122">
        <f t="shared" ref="G7:H7" si="11">G4+G5+G6</f>
        <v>0.12004690996030412</v>
      </c>
      <c r="H7" s="122">
        <f t="shared" si="11"/>
        <v>0.12691435911885027</v>
      </c>
      <c r="I7" s="122">
        <f>I4+I5+I6</f>
        <v>0.13601653315712839</v>
      </c>
      <c r="J7" s="122">
        <f t="shared" ref="J7:M7" si="12">J4+J5+J6</f>
        <v>0.13804060329294449</v>
      </c>
      <c r="K7" s="122">
        <f t="shared" si="12"/>
        <v>0.14243591665365388</v>
      </c>
      <c r="L7" s="122">
        <f t="shared" si="12"/>
        <v>0.13749397063326346</v>
      </c>
      <c r="M7" s="122">
        <f t="shared" si="12"/>
        <v>0.12788916545663448</v>
      </c>
      <c r="N7" s="122">
        <f t="shared" ref="N7" si="13">N4+N5+N6</f>
        <v>0.13662883073741108</v>
      </c>
      <c r="O7" s="122">
        <f t="shared" ref="O7" si="14">O4+O5+O6</f>
        <v>0.13724203789503669</v>
      </c>
      <c r="P7" s="122">
        <f t="shared" ref="P7" si="15">P4+P5+P6</f>
        <v>0.12889445448640327</v>
      </c>
      <c r="Q7" s="122">
        <f t="shared" ref="Q7" si="16">Q4+Q5+Q6</f>
        <v>0.14049534387357177</v>
      </c>
    </row>
    <row r="8" spans="1:17" ht="15.6" x14ac:dyDescent="0.3">
      <c r="A8" s="1"/>
      <c r="B8" s="1"/>
      <c r="C8" s="1"/>
      <c r="D8" s="1"/>
      <c r="E8" s="1"/>
      <c r="F8" s="1"/>
      <c r="G8" s="1"/>
      <c r="H8" s="1"/>
      <c r="I8" s="1"/>
      <c r="J8" s="1"/>
      <c r="K8" s="1"/>
      <c r="L8" s="1"/>
      <c r="M8" s="1"/>
      <c r="N8" s="1"/>
      <c r="O8" s="1"/>
      <c r="P8" s="1"/>
    </row>
    <row r="9" spans="1:17" ht="15.6" x14ac:dyDescent="0.3">
      <c r="A9" s="1" t="s">
        <v>219</v>
      </c>
      <c r="B9" s="1"/>
      <c r="C9" s="1"/>
      <c r="D9" s="1"/>
      <c r="E9" s="1"/>
      <c r="F9" s="1"/>
      <c r="G9" s="1"/>
      <c r="H9" s="1"/>
      <c r="I9" s="1"/>
      <c r="J9" s="1"/>
      <c r="K9" s="1"/>
      <c r="L9" s="1"/>
      <c r="M9" s="1"/>
      <c r="N9" s="1"/>
      <c r="O9" s="1"/>
      <c r="P9" s="1"/>
    </row>
    <row r="10" spans="1:17" ht="15.6" x14ac:dyDescent="0.3">
      <c r="A10" s="1"/>
      <c r="B10" s="1"/>
      <c r="C10" s="1"/>
      <c r="D10" s="1"/>
      <c r="E10" s="1"/>
      <c r="F10" s="1"/>
      <c r="G10" s="1"/>
      <c r="H10" s="1"/>
      <c r="I10" s="1"/>
      <c r="J10" s="1"/>
      <c r="K10" s="1"/>
      <c r="L10" s="1"/>
      <c r="M10" s="1"/>
      <c r="N10" s="1"/>
      <c r="O10" s="1"/>
      <c r="P10" s="1"/>
    </row>
    <row r="11" spans="1:17" ht="15.6" x14ac:dyDescent="0.3">
      <c r="A11" s="1"/>
      <c r="B11" s="1"/>
      <c r="C11" s="1"/>
      <c r="D11" s="1"/>
      <c r="E11" s="1"/>
      <c r="F11" s="1"/>
      <c r="G11" s="1"/>
      <c r="H11" s="1"/>
      <c r="I11" s="1"/>
      <c r="J11" s="1"/>
      <c r="K11" s="1"/>
      <c r="L11" s="1"/>
      <c r="M11" s="1"/>
      <c r="N11" s="1"/>
      <c r="O11" s="1"/>
      <c r="P11" s="1"/>
      <c r="Q11" s="1"/>
    </row>
    <row r="12" spans="1:17" ht="15.6" x14ac:dyDescent="0.3">
      <c r="A12" s="1"/>
      <c r="B12" s="23">
        <v>1871</v>
      </c>
      <c r="C12" s="23">
        <v>1881</v>
      </c>
      <c r="D12" s="23">
        <v>1891</v>
      </c>
      <c r="E12" s="23">
        <v>1901</v>
      </c>
      <c r="F12" s="23">
        <v>1911</v>
      </c>
      <c r="G12" s="23">
        <v>1921</v>
      </c>
      <c r="H12" s="23">
        <v>1931</v>
      </c>
      <c r="I12" s="23"/>
    </row>
    <row r="13" spans="1:17" ht="30" customHeight="1" x14ac:dyDescent="0.3">
      <c r="A13" s="120" t="s">
        <v>405</v>
      </c>
      <c r="B13" s="24">
        <f>Census1871!F9</f>
        <v>6.7447225480751008E-2</v>
      </c>
      <c r="C13" s="24">
        <f>Census1881!E9</f>
        <v>6.5648718758617455E-2</v>
      </c>
      <c r="D13" s="24">
        <f>Census1891!D15</f>
        <v>6.4518070458762372E-2</v>
      </c>
      <c r="E13" s="24">
        <f>Census1901!D17</f>
        <v>6.4268958632454132E-2</v>
      </c>
      <c r="F13" s="24">
        <f>Census1911!D17</f>
        <v>5.9100394494825986E-2</v>
      </c>
      <c r="G13" s="24">
        <f>Census1921!D17</f>
        <v>5.7663942453913736E-2</v>
      </c>
      <c r="H13" s="24">
        <f>Census1931!D17</f>
        <v>5.5772427671718534E-2</v>
      </c>
      <c r="I13" s="24"/>
    </row>
    <row r="14" spans="1:17" ht="30" customHeight="1" x14ac:dyDescent="0.3">
      <c r="A14" s="120" t="s">
        <v>217</v>
      </c>
      <c r="B14" s="24">
        <f>Census1871!F10</f>
        <v>3.7553922611973128E-2</v>
      </c>
      <c r="C14" s="24">
        <f>Census1881!E10</f>
        <v>3.6904358357012994E-2</v>
      </c>
      <c r="D14" s="24">
        <f>Census1891!D16</f>
        <v>4.5376524802534395E-2</v>
      </c>
      <c r="E14" s="24">
        <f>Census1901!D18</f>
        <v>4.1910920511545637E-2</v>
      </c>
      <c r="F14" s="24">
        <f>Census1911!D18</f>
        <v>3.8176140972453594E-2</v>
      </c>
      <c r="G14" s="24">
        <f>Census1921!D18</f>
        <v>3.9531551832045084E-2</v>
      </c>
      <c r="H14" s="24">
        <f>Census1931!D18</f>
        <v>3.9400102054311915E-2</v>
      </c>
      <c r="I14" s="24"/>
    </row>
    <row r="15" spans="1:17" ht="30" customHeight="1" x14ac:dyDescent="0.3">
      <c r="A15" s="120" t="s">
        <v>220</v>
      </c>
      <c r="B15" s="24"/>
      <c r="C15" s="24"/>
      <c r="D15" s="24"/>
      <c r="E15" s="24">
        <f>Census1901!D26</f>
        <v>4.4451012914837763E-3</v>
      </c>
      <c r="F15" s="24">
        <f>Census1911!D26</f>
        <v>2.4255936391854296E-3</v>
      </c>
      <c r="G15" s="24">
        <f>Census1921!D26</f>
        <v>2.1534694820258566E-3</v>
      </c>
      <c r="H15" s="24">
        <f>Census1931!D26</f>
        <v>1.9524028353779391E-3</v>
      </c>
      <c r="I15" s="24"/>
    </row>
    <row r="16" spans="1:17" ht="30" customHeight="1" x14ac:dyDescent="0.3">
      <c r="A16" s="121" t="s">
        <v>221</v>
      </c>
      <c r="B16" s="24">
        <f>Census1871!L17</f>
        <v>2.4314389610884446E-2</v>
      </c>
      <c r="C16" s="24">
        <f>AVERAGE(D16:E16)</f>
        <v>1.3188828268130517E-2</v>
      </c>
      <c r="D16" s="24">
        <f>Census1891!D23</f>
        <v>1.387135737689377E-2</v>
      </c>
      <c r="E16" s="24">
        <f>Census1901!D25</f>
        <v>1.2506299159367263E-2</v>
      </c>
      <c r="F16" s="24">
        <f>Census1911!D25+0.01</f>
        <v>1.4556464771446422E-2</v>
      </c>
      <c r="G16" s="24">
        <f>Census1921!D25</f>
        <v>1.1344549478149285E-2</v>
      </c>
      <c r="H16" s="24">
        <f>Census1931!D25</f>
        <v>1.8984185879943084E-2</v>
      </c>
      <c r="I16" s="24"/>
    </row>
    <row r="17" spans="1:9" ht="30" customHeight="1" x14ac:dyDescent="0.3">
      <c r="A17" s="121" t="s">
        <v>216</v>
      </c>
      <c r="B17" s="24">
        <f>Census1871!L18</f>
        <v>3.6623040754750614E-3</v>
      </c>
      <c r="C17" s="24">
        <f>AVERAGE(D17:E17)</f>
        <v>9.5123862529520632E-3</v>
      </c>
      <c r="D17" s="24">
        <f>Census1891!D24</f>
        <v>9.7497525521471149E-3</v>
      </c>
      <c r="E17" s="24">
        <f>Census1901!D27</f>
        <v>9.2750199537570133E-3</v>
      </c>
      <c r="F17" s="24">
        <f>Census1911!D27</f>
        <v>8.818842623853013E-3</v>
      </c>
      <c r="G17" s="24">
        <f>Census1921!D27</f>
        <v>9.3533967141701622E-3</v>
      </c>
      <c r="H17" s="24">
        <f>Census1931!D27</f>
        <v>1.0805240677498803E-2</v>
      </c>
      <c r="I17" s="24"/>
    </row>
    <row r="18" spans="1:9" ht="30" customHeight="1" x14ac:dyDescent="0.3">
      <c r="A18" s="121" t="s">
        <v>222</v>
      </c>
      <c r="B18" s="24"/>
      <c r="C18" s="24"/>
      <c r="D18" s="24">
        <f>Census1891!D22</f>
        <v>1.4469577200668566E-2</v>
      </c>
      <c r="E18" s="24">
        <f>Census1901!D24</f>
        <v>2.16154689756244E-2</v>
      </c>
      <c r="F18" s="24">
        <f>Census1911!D24</f>
        <v>2.059562219938775E-2</v>
      </c>
      <c r="G18" s="24">
        <f>Census1921!D24</f>
        <v>2.6319263853757775E-2</v>
      </c>
      <c r="H18" s="24">
        <f>Census1931!D24</f>
        <v>2.2419546410268148E-2</v>
      </c>
      <c r="I18" s="24"/>
    </row>
    <row r="19" spans="1:9" ht="30" customHeight="1" x14ac:dyDescent="0.3">
      <c r="A19" s="121"/>
      <c r="B19" s="24"/>
      <c r="C19" s="24"/>
      <c r="D19" s="24"/>
      <c r="E19" s="24"/>
      <c r="F19" s="123"/>
      <c r="G19" s="123"/>
      <c r="H19" s="123"/>
      <c r="I19" s="123"/>
    </row>
    <row r="20" spans="1:9" ht="30" customHeight="1" x14ac:dyDescent="0.3">
      <c r="A20" s="121" t="s">
        <v>223</v>
      </c>
      <c r="D20" s="24">
        <f>D13+D14</f>
        <v>0.10989459526129677</v>
      </c>
      <c r="E20" s="24">
        <f>E13+E14</f>
        <v>0.10617987914399976</v>
      </c>
      <c r="F20" s="24">
        <f t="shared" ref="F20:H20" si="17">F13+F14</f>
        <v>9.7276535467279573E-2</v>
      </c>
      <c r="G20" s="24">
        <f t="shared" si="17"/>
        <v>9.7195494285958819E-2</v>
      </c>
      <c r="H20" s="24">
        <f t="shared" si="17"/>
        <v>9.517252972603045E-2</v>
      </c>
      <c r="I20" s="24"/>
    </row>
    <row r="21" spans="1:9" ht="30" customHeight="1" x14ac:dyDescent="0.3">
      <c r="A21" s="121" t="s">
        <v>224</v>
      </c>
      <c r="D21" s="24">
        <f>D13+D14+D15+D16+D17+D18</f>
        <v>0.14798528239100622</v>
      </c>
      <c r="E21" s="24">
        <f>E13+E14+E15+E16+E17+E18</f>
        <v>0.15402176852423222</v>
      </c>
      <c r="F21" s="24">
        <f t="shared" ref="F21:H21" si="18">F13+F14+F15+F16+F17+F18</f>
        <v>0.14367305870115221</v>
      </c>
      <c r="G21" s="24">
        <f t="shared" si="18"/>
        <v>0.14636617381406189</v>
      </c>
      <c r="H21" s="24">
        <f t="shared" si="18"/>
        <v>0.1493339055291184</v>
      </c>
      <c r="I21" s="24"/>
    </row>
    <row r="23" spans="1:9" ht="15.6" x14ac:dyDescent="0.3">
      <c r="A23" s="284" t="s">
        <v>401</v>
      </c>
    </row>
    <row r="24" spans="1:9" ht="15.6" x14ac:dyDescent="0.3">
      <c r="A24" s="284" t="s">
        <v>400</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5"/>
  <sheetViews>
    <sheetView workbookViewId="0">
      <pane xSplit="6" ySplit="7" topLeftCell="G8" activePane="bottomRight" state="frozen"/>
      <selection pane="topRight" activeCell="G1" sqref="G1"/>
      <selection pane="bottomLeft" activeCell="A8" sqref="A8"/>
      <selection pane="bottomRight"/>
    </sheetView>
  </sheetViews>
  <sheetFormatPr baseColWidth="10" defaultRowHeight="14.4" x14ac:dyDescent="0.3"/>
  <cols>
    <col min="1" max="1" width="20.109375" customWidth="1"/>
    <col min="2" max="2" width="14.33203125" customWidth="1"/>
    <col min="3" max="3" width="11.77734375" customWidth="1"/>
    <col min="4" max="4" width="18.109375" customWidth="1"/>
    <col min="5" max="5" width="8.33203125" customWidth="1"/>
    <col min="6" max="6" width="8.109375" customWidth="1"/>
    <col min="7" max="7" width="14" customWidth="1"/>
    <col min="8" max="8" width="7.44140625" customWidth="1"/>
    <col min="9" max="9" width="8.33203125" customWidth="1"/>
    <col min="10" max="10" width="12.109375" customWidth="1"/>
    <col min="11" max="12" width="8.6640625" customWidth="1"/>
    <col min="13" max="13" width="12.6640625" customWidth="1"/>
    <col min="14" max="14" width="7.44140625" customWidth="1"/>
    <col min="15" max="15" width="8.6640625" customWidth="1"/>
    <col min="16" max="16" width="13" customWidth="1"/>
    <col min="17" max="18" width="8.6640625" customWidth="1"/>
    <col min="19" max="19" width="11.77734375" customWidth="1"/>
    <col min="20" max="20" width="8.33203125" customWidth="1"/>
    <col min="21" max="21" width="8.6640625" customWidth="1"/>
    <col min="22" max="22" width="12.77734375" customWidth="1"/>
    <col min="23" max="24" width="8.44140625" customWidth="1"/>
    <col min="26" max="26" width="8.109375" customWidth="1"/>
    <col min="27" max="27" width="8.33203125" customWidth="1"/>
    <col min="29" max="29" width="9.109375" customWidth="1"/>
    <col min="30" max="30" width="9.44140625" customWidth="1"/>
    <col min="31" max="31" width="12.109375" bestFit="1" customWidth="1"/>
  </cols>
  <sheetData>
    <row r="1" spans="1:33" ht="15.6" x14ac:dyDescent="0.3">
      <c r="A1" s="1" t="s">
        <v>34</v>
      </c>
      <c r="B1" s="19" t="s">
        <v>153</v>
      </c>
      <c r="C1" s="19"/>
      <c r="D1" s="19"/>
      <c r="E1" s="19"/>
      <c r="F1" s="1"/>
      <c r="G1" s="1"/>
      <c r="H1" s="1"/>
    </row>
    <row r="2" spans="1:33" ht="18.45" customHeight="1" thickBot="1" x14ac:dyDescent="0.35">
      <c r="A2" s="1" t="s">
        <v>301</v>
      </c>
      <c r="D2" s="1"/>
      <c r="E2" s="1"/>
      <c r="G2" s="1"/>
      <c r="H2" s="1"/>
    </row>
    <row r="3" spans="1:33" ht="34.950000000000003" customHeight="1" thickTop="1" x14ac:dyDescent="0.3">
      <c r="A3" s="29"/>
      <c r="B3" s="61" t="s">
        <v>40</v>
      </c>
      <c r="C3" s="62" t="s">
        <v>36</v>
      </c>
      <c r="D3" s="63" t="s">
        <v>35</v>
      </c>
      <c r="E3" s="26"/>
      <c r="G3" s="26"/>
      <c r="H3" s="26"/>
      <c r="I3" s="26"/>
      <c r="S3" s="21"/>
      <c r="T3" s="24"/>
    </row>
    <row r="4" spans="1:33" ht="15.6" x14ac:dyDescent="0.3">
      <c r="A4" s="50" t="s">
        <v>37</v>
      </c>
      <c r="B4" s="58">
        <v>238830958</v>
      </c>
      <c r="C4" s="58">
        <v>48267910</v>
      </c>
      <c r="D4" s="64">
        <v>190563048</v>
      </c>
      <c r="E4" s="24"/>
      <c r="G4" s="1"/>
      <c r="H4" s="25"/>
      <c r="I4" s="24"/>
      <c r="V4" s="21"/>
      <c r="W4" s="24"/>
      <c r="Y4" s="21"/>
      <c r="Z4" s="24"/>
      <c r="AB4" s="21"/>
      <c r="AC4" s="24"/>
    </row>
    <row r="5" spans="1:33" ht="16.2" thickBot="1" x14ac:dyDescent="0.35">
      <c r="A5" s="65"/>
      <c r="B5" s="57">
        <f>B4/$B4</f>
        <v>1</v>
      </c>
      <c r="C5" s="57">
        <f>C4/$B4</f>
        <v>0.20210072598712267</v>
      </c>
      <c r="D5" s="66">
        <f>D4/$B4</f>
        <v>0.7978992740128773</v>
      </c>
    </row>
    <row r="6" spans="1:33" ht="16.2" thickTop="1" x14ac:dyDescent="0.3">
      <c r="A6" s="23" t="s">
        <v>38</v>
      </c>
      <c r="B6" s="28">
        <f>B4-C4-D4</f>
        <v>0</v>
      </c>
      <c r="C6" s="22"/>
      <c r="D6" s="21">
        <v>37041259</v>
      </c>
      <c r="E6" s="24"/>
      <c r="F6" s="22"/>
      <c r="G6" s="388" t="s">
        <v>47</v>
      </c>
      <c r="H6" s="389"/>
      <c r="I6" s="390"/>
      <c r="J6" s="391" t="s">
        <v>46</v>
      </c>
      <c r="K6" s="392"/>
      <c r="L6" s="393"/>
      <c r="M6" s="388" t="s">
        <v>72</v>
      </c>
      <c r="N6" s="389"/>
      <c r="O6" s="390"/>
      <c r="P6" s="388" t="s">
        <v>50</v>
      </c>
      <c r="Q6" s="389"/>
      <c r="R6" s="390"/>
      <c r="S6" s="388" t="s">
        <v>48</v>
      </c>
      <c r="T6" s="389"/>
      <c r="U6" s="390"/>
      <c r="V6" s="388" t="s">
        <v>49</v>
      </c>
      <c r="W6" s="389"/>
      <c r="X6" s="390"/>
      <c r="Y6" s="388" t="s">
        <v>73</v>
      </c>
      <c r="Z6" s="389"/>
      <c r="AA6" s="390"/>
      <c r="AB6" s="388" t="s">
        <v>51</v>
      </c>
      <c r="AC6" s="389"/>
      <c r="AD6" s="390"/>
      <c r="AE6" s="388" t="s">
        <v>77</v>
      </c>
      <c r="AF6" s="389"/>
      <c r="AG6" s="390"/>
    </row>
    <row r="7" spans="1:33" ht="16.2" thickBot="1" x14ac:dyDescent="0.35">
      <c r="A7" s="23" t="s">
        <v>39</v>
      </c>
      <c r="B7" s="22"/>
      <c r="C7" s="22"/>
      <c r="D7" s="20">
        <f>D4/D6</f>
        <v>5.1446158458058893</v>
      </c>
      <c r="E7" s="24"/>
      <c r="F7" s="23"/>
      <c r="G7" s="38">
        <v>60467724</v>
      </c>
      <c r="H7" s="51">
        <f>G7/D$4</f>
        <v>0.31731085661476194</v>
      </c>
      <c r="I7" s="69"/>
      <c r="J7" s="38">
        <v>31281377</v>
      </c>
      <c r="K7" s="51">
        <f>J7/D$4</f>
        <v>0.16415237543849528</v>
      </c>
      <c r="L7" s="69"/>
      <c r="M7" s="38">
        <v>30781204</v>
      </c>
      <c r="N7" s="51">
        <f>M7/D$4</f>
        <v>0.16152766406213234</v>
      </c>
      <c r="O7" s="69"/>
      <c r="P7" s="21">
        <v>11220232</v>
      </c>
      <c r="Q7" s="24">
        <f>P7/D$4</f>
        <v>5.8879368890027407E-2</v>
      </c>
      <c r="R7" s="69"/>
      <c r="S7" s="21">
        <v>17611498</v>
      </c>
      <c r="T7" s="24">
        <f>S7/D$4</f>
        <v>9.241822160611117E-2</v>
      </c>
      <c r="U7" s="69"/>
      <c r="V7" s="21">
        <v>16349206</v>
      </c>
      <c r="W7" s="24">
        <f>V7/D$4</f>
        <v>8.5794209169030508E-2</v>
      </c>
      <c r="X7" s="69"/>
      <c r="Y7" s="21">
        <v>8201519</v>
      </c>
      <c r="Z7" s="24">
        <f>Y7/D$4</f>
        <v>4.3038349176698729E-2</v>
      </c>
      <c r="AA7" s="69"/>
      <c r="AB7" s="21">
        <v>2747148</v>
      </c>
      <c r="AC7" s="24">
        <f>AB7/D$4</f>
        <v>1.4415953296464905E-2</v>
      </c>
      <c r="AD7" s="69"/>
      <c r="AE7" s="38">
        <f>D4-G7-J7-M7-S7-V7-P7-Y7-AB7</f>
        <v>11903140</v>
      </c>
      <c r="AF7" s="51">
        <f>AE7/D$4</f>
        <v>6.2463001746277697E-2</v>
      </c>
      <c r="AG7" s="69"/>
    </row>
    <row r="8" spans="1:33" ht="16.2" thickTop="1" x14ac:dyDescent="0.3">
      <c r="A8" s="47" t="s">
        <v>57</v>
      </c>
      <c r="B8" s="30" t="s">
        <v>60</v>
      </c>
      <c r="C8" s="31"/>
      <c r="D8" s="48">
        <f>D9+D10+D11+D12+D13</f>
        <v>150214348</v>
      </c>
      <c r="E8" s="49">
        <f t="shared" ref="E8:E15" si="0">D8/D$4</f>
        <v>0.7882658761839284</v>
      </c>
      <c r="F8" s="49">
        <f>D8/D$8</f>
        <v>1</v>
      </c>
      <c r="G8" s="48">
        <f>G9+G10+G11+G12+G13</f>
        <v>40892391</v>
      </c>
      <c r="H8" s="70">
        <f>G8/G$7</f>
        <v>0.67626806988799515</v>
      </c>
      <c r="I8" s="71">
        <f>G8/G$8</f>
        <v>1</v>
      </c>
      <c r="J8" s="48">
        <f>J9+J10+J11+J12+J13</f>
        <v>29394610</v>
      </c>
      <c r="K8" s="70">
        <f>J8/J$7</f>
        <v>0.93968401710704741</v>
      </c>
      <c r="L8" s="71">
        <f>J8/J$8</f>
        <v>1</v>
      </c>
      <c r="M8" s="48">
        <f>M9+M10+M11+M12+M13</f>
        <v>26580020</v>
      </c>
      <c r="N8" s="70">
        <f>M8/M$7</f>
        <v>0.86351463055181332</v>
      </c>
      <c r="O8" s="71">
        <f>M8/M$8</f>
        <v>1</v>
      </c>
      <c r="P8" s="48">
        <f>P9+P10+P11+P12+P13</f>
        <v>10102171</v>
      </c>
      <c r="Q8" s="70">
        <f t="shared" ref="Q8:Q15" si="1">P8/P$7</f>
        <v>0.90035312995310612</v>
      </c>
      <c r="R8" s="71">
        <f t="shared" ref="R8:R13" si="2">P8/P$8</f>
        <v>1</v>
      </c>
      <c r="S8" s="48">
        <f>S9+S10+S11+S12+S13</f>
        <v>8491016</v>
      </c>
      <c r="T8" s="70">
        <f>S8/S$7</f>
        <v>0.48212911814770099</v>
      </c>
      <c r="U8" s="71">
        <f>S8/S$8</f>
        <v>1</v>
      </c>
      <c r="V8" s="48">
        <f>V9+V10+V11+V12+V13</f>
        <v>13788435</v>
      </c>
      <c r="W8" s="70">
        <f>V8/V$7</f>
        <v>0.84337031413023977</v>
      </c>
      <c r="X8" s="71">
        <f>V8/V$8</f>
        <v>1</v>
      </c>
      <c r="Y8" s="48">
        <f>Y9+Y10+Y11+Y12+Y13</f>
        <v>7964180</v>
      </c>
      <c r="Z8" s="70">
        <f>Y8/Y$7</f>
        <v>0.97106158017801336</v>
      </c>
      <c r="AA8" s="71">
        <f>Y8/Y$8</f>
        <v>1</v>
      </c>
      <c r="AB8" s="48">
        <f>AB9+AB10+AB11+AB12+AB13</f>
        <v>2646363</v>
      </c>
      <c r="AC8" s="70">
        <f>AB8/AB$7</f>
        <v>0.9633128611927716</v>
      </c>
      <c r="AD8" s="71">
        <f>AB8/AB$8</f>
        <v>1</v>
      </c>
      <c r="AE8" s="48">
        <f>AE9+AE10+AE11+AE12+AE13</f>
        <v>10355162</v>
      </c>
      <c r="AF8" s="70">
        <f>AE8/AE$7</f>
        <v>0.86995213027822915</v>
      </c>
      <c r="AG8" s="71">
        <f>AE8/AE$8</f>
        <v>1</v>
      </c>
    </row>
    <row r="9" spans="1:33" ht="15.6" x14ac:dyDescent="0.3">
      <c r="A9" s="50" t="s">
        <v>58</v>
      </c>
      <c r="B9" s="35" t="s">
        <v>61</v>
      </c>
      <c r="C9" s="40"/>
      <c r="D9" s="36">
        <v>10131541</v>
      </c>
      <c r="E9" s="51">
        <f t="shared" si="0"/>
        <v>5.3166346289759178E-2</v>
      </c>
      <c r="F9" s="51">
        <f t="shared" ref="F9:F13" si="3">D9/D$8</f>
        <v>6.7447225480751008E-2</v>
      </c>
      <c r="G9" s="38">
        <v>2312929</v>
      </c>
      <c r="H9" s="72">
        <f t="shared" ref="H9:H15" si="4">G9/G$7</f>
        <v>3.8250637645961337E-2</v>
      </c>
      <c r="I9" s="55">
        <f t="shared" ref="I9:I13" si="5">G9/G$8</f>
        <v>5.6561353920341804E-2</v>
      </c>
      <c r="J9" s="38">
        <v>1095445</v>
      </c>
      <c r="K9" s="72">
        <f t="shared" ref="K9:K15" si="6">J9/J$7</f>
        <v>3.5019078603860693E-2</v>
      </c>
      <c r="L9" s="55">
        <f t="shared" ref="L9:L13" si="7">J9/J$8</f>
        <v>3.7266866272422053E-2</v>
      </c>
      <c r="M9" s="38">
        <v>3234342</v>
      </c>
      <c r="N9" s="72">
        <f t="shared" ref="N9:N15" si="8">M9/M$7</f>
        <v>0.10507522707688757</v>
      </c>
      <c r="O9" s="55">
        <f t="shared" ref="O9:O13" si="9">M9/M$8</f>
        <v>0.12168320415108792</v>
      </c>
      <c r="P9" s="38">
        <v>1397808</v>
      </c>
      <c r="Q9" s="72">
        <f t="shared" si="1"/>
        <v>0.12457924221174749</v>
      </c>
      <c r="R9" s="55">
        <f t="shared" si="2"/>
        <v>0.13836708960875835</v>
      </c>
      <c r="S9" s="38">
        <v>800547</v>
      </c>
      <c r="T9" s="72">
        <f t="shared" ref="T9:T15" si="10">S9/S$7</f>
        <v>4.5455928848301262E-2</v>
      </c>
      <c r="U9" s="55">
        <f t="shared" ref="U9:U13" si="11">S9/S$8</f>
        <v>9.4281650158237834E-2</v>
      </c>
      <c r="V9" s="38">
        <v>658479</v>
      </c>
      <c r="W9" s="72">
        <f t="shared" ref="W9:W15" si="12">V9/V$7</f>
        <v>4.0275900860261962E-2</v>
      </c>
      <c r="X9" s="55">
        <f t="shared" ref="X9:X13" si="13">V9/V$8</f>
        <v>4.7755891078284082E-2</v>
      </c>
      <c r="Y9" s="38">
        <v>287168</v>
      </c>
      <c r="Z9" s="72">
        <f t="shared" ref="Z9:Z15" si="14">Y9/Y$7</f>
        <v>3.5014001674567842E-2</v>
      </c>
      <c r="AA9" s="55">
        <f t="shared" ref="AA9:AA13" si="15">Y9/Y$8</f>
        <v>3.6057447219927222E-2</v>
      </c>
      <c r="AB9" s="38">
        <v>775</v>
      </c>
      <c r="AC9" s="72">
        <f t="shared" ref="AC9:AC15" si="16">AB9/AB$7</f>
        <v>2.8211075631891691E-4</v>
      </c>
      <c r="AD9" s="55">
        <f t="shared" ref="AD9:AD13" si="17">AB9/AB$8</f>
        <v>2.9285475953223349E-4</v>
      </c>
      <c r="AE9" s="38">
        <f t="shared" ref="AE9:AE15" si="18">D9-G9-J9-M9-S9-V9-P9-Y9-AB9</f>
        <v>344048</v>
      </c>
      <c r="AF9" s="72">
        <f t="shared" ref="AF9:AF15" si="19">AE9/AE$7</f>
        <v>2.8903969876856023E-2</v>
      </c>
      <c r="AG9" s="55">
        <f t="shared" ref="AG9:AG13" si="20">AE9/AE$8</f>
        <v>3.3224781997616262E-2</v>
      </c>
    </row>
    <row r="10" spans="1:33" ht="15.6" x14ac:dyDescent="0.3">
      <c r="A10" s="50" t="s">
        <v>59</v>
      </c>
      <c r="B10" s="35" t="s">
        <v>62</v>
      </c>
      <c r="C10" s="40"/>
      <c r="D10" s="36">
        <v>5641138</v>
      </c>
      <c r="E10" s="51">
        <f t="shared" si="0"/>
        <v>2.9602475711870437E-2</v>
      </c>
      <c r="F10" s="51">
        <f t="shared" si="3"/>
        <v>3.7553922611973128E-2</v>
      </c>
      <c r="G10" s="38">
        <v>1222549</v>
      </c>
      <c r="H10" s="72">
        <f t="shared" si="4"/>
        <v>2.0218207650746042E-2</v>
      </c>
      <c r="I10" s="55">
        <f t="shared" si="5"/>
        <v>2.9896735556499986E-2</v>
      </c>
      <c r="J10" s="38">
        <v>190415</v>
      </c>
      <c r="K10" s="72">
        <f t="shared" si="6"/>
        <v>6.0871680936552125E-3</v>
      </c>
      <c r="L10" s="55">
        <f t="shared" si="7"/>
        <v>6.4778882931258485E-3</v>
      </c>
      <c r="M10" s="38">
        <v>2395688</v>
      </c>
      <c r="N10" s="72">
        <f t="shared" si="8"/>
        <v>7.782957417780019E-2</v>
      </c>
      <c r="O10" s="55">
        <f t="shared" si="9"/>
        <v>9.0131158667299718E-2</v>
      </c>
      <c r="P10" s="38">
        <v>662946</v>
      </c>
      <c r="Q10" s="72">
        <f t="shared" si="1"/>
        <v>5.9084874537353595E-2</v>
      </c>
      <c r="R10" s="55">
        <f t="shared" si="2"/>
        <v>6.5624111886445E-2</v>
      </c>
      <c r="S10" s="38">
        <v>719121</v>
      </c>
      <c r="T10" s="72">
        <f t="shared" si="10"/>
        <v>4.0832472058878806E-2</v>
      </c>
      <c r="U10" s="55">
        <f t="shared" si="11"/>
        <v>8.469198503453533E-2</v>
      </c>
      <c r="V10" s="38">
        <v>144293</v>
      </c>
      <c r="W10" s="72">
        <f t="shared" si="12"/>
        <v>8.8256885380244149E-3</v>
      </c>
      <c r="X10" s="55">
        <f t="shared" si="13"/>
        <v>1.0464784437102543E-2</v>
      </c>
      <c r="Y10" s="38">
        <v>176948</v>
      </c>
      <c r="Z10" s="72">
        <f t="shared" si="14"/>
        <v>2.1575027747908648E-2</v>
      </c>
      <c r="AA10" s="55">
        <f t="shared" si="15"/>
        <v>2.2217981009972149E-2</v>
      </c>
      <c r="AB10" s="38">
        <v>1257</v>
      </c>
      <c r="AC10" s="72">
        <f t="shared" si="16"/>
        <v>4.5756544605532722E-4</v>
      </c>
      <c r="AD10" s="55">
        <f t="shared" si="17"/>
        <v>4.7499152610582901E-4</v>
      </c>
      <c r="AE10" s="38">
        <f t="shared" si="18"/>
        <v>127921</v>
      </c>
      <c r="AF10" s="72">
        <f t="shared" si="19"/>
        <v>1.0746828147866865E-2</v>
      </c>
      <c r="AG10" s="55">
        <f t="shared" si="20"/>
        <v>1.2353355746631487E-2</v>
      </c>
    </row>
    <row r="11" spans="1:33" ht="15.6" x14ac:dyDescent="0.3">
      <c r="A11" s="50" t="s">
        <v>68</v>
      </c>
      <c r="B11" s="35" t="s">
        <v>63</v>
      </c>
      <c r="C11" s="40"/>
      <c r="D11" s="36">
        <f>D4-D9-D10-D12-D13-D14-D15</f>
        <v>108011846</v>
      </c>
      <c r="E11" s="51">
        <f t="shared" si="0"/>
        <v>0.56680372786648547</v>
      </c>
      <c r="F11" s="51">
        <f t="shared" si="3"/>
        <v>0.71905145838665163</v>
      </c>
      <c r="G11" s="36">
        <f>G7-G9-G10-G12-G13-G14-G15</f>
        <v>25589553</v>
      </c>
      <c r="H11" s="72">
        <f t="shared" si="4"/>
        <v>0.42319358671412866</v>
      </c>
      <c r="I11" s="55">
        <f t="shared" si="5"/>
        <v>0.62577786170537208</v>
      </c>
      <c r="J11" s="36">
        <f>J7-J9-J10-J12-J13-J14-J15</f>
        <v>23325993</v>
      </c>
      <c r="K11" s="72">
        <f t="shared" si="6"/>
        <v>0.74568306248155247</v>
      </c>
      <c r="L11" s="55">
        <f t="shared" si="7"/>
        <v>0.79354660599341176</v>
      </c>
      <c r="M11" s="36">
        <f>M7-M9-M10-M12-M13-M14-M15</f>
        <v>20572316</v>
      </c>
      <c r="N11" s="72">
        <f t="shared" si="8"/>
        <v>0.6683401987784493</v>
      </c>
      <c r="O11" s="55">
        <f t="shared" si="9"/>
        <v>0.77397669377223943</v>
      </c>
      <c r="P11" s="36">
        <f>P7-P9-P10-P12-P13-P14-P15</f>
        <v>7950927</v>
      </c>
      <c r="Q11" s="72">
        <f t="shared" si="1"/>
        <v>0.70862411757617849</v>
      </c>
      <c r="R11" s="55">
        <f t="shared" si="2"/>
        <v>0.78705131797907601</v>
      </c>
      <c r="S11" s="36">
        <f>S7-S9-S10-S12-S13-S14-S15</f>
        <v>5975438</v>
      </c>
      <c r="T11" s="72">
        <f t="shared" si="10"/>
        <v>0.33929186489417312</v>
      </c>
      <c r="U11" s="55">
        <f t="shared" si="11"/>
        <v>0.70373651398136572</v>
      </c>
      <c r="V11" s="36">
        <f>V7-V9-V10-V12-V13-V14-V15</f>
        <v>12195379</v>
      </c>
      <c r="W11" s="72">
        <f t="shared" si="12"/>
        <v>0.74593096447619534</v>
      </c>
      <c r="X11" s="55">
        <f t="shared" si="13"/>
        <v>0.88446433551015757</v>
      </c>
      <c r="Y11" s="36">
        <f>Y7-Y9-Y10-Y12-Y13-Y14-Y15</f>
        <v>5422290</v>
      </c>
      <c r="Z11" s="72">
        <f t="shared" si="14"/>
        <v>0.66113240730162304</v>
      </c>
      <c r="AA11" s="55">
        <f t="shared" si="15"/>
        <v>0.68083468731244146</v>
      </c>
      <c r="AB11" s="36">
        <f>AB7-AB9-AB10-AB12-AB13-AB14-AB15</f>
        <v>53808</v>
      </c>
      <c r="AC11" s="72">
        <f t="shared" si="16"/>
        <v>1.958685880775262E-2</v>
      </c>
      <c r="AD11" s="55">
        <f t="shared" si="17"/>
        <v>2.0332811485045701E-2</v>
      </c>
      <c r="AE11" s="38">
        <f t="shared" si="18"/>
        <v>6926142</v>
      </c>
      <c r="AF11" s="72">
        <f t="shared" si="19"/>
        <v>0.58187520267761283</v>
      </c>
      <c r="AG11" s="55">
        <f t="shared" si="20"/>
        <v>0.66885887444349013</v>
      </c>
    </row>
    <row r="12" spans="1:33" ht="15.6" x14ac:dyDescent="0.3">
      <c r="A12" s="38">
        <f>D4-D8-D14-D15</f>
        <v>0</v>
      </c>
      <c r="B12" s="35" t="s">
        <v>69</v>
      </c>
      <c r="C12" s="35"/>
      <c r="D12" s="36">
        <v>8712998</v>
      </c>
      <c r="E12" s="51">
        <f t="shared" si="0"/>
        <v>4.5722389998715807E-2</v>
      </c>
      <c r="F12" s="51">
        <f t="shared" si="3"/>
        <v>5.80037667240682E-2</v>
      </c>
      <c r="G12" s="38">
        <v>650477</v>
      </c>
      <c r="H12" s="72">
        <f t="shared" si="4"/>
        <v>1.0757424903242597E-2</v>
      </c>
      <c r="I12" s="55">
        <f t="shared" si="5"/>
        <v>1.5907042461762631E-2</v>
      </c>
      <c r="J12" s="38">
        <v>4782757</v>
      </c>
      <c r="K12" s="72">
        <f t="shared" si="6"/>
        <v>0.15289470792797899</v>
      </c>
      <c r="L12" s="55">
        <f t="shared" si="7"/>
        <v>0.16270863944104039</v>
      </c>
      <c r="M12" s="38">
        <v>0</v>
      </c>
      <c r="N12" s="72">
        <f t="shared" si="8"/>
        <v>0</v>
      </c>
      <c r="O12" s="55">
        <f t="shared" si="9"/>
        <v>0</v>
      </c>
      <c r="P12" s="38">
        <v>0</v>
      </c>
      <c r="Q12" s="72">
        <f t="shared" si="1"/>
        <v>0</v>
      </c>
      <c r="R12" s="55">
        <f t="shared" si="2"/>
        <v>0</v>
      </c>
      <c r="S12" s="38">
        <v>36190</v>
      </c>
      <c r="T12" s="72">
        <f t="shared" si="10"/>
        <v>2.054907538245753E-3</v>
      </c>
      <c r="U12" s="55">
        <f t="shared" si="11"/>
        <v>4.2621519026698335E-3</v>
      </c>
      <c r="V12" s="38">
        <v>78582</v>
      </c>
      <c r="W12" s="72">
        <f t="shared" si="12"/>
        <v>4.8064719473227017E-3</v>
      </c>
      <c r="X12" s="55">
        <f t="shared" si="13"/>
        <v>5.6991239397364531E-3</v>
      </c>
      <c r="Y12" s="38">
        <v>407939</v>
      </c>
      <c r="Z12" s="72">
        <f t="shared" si="14"/>
        <v>4.9739444607761071E-2</v>
      </c>
      <c r="AA12" s="55">
        <f t="shared" si="15"/>
        <v>5.1221720252430256E-2</v>
      </c>
      <c r="AB12" s="38">
        <v>1585532</v>
      </c>
      <c r="AC12" s="72">
        <f t="shared" si="16"/>
        <v>0.57715565379076772</v>
      </c>
      <c r="AD12" s="55">
        <f t="shared" si="17"/>
        <v>0.59913624850407898</v>
      </c>
      <c r="AE12" s="38">
        <f t="shared" si="18"/>
        <v>1171521</v>
      </c>
      <c r="AF12" s="72">
        <f t="shared" si="19"/>
        <v>9.8421172900595974E-2</v>
      </c>
      <c r="AG12" s="55">
        <f t="shared" si="20"/>
        <v>0.11313400987835825</v>
      </c>
    </row>
    <row r="13" spans="1:33" ht="16.2" thickBot="1" x14ac:dyDescent="0.35">
      <c r="A13" s="41"/>
      <c r="B13" s="60" t="s">
        <v>65</v>
      </c>
      <c r="C13" s="60"/>
      <c r="D13" s="44">
        <v>17716825</v>
      </c>
      <c r="E13" s="54">
        <f t="shared" si="0"/>
        <v>9.2970936317097533E-2</v>
      </c>
      <c r="F13" s="54">
        <f t="shared" si="3"/>
        <v>0.11794362679655608</v>
      </c>
      <c r="G13" s="73">
        <v>11116883</v>
      </c>
      <c r="H13" s="76">
        <f t="shared" si="4"/>
        <v>0.18384821297391646</v>
      </c>
      <c r="I13" s="75">
        <f t="shared" si="5"/>
        <v>0.27185700635602356</v>
      </c>
      <c r="J13" s="73">
        <v>0</v>
      </c>
      <c r="K13" s="76">
        <f t="shared" si="6"/>
        <v>0</v>
      </c>
      <c r="L13" s="75">
        <f t="shared" si="7"/>
        <v>0</v>
      </c>
      <c r="M13" s="73">
        <v>377674</v>
      </c>
      <c r="N13" s="76">
        <f t="shared" si="8"/>
        <v>1.2269630518676267E-2</v>
      </c>
      <c r="O13" s="75">
        <f t="shared" si="9"/>
        <v>1.4208943409372905E-2</v>
      </c>
      <c r="P13" s="73">
        <v>90490</v>
      </c>
      <c r="Q13" s="76">
        <f t="shared" si="1"/>
        <v>8.0648956278265901E-3</v>
      </c>
      <c r="R13" s="75">
        <f t="shared" si="2"/>
        <v>8.95748052572066E-3</v>
      </c>
      <c r="S13" s="73">
        <v>959720</v>
      </c>
      <c r="T13" s="76">
        <f t="shared" si="10"/>
        <v>5.4493944808102074E-2</v>
      </c>
      <c r="U13" s="75">
        <f t="shared" si="11"/>
        <v>0.11302769892319128</v>
      </c>
      <c r="V13" s="73">
        <v>711702</v>
      </c>
      <c r="W13" s="76">
        <f t="shared" si="12"/>
        <v>4.3531288308435286E-2</v>
      </c>
      <c r="X13" s="75">
        <f t="shared" si="13"/>
        <v>5.1615865034719315E-2</v>
      </c>
      <c r="Y13" s="73">
        <v>1669835</v>
      </c>
      <c r="Z13" s="76">
        <f t="shared" si="14"/>
        <v>0.20360069884615276</v>
      </c>
      <c r="AA13" s="75">
        <f t="shared" si="15"/>
        <v>0.20966816420522891</v>
      </c>
      <c r="AB13" s="73">
        <v>1004991</v>
      </c>
      <c r="AC13" s="76">
        <f t="shared" si="16"/>
        <v>0.36583067239187694</v>
      </c>
      <c r="AD13" s="75">
        <f t="shared" si="17"/>
        <v>0.37976309372523726</v>
      </c>
      <c r="AE13" s="73">
        <f t="shared" si="18"/>
        <v>1785530</v>
      </c>
      <c r="AF13" s="76">
        <f t="shared" si="19"/>
        <v>0.15000495667529745</v>
      </c>
      <c r="AG13" s="75">
        <f t="shared" si="20"/>
        <v>0.17242897793390388</v>
      </c>
    </row>
    <row r="14" spans="1:33" ht="16.2" thickTop="1" x14ac:dyDescent="0.3">
      <c r="A14" s="46"/>
      <c r="B14" s="34" t="s">
        <v>42</v>
      </c>
      <c r="C14" s="52"/>
      <c r="D14" s="58">
        <v>40227552</v>
      </c>
      <c r="E14" s="56">
        <f t="shared" si="0"/>
        <v>0.2110983867134619</v>
      </c>
      <c r="F14" s="67"/>
      <c r="G14" s="38">
        <v>19553420</v>
      </c>
      <c r="H14" s="70">
        <f t="shared" si="4"/>
        <v>0.32336953843342936</v>
      </c>
      <c r="I14" s="55"/>
      <c r="J14" s="38">
        <v>1872214</v>
      </c>
      <c r="K14" s="70">
        <f t="shared" si="6"/>
        <v>5.9850754012523169E-2</v>
      </c>
      <c r="L14" s="55"/>
      <c r="M14" s="38">
        <v>4188751</v>
      </c>
      <c r="N14" s="70">
        <f t="shared" si="8"/>
        <v>0.13608145412375683</v>
      </c>
      <c r="O14" s="55"/>
      <c r="P14" s="38">
        <v>1111290</v>
      </c>
      <c r="Q14" s="70">
        <f t="shared" si="1"/>
        <v>9.9043406589097271E-2</v>
      </c>
      <c r="R14" s="55"/>
      <c r="S14" s="38">
        <v>9102488</v>
      </c>
      <c r="T14" s="70">
        <f t="shared" si="10"/>
        <v>0.51684916297296235</v>
      </c>
      <c r="U14" s="55"/>
      <c r="V14" s="38">
        <v>2528344</v>
      </c>
      <c r="W14" s="70">
        <f t="shared" si="12"/>
        <v>0.15464628679827019</v>
      </c>
      <c r="X14" s="55"/>
      <c r="Y14" s="38">
        <v>232963</v>
      </c>
      <c r="Z14" s="70">
        <f t="shared" si="14"/>
        <v>2.8404860124081891E-2</v>
      </c>
      <c r="AA14" s="55"/>
      <c r="AB14" s="38">
        <v>95631</v>
      </c>
      <c r="AC14" s="70">
        <f t="shared" si="16"/>
        <v>3.4811011274237864E-2</v>
      </c>
      <c r="AD14" s="55"/>
      <c r="AE14" s="38">
        <f t="shared" si="18"/>
        <v>1542451</v>
      </c>
      <c r="AF14" s="70">
        <f t="shared" si="19"/>
        <v>0.12958353846127996</v>
      </c>
      <c r="AG14" s="55"/>
    </row>
    <row r="15" spans="1:33" ht="16.2" thickBot="1" x14ac:dyDescent="0.35">
      <c r="A15" s="46"/>
      <c r="B15" s="42" t="s">
        <v>64</v>
      </c>
      <c r="C15" s="53"/>
      <c r="D15" s="59">
        <v>121148</v>
      </c>
      <c r="E15" s="57">
        <f t="shared" si="0"/>
        <v>6.3573710260973575E-4</v>
      </c>
      <c r="F15" s="85"/>
      <c r="G15" s="73">
        <v>21913</v>
      </c>
      <c r="H15" s="74">
        <f t="shared" si="4"/>
        <v>3.6239167857549922E-4</v>
      </c>
      <c r="I15" s="75"/>
      <c r="J15" s="73">
        <v>14553</v>
      </c>
      <c r="K15" s="74">
        <f t="shared" si="6"/>
        <v>4.6522888042940054E-4</v>
      </c>
      <c r="L15" s="75"/>
      <c r="M15" s="73">
        <v>12433</v>
      </c>
      <c r="N15" s="74">
        <f t="shared" si="8"/>
        <v>4.0391532442980461E-4</v>
      </c>
      <c r="O15" s="75"/>
      <c r="P15" s="73">
        <v>6771</v>
      </c>
      <c r="Q15" s="74">
        <f t="shared" si="1"/>
        <v>6.0346345779659462E-4</v>
      </c>
      <c r="R15" s="75"/>
      <c r="S15" s="73">
        <v>17994</v>
      </c>
      <c r="T15" s="74">
        <f t="shared" si="10"/>
        <v>1.0217188793366697E-3</v>
      </c>
      <c r="U15" s="75"/>
      <c r="V15" s="73">
        <v>32427</v>
      </c>
      <c r="W15" s="74">
        <f t="shared" si="12"/>
        <v>1.9833990714900772E-3</v>
      </c>
      <c r="X15" s="75"/>
      <c r="Y15" s="73">
        <v>4376</v>
      </c>
      <c r="Z15" s="74">
        <f t="shared" si="14"/>
        <v>5.3355969790474177E-4</v>
      </c>
      <c r="AA15" s="75"/>
      <c r="AB15" s="73">
        <v>5154</v>
      </c>
      <c r="AC15" s="74">
        <f t="shared" si="16"/>
        <v>1.8761275329905779E-3</v>
      </c>
      <c r="AD15" s="75"/>
      <c r="AE15" s="73">
        <f t="shared" si="18"/>
        <v>5527</v>
      </c>
      <c r="AF15" s="74">
        <f t="shared" si="19"/>
        <v>4.6433126049092929E-4</v>
      </c>
      <c r="AG15" s="75"/>
    </row>
    <row r="16" spans="1:33" ht="16.8" thickTop="1" thickBot="1" x14ac:dyDescent="0.35">
      <c r="A16" s="46"/>
      <c r="B16" s="34"/>
      <c r="C16" s="52"/>
      <c r="D16" s="58"/>
      <c r="E16" s="56"/>
      <c r="F16" s="35"/>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ht="16.2" thickTop="1" x14ac:dyDescent="0.3">
      <c r="A17" s="68"/>
      <c r="B17" s="30" t="s">
        <v>41</v>
      </c>
      <c r="C17" s="31"/>
      <c r="D17" s="32">
        <v>139248568</v>
      </c>
      <c r="E17" s="33">
        <f t="shared" ref="E17:E23" si="21">D17/D$4</f>
        <v>0.73072177141079309</v>
      </c>
      <c r="F17" s="1"/>
      <c r="G17" s="67" t="s">
        <v>112</v>
      </c>
      <c r="H17" s="89"/>
      <c r="I17" s="89"/>
      <c r="J17" s="32">
        <v>714712</v>
      </c>
      <c r="K17" s="90">
        <f>J17/J$7</f>
        <v>2.2847843303061756E-2</v>
      </c>
      <c r="L17" s="33">
        <f>J17/J8</f>
        <v>2.4314389610884446E-2</v>
      </c>
      <c r="M17" s="1"/>
      <c r="N17" s="1"/>
      <c r="O17" s="1"/>
      <c r="P17" s="1"/>
      <c r="Q17" s="1"/>
      <c r="R17" s="1"/>
      <c r="S17" s="1"/>
      <c r="T17" s="1"/>
      <c r="U17" s="1"/>
      <c r="V17" s="1"/>
      <c r="W17" s="1"/>
      <c r="X17" s="1"/>
      <c r="Y17" s="1"/>
      <c r="Z17" s="1"/>
      <c r="AA17" s="1"/>
      <c r="AB17" s="1"/>
      <c r="AC17" s="1"/>
      <c r="AD17" s="1"/>
      <c r="AE17" s="1"/>
      <c r="AF17" s="1"/>
      <c r="AG17" s="1"/>
    </row>
    <row r="18" spans="1:33" ht="16.2" thickBot="1" x14ac:dyDescent="0.35">
      <c r="A18" s="50" t="s">
        <v>57</v>
      </c>
      <c r="B18" s="34" t="s">
        <v>42</v>
      </c>
      <c r="C18" s="35"/>
      <c r="D18" s="36">
        <v>40882537</v>
      </c>
      <c r="E18" s="37">
        <f t="shared" si="21"/>
        <v>0.21453549063719846</v>
      </c>
      <c r="F18" s="1"/>
      <c r="G18" s="39" t="s">
        <v>111</v>
      </c>
      <c r="H18" s="35"/>
      <c r="I18" s="35"/>
      <c r="J18" s="36">
        <v>107652</v>
      </c>
      <c r="K18" s="51">
        <f>J18/J$7</f>
        <v>3.4414086055099173E-3</v>
      </c>
      <c r="L18" s="37">
        <f>J18/J8</f>
        <v>3.6623040754750614E-3</v>
      </c>
      <c r="M18" s="1"/>
      <c r="N18" s="1"/>
      <c r="O18" s="1"/>
      <c r="P18" s="1"/>
      <c r="Q18" s="1"/>
      <c r="R18" s="1"/>
      <c r="S18" s="1"/>
      <c r="T18" s="1"/>
      <c r="U18" s="1"/>
      <c r="V18" s="1"/>
      <c r="W18" s="1"/>
      <c r="X18" s="1"/>
      <c r="Y18" s="1"/>
      <c r="Z18" s="1"/>
      <c r="AA18" s="1"/>
      <c r="AB18" s="1"/>
      <c r="AC18" s="1"/>
      <c r="AD18" s="1"/>
      <c r="AE18" s="1"/>
      <c r="AF18" s="1"/>
      <c r="AG18" s="1"/>
    </row>
    <row r="19" spans="1:33" ht="16.8" thickTop="1" thickBot="1" x14ac:dyDescent="0.35">
      <c r="A19" s="50" t="s">
        <v>71</v>
      </c>
      <c r="B19" s="34" t="s">
        <v>43</v>
      </c>
      <c r="C19" s="35"/>
      <c r="D19" s="36">
        <v>2832851</v>
      </c>
      <c r="E19" s="37">
        <f t="shared" si="21"/>
        <v>1.486568896610008E-2</v>
      </c>
      <c r="F19" s="1"/>
      <c r="G19" s="39" t="s">
        <v>113</v>
      </c>
      <c r="H19" s="35"/>
      <c r="I19" s="35"/>
      <c r="J19" s="35"/>
      <c r="K19" s="35"/>
      <c r="L19" s="91"/>
      <c r="M19" s="1"/>
      <c r="N19" s="1"/>
      <c r="O19" s="1"/>
      <c r="P19" s="1"/>
      <c r="Q19" s="1"/>
      <c r="R19" s="1"/>
      <c r="S19" s="1"/>
      <c r="T19" s="1"/>
      <c r="U19" s="1"/>
      <c r="V19" s="1"/>
      <c r="W19" s="1"/>
      <c r="X19" s="1"/>
      <c r="Y19" s="1"/>
      <c r="Z19" s="1"/>
      <c r="AA19" s="1"/>
      <c r="AB19" s="77">
        <v>2447831</v>
      </c>
      <c r="AC19" s="78">
        <f>AB19/AB7</f>
        <v>0.89104445774308483</v>
      </c>
      <c r="AD19" s="1"/>
      <c r="AE19" s="1"/>
      <c r="AF19" s="1"/>
      <c r="AG19" s="1"/>
    </row>
    <row r="20" spans="1:33" ht="16.8" thickTop="1" thickBot="1" x14ac:dyDescent="0.35">
      <c r="A20" s="27" t="s">
        <v>70</v>
      </c>
      <c r="B20" s="34" t="s">
        <v>56</v>
      </c>
      <c r="C20" s="35"/>
      <c r="D20" s="36">
        <v>1174436</v>
      </c>
      <c r="E20" s="37">
        <f t="shared" si="21"/>
        <v>6.1629786694007956E-3</v>
      </c>
      <c r="G20" s="85" t="s">
        <v>116</v>
      </c>
      <c r="H20" s="60"/>
      <c r="I20" s="60"/>
      <c r="J20" s="60"/>
      <c r="K20" s="60"/>
      <c r="L20" s="92"/>
      <c r="M20" s="1"/>
      <c r="N20" s="1"/>
      <c r="O20" s="1"/>
      <c r="P20" s="1"/>
      <c r="Q20" s="1"/>
      <c r="R20" s="1"/>
      <c r="S20" s="1"/>
      <c r="T20" s="1"/>
      <c r="U20" s="1"/>
      <c r="V20" s="1"/>
      <c r="W20" s="1"/>
      <c r="X20" s="1"/>
      <c r="Y20" s="1"/>
      <c r="Z20" s="1"/>
      <c r="AA20" s="1"/>
      <c r="AB20" s="1"/>
      <c r="AC20" s="1"/>
      <c r="AD20" s="1"/>
      <c r="AE20" s="1"/>
      <c r="AF20" s="1"/>
      <c r="AG20" s="1"/>
    </row>
    <row r="21" spans="1:33" ht="16.2" thickTop="1" x14ac:dyDescent="0.3">
      <c r="A21" s="50" t="s">
        <v>67</v>
      </c>
      <c r="B21" s="34" t="s">
        <v>44</v>
      </c>
      <c r="C21" s="35"/>
      <c r="D21" s="36">
        <v>896658</v>
      </c>
      <c r="E21" s="37">
        <f t="shared" si="21"/>
        <v>4.7053088697447789E-3</v>
      </c>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ht="15.6" x14ac:dyDescent="0.3">
      <c r="A22" s="38">
        <f>D4-SUM(D17:D23)</f>
        <v>0</v>
      </c>
      <c r="B22" s="34" t="s">
        <v>55</v>
      </c>
      <c r="C22" s="40"/>
      <c r="D22" s="36">
        <v>5102823</v>
      </c>
      <c r="E22" s="37">
        <f t="shared" si="21"/>
        <v>2.6777610106236336E-2</v>
      </c>
    </row>
    <row r="23" spans="1:33" ht="16.2" thickBot="1" x14ac:dyDescent="0.35">
      <c r="A23" s="41"/>
      <c r="B23" s="42" t="s">
        <v>45</v>
      </c>
      <c r="C23" s="43"/>
      <c r="D23" s="44">
        <v>425175</v>
      </c>
      <c r="E23" s="45">
        <f t="shared" si="21"/>
        <v>2.2311513405264172E-3</v>
      </c>
    </row>
    <row r="24" spans="1:33" ht="16.2" thickTop="1" x14ac:dyDescent="0.3">
      <c r="A24" s="1"/>
      <c r="B24" s="1"/>
      <c r="D24" s="21"/>
      <c r="E24" s="24"/>
    </row>
    <row r="25" spans="1:33" ht="15.6" x14ac:dyDescent="0.3">
      <c r="A25" s="1" t="s">
        <v>53</v>
      </c>
    </row>
    <row r="26" spans="1:33" ht="15.6" x14ac:dyDescent="0.3">
      <c r="A26" s="1" t="s">
        <v>54</v>
      </c>
    </row>
    <row r="27" spans="1:33" ht="15.6" x14ac:dyDescent="0.3">
      <c r="A27" s="1" t="s">
        <v>66</v>
      </c>
    </row>
    <row r="28" spans="1:33" ht="15.6" x14ac:dyDescent="0.3">
      <c r="A28" s="1" t="s">
        <v>218</v>
      </c>
    </row>
    <row r="29" spans="1:33" ht="15.6" x14ac:dyDescent="0.3">
      <c r="A29" s="1" t="s">
        <v>74</v>
      </c>
    </row>
    <row r="30" spans="1:33" ht="15.6" x14ac:dyDescent="0.3">
      <c r="A30" s="1" t="s">
        <v>75</v>
      </c>
    </row>
    <row r="31" spans="1:33" ht="15.6" x14ac:dyDescent="0.3">
      <c r="A31" s="1" t="s">
        <v>52</v>
      </c>
    </row>
    <row r="32" spans="1:33" ht="15.6" x14ac:dyDescent="0.3">
      <c r="A32" s="1" t="s">
        <v>76</v>
      </c>
    </row>
    <row r="33" spans="1:1" ht="15.6" x14ac:dyDescent="0.3">
      <c r="A33" s="1" t="s">
        <v>78</v>
      </c>
    </row>
    <row r="34" spans="1:1" ht="15.6" x14ac:dyDescent="0.3">
      <c r="A34" s="1" t="s">
        <v>115</v>
      </c>
    </row>
    <row r="35" spans="1:1" ht="15.6" x14ac:dyDescent="0.3">
      <c r="A35" s="1" t="s">
        <v>81</v>
      </c>
    </row>
    <row r="36" spans="1:1" ht="15.6" x14ac:dyDescent="0.3">
      <c r="A36" s="1" t="s">
        <v>80</v>
      </c>
    </row>
    <row r="37" spans="1:1" ht="15.6" x14ac:dyDescent="0.3">
      <c r="A37" s="19" t="s">
        <v>97</v>
      </c>
    </row>
    <row r="38" spans="1:1" ht="15.6" x14ac:dyDescent="0.3">
      <c r="A38" s="19" t="s">
        <v>103</v>
      </c>
    </row>
    <row r="39" spans="1:1" ht="15.6" x14ac:dyDescent="0.3">
      <c r="A39" s="1" t="s">
        <v>102</v>
      </c>
    </row>
    <row r="40" spans="1:1" ht="15.6" x14ac:dyDescent="0.3">
      <c r="A40" s="1" t="s">
        <v>82</v>
      </c>
    </row>
    <row r="41" spans="1:1" ht="15.6" x14ac:dyDescent="0.3">
      <c r="A41" s="1" t="s">
        <v>99</v>
      </c>
    </row>
    <row r="42" spans="1:1" ht="15.6" x14ac:dyDescent="0.3">
      <c r="A42" s="1" t="s">
        <v>109</v>
      </c>
    </row>
    <row r="43" spans="1:1" ht="15.6" x14ac:dyDescent="0.3">
      <c r="A43" s="1" t="s">
        <v>107</v>
      </c>
    </row>
    <row r="44" spans="1:1" ht="15.6" x14ac:dyDescent="0.3">
      <c r="A44" s="1" t="s">
        <v>101</v>
      </c>
    </row>
    <row r="45" spans="1:1" ht="15.6" x14ac:dyDescent="0.3">
      <c r="A45" s="1" t="s">
        <v>105</v>
      </c>
    </row>
    <row r="46" spans="1:1" ht="15.6" x14ac:dyDescent="0.3">
      <c r="A46" s="1" t="s">
        <v>104</v>
      </c>
    </row>
    <row r="47" spans="1:1" ht="15.6" x14ac:dyDescent="0.3">
      <c r="A47" s="1" t="s">
        <v>106</v>
      </c>
    </row>
    <row r="48" spans="1:1" ht="15.6" x14ac:dyDescent="0.3">
      <c r="A48" s="1" t="s">
        <v>108</v>
      </c>
    </row>
    <row r="49" spans="1:7" ht="15.6" x14ac:dyDescent="0.3">
      <c r="A49" s="1" t="s">
        <v>110</v>
      </c>
    </row>
    <row r="50" spans="1:7" ht="15.6" x14ac:dyDescent="0.3">
      <c r="A50" s="1" t="s">
        <v>114</v>
      </c>
    </row>
    <row r="51" spans="1:7" ht="15.6" x14ac:dyDescent="0.3">
      <c r="A51" s="1" t="s">
        <v>79</v>
      </c>
    </row>
    <row r="52" spans="1:7" ht="15" thickBot="1" x14ac:dyDescent="0.35"/>
    <row r="53" spans="1:7" ht="16.2" thickTop="1" x14ac:dyDescent="0.3">
      <c r="A53" s="388" t="s">
        <v>94</v>
      </c>
      <c r="B53" s="389"/>
      <c r="C53" s="389"/>
      <c r="D53" s="389"/>
      <c r="E53" s="389"/>
      <c r="F53" s="389"/>
      <c r="G53" s="84"/>
    </row>
    <row r="54" spans="1:7" ht="15.6" x14ac:dyDescent="0.3">
      <c r="A54" s="39"/>
      <c r="B54" s="387" t="s">
        <v>92</v>
      </c>
      <c r="C54" s="387"/>
      <c r="D54" s="387" t="s">
        <v>83</v>
      </c>
      <c r="E54" s="387"/>
      <c r="F54" s="35" t="s">
        <v>91</v>
      </c>
      <c r="G54" s="69"/>
    </row>
    <row r="55" spans="1:7" ht="15.6" x14ac:dyDescent="0.3">
      <c r="A55" s="39" t="s">
        <v>84</v>
      </c>
      <c r="B55" s="51">
        <v>0.63100000000000001</v>
      </c>
      <c r="C55" s="40"/>
      <c r="D55" s="51">
        <v>0.61899999999999999</v>
      </c>
      <c r="E55" s="40"/>
      <c r="F55" s="35"/>
      <c r="G55" s="69"/>
    </row>
    <row r="56" spans="1:7" ht="15.6" x14ac:dyDescent="0.3">
      <c r="A56" s="39" t="s">
        <v>85</v>
      </c>
      <c r="B56" s="36">
        <v>9930012</v>
      </c>
      <c r="C56" s="51">
        <f>B56/B$56</f>
        <v>1</v>
      </c>
      <c r="D56" s="36">
        <v>338934</v>
      </c>
      <c r="E56" s="51">
        <f>D56/D$56</f>
        <v>1</v>
      </c>
      <c r="F56" s="51">
        <f t="shared" ref="F56:F62" si="22">D56/B56</f>
        <v>3.4132285036513554E-2</v>
      </c>
      <c r="G56" s="69"/>
    </row>
    <row r="57" spans="1:7" ht="15.6" x14ac:dyDescent="0.3">
      <c r="A57" s="39" t="s">
        <v>90</v>
      </c>
      <c r="B57" s="36">
        <v>57251</v>
      </c>
      <c r="C57" s="51">
        <f t="shared" ref="C57:E62" si="23">B57/B$56</f>
        <v>5.7654512401394886E-3</v>
      </c>
      <c r="D57" s="36">
        <v>8837</v>
      </c>
      <c r="E57" s="51">
        <f t="shared" si="23"/>
        <v>2.6072922751922203E-2</v>
      </c>
      <c r="F57" s="51">
        <f t="shared" si="22"/>
        <v>0.1543553824387347</v>
      </c>
      <c r="G57" s="69"/>
    </row>
    <row r="58" spans="1:7" ht="15.6" x14ac:dyDescent="0.3">
      <c r="A58" s="39" t="s">
        <v>86</v>
      </c>
      <c r="B58" s="36">
        <v>54827</v>
      </c>
      <c r="C58" s="51">
        <f t="shared" si="23"/>
        <v>5.5213427738053083E-3</v>
      </c>
      <c r="D58" s="36">
        <v>747</v>
      </c>
      <c r="E58" s="51">
        <f t="shared" si="23"/>
        <v>2.2039689143018995E-3</v>
      </c>
      <c r="F58" s="51">
        <f t="shared" si="22"/>
        <v>1.3624673974501613E-2</v>
      </c>
      <c r="G58" s="69"/>
    </row>
    <row r="59" spans="1:7" ht="15.6" x14ac:dyDescent="0.3">
      <c r="A59" s="39" t="s">
        <v>96</v>
      </c>
      <c r="B59" s="36">
        <f>37249+172116</f>
        <v>209365</v>
      </c>
      <c r="C59" s="51">
        <f t="shared" si="23"/>
        <v>2.1084063141112015E-2</v>
      </c>
      <c r="D59" s="36">
        <f>18499+55404</f>
        <v>73903</v>
      </c>
      <c r="E59" s="51">
        <f t="shared" si="23"/>
        <v>0.21804540116954924</v>
      </c>
      <c r="F59" s="51">
        <f t="shared" si="22"/>
        <v>0.35298641129128555</v>
      </c>
      <c r="G59" s="69"/>
    </row>
    <row r="60" spans="1:7" ht="15.6" x14ac:dyDescent="0.3">
      <c r="A60" s="39" t="s">
        <v>87</v>
      </c>
      <c r="B60" s="36">
        <v>4878890</v>
      </c>
      <c r="C60" s="51">
        <f t="shared" si="23"/>
        <v>0.49132770433711459</v>
      </c>
      <c r="D60" s="36">
        <v>132443</v>
      </c>
      <c r="E60" s="51">
        <f t="shared" si="23"/>
        <v>0.39076339346303413</v>
      </c>
      <c r="F60" s="51">
        <f t="shared" si="22"/>
        <v>2.7146133649252186E-2</v>
      </c>
      <c r="G60" s="69"/>
    </row>
    <row r="61" spans="1:7" ht="15.6" x14ac:dyDescent="0.3">
      <c r="A61" s="39" t="s">
        <v>88</v>
      </c>
      <c r="B61" s="36">
        <v>176580</v>
      </c>
      <c r="C61" s="51">
        <f t="shared" si="23"/>
        <v>1.7782455852017098E-2</v>
      </c>
      <c r="D61" s="36">
        <v>64545</v>
      </c>
      <c r="E61" s="51">
        <f t="shared" si="23"/>
        <v>0.19043530598877659</v>
      </c>
      <c r="F61" s="51">
        <f t="shared" si="22"/>
        <v>0.36552837240910635</v>
      </c>
      <c r="G61" s="69"/>
    </row>
    <row r="62" spans="1:7" ht="15.6" x14ac:dyDescent="0.3">
      <c r="A62" s="39" t="s">
        <v>95</v>
      </c>
      <c r="B62" s="36">
        <f>B56-B57-B58-B59-B60-B61</f>
        <v>4553099</v>
      </c>
      <c r="C62" s="51">
        <f t="shared" si="23"/>
        <v>0.45851898265581148</v>
      </c>
      <c r="D62" s="36">
        <f>D56-D57-D58-D59-D60-D61</f>
        <v>58459</v>
      </c>
      <c r="E62" s="51">
        <f t="shared" si="23"/>
        <v>0.17247900771241598</v>
      </c>
      <c r="F62" s="51">
        <f t="shared" si="22"/>
        <v>1.2839386975771886E-2</v>
      </c>
      <c r="G62" s="69"/>
    </row>
    <row r="63" spans="1:7" ht="16.2" thickBot="1" x14ac:dyDescent="0.35">
      <c r="A63" s="85" t="s">
        <v>93</v>
      </c>
      <c r="B63" s="43"/>
      <c r="C63" s="43"/>
      <c r="D63" s="43"/>
      <c r="E63" s="43"/>
      <c r="F63" s="43"/>
      <c r="G63" s="86"/>
    </row>
    <row r="64" spans="1:7" ht="16.2" thickTop="1" x14ac:dyDescent="0.3">
      <c r="A64" s="88" t="s">
        <v>98</v>
      </c>
      <c r="B64" s="1">
        <f>856+2058</f>
        <v>2914</v>
      </c>
      <c r="C64" s="1"/>
      <c r="D64" s="1">
        <v>2058</v>
      </c>
      <c r="E64" s="1"/>
      <c r="F64" s="87">
        <f>D64/B64</f>
        <v>0.70624571036376116</v>
      </c>
    </row>
    <row r="65" spans="1:1" ht="15.6" x14ac:dyDescent="0.3">
      <c r="A65" s="88" t="s">
        <v>100</v>
      </c>
    </row>
  </sheetData>
  <mergeCells count="12">
    <mergeCell ref="AE6:AG6"/>
    <mergeCell ref="M6:O6"/>
    <mergeCell ref="S6:U6"/>
    <mergeCell ref="V6:X6"/>
    <mergeCell ref="P6:R6"/>
    <mergeCell ref="Y6:AA6"/>
    <mergeCell ref="AB6:AD6"/>
    <mergeCell ref="D54:E54"/>
    <mergeCell ref="B54:C54"/>
    <mergeCell ref="A53:F53"/>
    <mergeCell ref="G6:I6"/>
    <mergeCell ref="J6:L6"/>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pane xSplit="9" ySplit="7" topLeftCell="J8" activePane="bottomRight" state="frozen"/>
      <selection pane="topRight" activeCell="G1" sqref="G1"/>
      <selection pane="bottomLeft" activeCell="A8" sqref="A8"/>
      <selection pane="bottomRight"/>
    </sheetView>
  </sheetViews>
  <sheetFormatPr baseColWidth="10" defaultRowHeight="14.4" x14ac:dyDescent="0.3"/>
  <cols>
    <col min="1" max="1" width="20.109375" customWidth="1"/>
    <col min="2" max="5" width="14.33203125" customWidth="1"/>
    <col min="6" max="6" width="15.33203125" customWidth="1"/>
    <col min="7" max="7" width="9.109375" customWidth="1"/>
    <col min="8" max="8" width="8.33203125" customWidth="1"/>
    <col min="9" max="9" width="16.77734375" customWidth="1"/>
    <col min="10" max="10" width="8" customWidth="1"/>
    <col min="11" max="11" width="8.77734375" customWidth="1"/>
    <col min="12" max="12" width="8.33203125" customWidth="1"/>
  </cols>
  <sheetData>
    <row r="1" spans="1:13" ht="15.6" x14ac:dyDescent="0.3">
      <c r="A1" s="1" t="s">
        <v>143</v>
      </c>
      <c r="B1" s="19" t="s">
        <v>148</v>
      </c>
      <c r="C1" s="19"/>
      <c r="D1" s="19"/>
      <c r="E1" s="19"/>
      <c r="F1" s="19"/>
      <c r="G1" s="19"/>
      <c r="H1" s="19"/>
      <c r="I1" s="1"/>
      <c r="J1" s="1"/>
      <c r="K1" s="1"/>
    </row>
    <row r="2" spans="1:13" ht="15.6" x14ac:dyDescent="0.3">
      <c r="A2" s="1"/>
      <c r="B2" s="1" t="s">
        <v>149</v>
      </c>
      <c r="C2" s="1"/>
      <c r="D2" s="1"/>
      <c r="E2" s="1"/>
      <c r="F2" s="19"/>
      <c r="G2" s="19"/>
      <c r="H2" s="19"/>
      <c r="I2" s="1"/>
      <c r="J2" s="1"/>
      <c r="K2" s="1"/>
    </row>
    <row r="3" spans="1:13" ht="15.6" x14ac:dyDescent="0.3">
      <c r="A3" s="1"/>
      <c r="B3" s="19" t="s">
        <v>150</v>
      </c>
      <c r="C3" s="19"/>
      <c r="D3" s="19"/>
      <c r="E3" s="19"/>
      <c r="F3" s="19"/>
      <c r="G3" s="19"/>
      <c r="H3" s="19"/>
      <c r="I3" s="1"/>
      <c r="J3" s="1"/>
      <c r="K3" s="1"/>
    </row>
    <row r="4" spans="1:13" ht="15.6" x14ac:dyDescent="0.3">
      <c r="A4" s="1"/>
      <c r="B4" s="1"/>
      <c r="C4" s="1"/>
      <c r="D4" s="1"/>
      <c r="E4" s="1"/>
      <c r="F4" s="19"/>
      <c r="G4" s="19"/>
      <c r="H4" s="19"/>
      <c r="I4" s="1"/>
      <c r="J4" s="1"/>
      <c r="K4" s="1"/>
    </row>
    <row r="5" spans="1:13" ht="16.2" thickBot="1" x14ac:dyDescent="0.35">
      <c r="A5" s="1"/>
      <c r="B5" s="1"/>
      <c r="C5" s="1"/>
      <c r="D5" s="1"/>
      <c r="E5" s="1"/>
      <c r="F5" s="19"/>
      <c r="G5" s="19"/>
      <c r="H5" s="19"/>
      <c r="I5" s="1"/>
      <c r="J5" s="1"/>
      <c r="K5" s="1"/>
    </row>
    <row r="6" spans="1:13" ht="16.2" thickTop="1" x14ac:dyDescent="0.3">
      <c r="A6" s="28"/>
      <c r="B6" s="22"/>
      <c r="C6" s="388" t="s">
        <v>209</v>
      </c>
      <c r="D6" s="389"/>
      <c r="E6" s="390"/>
      <c r="F6" s="388" t="s">
        <v>145</v>
      </c>
      <c r="G6" s="389"/>
      <c r="H6" s="390"/>
      <c r="I6" s="388" t="s">
        <v>146</v>
      </c>
      <c r="J6" s="389"/>
      <c r="K6" s="390"/>
    </row>
    <row r="7" spans="1:13" ht="16.2" thickBot="1" x14ac:dyDescent="0.35">
      <c r="A7" s="22"/>
      <c r="B7" s="22"/>
      <c r="C7" s="100">
        <v>253896330</v>
      </c>
      <c r="D7" s="51"/>
      <c r="E7" s="69"/>
      <c r="F7" s="100">
        <v>44107869</v>
      </c>
      <c r="G7" s="51"/>
      <c r="H7" s="69"/>
      <c r="I7" s="25">
        <f>Census1871!M7+Census1871!P7</f>
        <v>42001436</v>
      </c>
      <c r="J7" s="24"/>
      <c r="K7" s="69"/>
    </row>
    <row r="8" spans="1:13" ht="16.2" thickTop="1" x14ac:dyDescent="0.3">
      <c r="A8" s="30" t="s">
        <v>144</v>
      </c>
      <c r="B8" s="31"/>
      <c r="C8" s="100">
        <f>C7-C12-C13</f>
        <v>203624856.66</v>
      </c>
      <c r="D8" s="70">
        <f>C8/C$7</f>
        <v>0.80199999999999994</v>
      </c>
      <c r="E8" s="71">
        <f>C8/C$8</f>
        <v>1</v>
      </c>
      <c r="F8" s="100">
        <f>38053394+79957+51532-F13</f>
        <v>38164715.891516469</v>
      </c>
      <c r="G8" s="70">
        <f>F8/F$7</f>
        <v>0.86525866601073997</v>
      </c>
      <c r="H8" s="71">
        <f>F8/F$8</f>
        <v>1</v>
      </c>
      <c r="I8" s="100">
        <f>Census1871!M8+Census1871!P8</f>
        <v>36682191</v>
      </c>
      <c r="J8" s="70">
        <f>I8/I$7</f>
        <v>0.8733556395548</v>
      </c>
      <c r="K8" s="71">
        <f>I8/I$8</f>
        <v>1</v>
      </c>
    </row>
    <row r="9" spans="1:13" ht="15.6" x14ac:dyDescent="0.3">
      <c r="A9" s="35" t="s">
        <v>61</v>
      </c>
      <c r="B9" s="40"/>
      <c r="C9" s="117">
        <f>E9*C$8</f>
        <v>13367710.947136132</v>
      </c>
      <c r="D9" s="118">
        <f>C9/C$7</f>
        <v>5.26502724444112E-2</v>
      </c>
      <c r="E9" s="119">
        <f>Census1871!F9*Census1881!H9/Census1881!K9</f>
        <v>6.5648718758617455E-2</v>
      </c>
      <c r="F9" s="38">
        <v>4690850</v>
      </c>
      <c r="G9" s="72">
        <f t="shared" ref="G9:G12" si="0">F9/F$7</f>
        <v>0.10634950421204888</v>
      </c>
      <c r="H9" s="55">
        <f t="shared" ref="H9:H11" si="1">F9/F$8</f>
        <v>0.12291064902287707</v>
      </c>
      <c r="I9" s="38">
        <f>Census1871!M9+Census1871!P9</f>
        <v>4632150</v>
      </c>
      <c r="J9" s="72">
        <f t="shared" ref="J9:J13" si="2">I9/I$7</f>
        <v>0.11028551500001095</v>
      </c>
      <c r="K9" s="55">
        <f t="shared" ref="K9:K11" si="3">I9/I$8</f>
        <v>0.12627789872202563</v>
      </c>
      <c r="M9" s="93"/>
    </row>
    <row r="10" spans="1:13" ht="15.6" x14ac:dyDescent="0.3">
      <c r="A10" s="35" t="s">
        <v>62</v>
      </c>
      <c r="B10" s="40"/>
      <c r="C10" s="117">
        <f t="shared" ref="C10:C11" si="4">E10*C$8</f>
        <v>7514644.6805760441</v>
      </c>
      <c r="D10" s="118">
        <f t="shared" ref="D10:D11" si="5">C10/C$7</f>
        <v>2.9597295402324423E-2</v>
      </c>
      <c r="E10" s="119">
        <f>Census1871!F10*Census1881!H10/Census1881!K10</f>
        <v>3.6904358357012994E-2</v>
      </c>
      <c r="F10" s="38">
        <v>3127207</v>
      </c>
      <c r="G10" s="72">
        <f t="shared" si="0"/>
        <v>7.0899072453488962E-2</v>
      </c>
      <c r="H10" s="55">
        <f t="shared" si="1"/>
        <v>8.1939742690319312E-2</v>
      </c>
      <c r="I10" s="38">
        <f>Census1871!M10+Census1871!P10</f>
        <v>3058634</v>
      </c>
      <c r="J10" s="72">
        <f t="shared" si="2"/>
        <v>7.2822129224343668E-2</v>
      </c>
      <c r="K10" s="55">
        <f t="shared" si="3"/>
        <v>8.3381987733502611E-2</v>
      </c>
    </row>
    <row r="11" spans="1:13" ht="16.2" thickBot="1" x14ac:dyDescent="0.35">
      <c r="A11" s="35" t="s">
        <v>147</v>
      </c>
      <c r="B11" s="40"/>
      <c r="C11" s="117">
        <f t="shared" si="4"/>
        <v>182742501.03228784</v>
      </c>
      <c r="D11" s="118">
        <f t="shared" si="5"/>
        <v>0.71975243215326445</v>
      </c>
      <c r="E11" s="119">
        <f>1-E9-E10</f>
        <v>0.89744692288436956</v>
      </c>
      <c r="F11" s="38">
        <f>F8-F9-F10</f>
        <v>30346658.891516469</v>
      </c>
      <c r="G11" s="72">
        <f t="shared" si="0"/>
        <v>0.68801008934520214</v>
      </c>
      <c r="H11" s="55">
        <f t="shared" si="1"/>
        <v>0.79514960828680359</v>
      </c>
      <c r="I11" s="38">
        <f>Census1871!M11+Census1871!P11+Census1871!M13+Census1871!P13</f>
        <v>28991407</v>
      </c>
      <c r="J11" s="72">
        <f t="shared" si="2"/>
        <v>0.69024799533044534</v>
      </c>
      <c r="K11" s="55">
        <f t="shared" si="3"/>
        <v>0.79034011354447176</v>
      </c>
    </row>
    <row r="12" spans="1:13" ht="16.2" thickTop="1" x14ac:dyDescent="0.3">
      <c r="A12" s="30" t="s">
        <v>42</v>
      </c>
      <c r="B12" s="94"/>
      <c r="C12" s="103">
        <f>0.1974*C7</f>
        <v>50119135.541999996</v>
      </c>
      <c r="D12" s="96">
        <f t="shared" ref="D12:D13" si="6">C12/C$7</f>
        <v>0.19739999999999999</v>
      </c>
      <c r="E12" s="97"/>
      <c r="F12" s="103">
        <v>5922886</v>
      </c>
      <c r="G12" s="96">
        <f t="shared" si="0"/>
        <v>0.13428184435752269</v>
      </c>
      <c r="H12" s="97"/>
      <c r="I12" s="103">
        <f>Census1871!M14+Census1871!P14</f>
        <v>5300041</v>
      </c>
      <c r="J12" s="96">
        <f t="shared" si="2"/>
        <v>0.12618713798261563</v>
      </c>
      <c r="K12" s="97"/>
    </row>
    <row r="13" spans="1:13" ht="16.2" thickBot="1" x14ac:dyDescent="0.35">
      <c r="A13" s="42" t="s">
        <v>89</v>
      </c>
      <c r="B13" s="53"/>
      <c r="C13" s="104">
        <f>0.0006*C7</f>
        <v>152337.79799999998</v>
      </c>
      <c r="D13" s="74">
        <f t="shared" si="6"/>
        <v>5.9999999999999995E-4</v>
      </c>
      <c r="E13" s="75"/>
      <c r="F13" s="104">
        <f>J13*F7</f>
        <v>20167.108483528991</v>
      </c>
      <c r="G13" s="74">
        <f>F13/F$7</f>
        <v>4.5722246258437447E-4</v>
      </c>
      <c r="H13" s="75"/>
      <c r="I13" s="104">
        <f>Census1871!M15+Census1871!P15</f>
        <v>19204</v>
      </c>
      <c r="J13" s="74">
        <f t="shared" si="2"/>
        <v>4.5722246258437447E-4</v>
      </c>
      <c r="K13" s="75"/>
    </row>
    <row r="14" spans="1:13" ht="16.2" thickTop="1" x14ac:dyDescent="0.3">
      <c r="A14" s="34"/>
      <c r="B14" s="52"/>
      <c r="C14" s="52"/>
      <c r="D14" s="52"/>
      <c r="E14" s="52"/>
      <c r="F14" s="58"/>
      <c r="G14" s="1"/>
      <c r="H14" s="1"/>
      <c r="I14" s="1"/>
      <c r="J14" s="1"/>
      <c r="K14" s="1"/>
      <c r="L14" s="1"/>
    </row>
    <row r="15" spans="1:13" ht="15.6" x14ac:dyDescent="0.3">
      <c r="A15" s="1" t="s">
        <v>210</v>
      </c>
    </row>
    <row r="16" spans="1:13" ht="15.6" x14ac:dyDescent="0.3">
      <c r="A16" s="99" t="s">
        <v>211</v>
      </c>
    </row>
    <row r="17" spans="1:5" ht="15.6" x14ac:dyDescent="0.3">
      <c r="A17" s="98" t="s">
        <v>151</v>
      </c>
    </row>
    <row r="18" spans="1:5" ht="15.6" x14ac:dyDescent="0.3">
      <c r="A18" s="99" t="s">
        <v>152</v>
      </c>
    </row>
    <row r="19" spans="1:5" ht="15.6" x14ac:dyDescent="0.3">
      <c r="A19" s="99" t="s">
        <v>212</v>
      </c>
    </row>
    <row r="21" spans="1:5" ht="15.6" x14ac:dyDescent="0.3">
      <c r="A21" s="99" t="s">
        <v>472</v>
      </c>
    </row>
    <row r="22" spans="1:5" ht="15.6" x14ac:dyDescent="0.3">
      <c r="A22" s="99"/>
      <c r="D22" s="1" t="s">
        <v>470</v>
      </c>
      <c r="E22" s="1" t="s">
        <v>471</v>
      </c>
    </row>
    <row r="23" spans="1:5" ht="15.6" x14ac:dyDescent="0.3">
      <c r="A23" s="99" t="s">
        <v>468</v>
      </c>
      <c r="C23" s="18">
        <f>D8</f>
        <v>0.80199999999999994</v>
      </c>
      <c r="D23" s="21">
        <f>C9</f>
        <v>13367710.947136132</v>
      </c>
      <c r="E23" s="21">
        <f>C10</f>
        <v>7514644.6805760441</v>
      </c>
    </row>
    <row r="24" spans="1:5" ht="15.6" x14ac:dyDescent="0.3">
      <c r="A24" s="99" t="s">
        <v>469</v>
      </c>
      <c r="C24" s="18">
        <f>'T8.1'!C5</f>
        <v>0.76449999999999996</v>
      </c>
      <c r="D24" s="21">
        <f>$C24*D23/$C23</f>
        <v>12742662.118560566</v>
      </c>
      <c r="E24" s="21">
        <f>$C24*E23/$C23</f>
        <v>7163274.137531653</v>
      </c>
    </row>
  </sheetData>
  <mergeCells count="3">
    <mergeCell ref="C6:E6"/>
    <mergeCell ref="F6:H6"/>
    <mergeCell ref="I6:K6"/>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8"/>
  <sheetViews>
    <sheetView workbookViewId="0">
      <pane xSplit="8" ySplit="7" topLeftCell="I8" activePane="bottomRight" state="frozen"/>
      <selection pane="topRight" activeCell="G1" sqref="G1"/>
      <selection pane="bottomLeft" activeCell="A8" sqref="A8"/>
      <selection pane="bottomRight"/>
    </sheetView>
  </sheetViews>
  <sheetFormatPr baseColWidth="10" defaultRowHeight="14.4" x14ac:dyDescent="0.3"/>
  <cols>
    <col min="1" max="1" width="20.109375" customWidth="1"/>
    <col min="2" max="2" width="14.33203125" customWidth="1"/>
    <col min="3" max="3" width="9.109375" customWidth="1"/>
    <col min="4" max="4" width="14.109375" customWidth="1"/>
    <col min="5" max="5" width="9.77734375" customWidth="1"/>
    <col min="6" max="6" width="18.109375" customWidth="1"/>
    <col min="7" max="7" width="8.33203125" customWidth="1"/>
    <col min="8" max="8" width="8.109375" customWidth="1"/>
    <col min="9" max="9" width="14" customWidth="1"/>
    <col min="10" max="10" width="7.44140625" customWidth="1"/>
    <col min="11" max="11" width="8.33203125" customWidth="1"/>
    <col min="12" max="12" width="12.109375" customWidth="1"/>
    <col min="13" max="14" width="8.6640625" customWidth="1"/>
    <col min="15" max="15" width="12.6640625" customWidth="1"/>
    <col min="16" max="16" width="7.44140625" customWidth="1"/>
    <col min="17" max="17" width="8.6640625" customWidth="1"/>
    <col min="18" max="18" width="12.6640625" customWidth="1"/>
    <col min="19" max="20" width="8.6640625" customWidth="1"/>
    <col min="21" max="21" width="11.77734375" customWidth="1"/>
    <col min="22" max="22" width="8.33203125" customWidth="1"/>
    <col min="23" max="23" width="8.6640625" customWidth="1"/>
    <col min="24" max="24" width="12.77734375" customWidth="1"/>
    <col min="25" max="26" width="8.44140625" customWidth="1"/>
    <col min="27" max="27" width="12.109375" bestFit="1" customWidth="1"/>
    <col min="28" max="28" width="8.109375" customWidth="1"/>
    <col min="29" max="29" width="8.33203125" customWidth="1"/>
    <col min="31" max="31" width="9.109375" customWidth="1"/>
    <col min="32" max="32" width="9.44140625" customWidth="1"/>
    <col min="33" max="33" width="12.109375" bestFit="1" customWidth="1"/>
  </cols>
  <sheetData>
    <row r="1" spans="1:35" ht="15.6" x14ac:dyDescent="0.3">
      <c r="A1" s="1" t="s">
        <v>143</v>
      </c>
      <c r="B1" s="19" t="s">
        <v>154</v>
      </c>
      <c r="C1" s="19"/>
      <c r="D1" s="19"/>
      <c r="E1" s="19"/>
      <c r="F1" s="19"/>
      <c r="G1" s="19"/>
      <c r="H1" s="1"/>
      <c r="I1" s="1"/>
      <c r="J1" s="1"/>
    </row>
    <row r="2" spans="1:35" ht="18.45" customHeight="1" thickBot="1" x14ac:dyDescent="0.35">
      <c r="A2" s="1" t="s">
        <v>301</v>
      </c>
      <c r="F2" s="1"/>
      <c r="G2" s="1"/>
      <c r="I2" s="1"/>
      <c r="J2" s="1"/>
    </row>
    <row r="3" spans="1:35" ht="34.950000000000003" customHeight="1" thickTop="1" thickBot="1" x14ac:dyDescent="0.35">
      <c r="A3" s="29"/>
      <c r="B3" s="394" t="s">
        <v>40</v>
      </c>
      <c r="C3" s="394"/>
      <c r="D3" s="395" t="s">
        <v>36</v>
      </c>
      <c r="E3" s="395"/>
      <c r="F3" s="391" t="s">
        <v>35</v>
      </c>
      <c r="G3" s="393"/>
      <c r="I3" s="26"/>
      <c r="J3" s="26"/>
      <c r="K3" s="26"/>
      <c r="U3" s="21"/>
      <c r="V3" s="24"/>
    </row>
    <row r="4" spans="1:35" ht="16.2" thickTop="1" x14ac:dyDescent="0.3">
      <c r="A4" s="50" t="s">
        <v>37</v>
      </c>
      <c r="B4" s="58">
        <v>287223431</v>
      </c>
      <c r="C4" s="58"/>
      <c r="D4" s="58">
        <v>66050479</v>
      </c>
      <c r="E4" s="58"/>
      <c r="F4" s="100">
        <v>221172952</v>
      </c>
      <c r="G4" s="37"/>
      <c r="I4" s="388" t="s">
        <v>47</v>
      </c>
      <c r="J4" s="389"/>
      <c r="K4" s="390"/>
      <c r="L4" s="391" t="s">
        <v>46</v>
      </c>
      <c r="M4" s="392"/>
      <c r="N4" s="393"/>
      <c r="O4" s="388" t="s">
        <v>72</v>
      </c>
      <c r="P4" s="389"/>
      <c r="Q4" s="390"/>
      <c r="R4" s="388" t="s">
        <v>50</v>
      </c>
      <c r="S4" s="389"/>
      <c r="T4" s="390"/>
      <c r="U4" s="388" t="s">
        <v>48</v>
      </c>
      <c r="V4" s="389"/>
      <c r="W4" s="390"/>
      <c r="X4" s="388" t="s">
        <v>49</v>
      </c>
      <c r="Y4" s="389"/>
      <c r="Z4" s="390"/>
      <c r="AA4" s="388" t="s">
        <v>73</v>
      </c>
      <c r="AB4" s="389"/>
      <c r="AC4" s="390"/>
      <c r="AD4" s="388" t="s">
        <v>51</v>
      </c>
      <c r="AE4" s="389"/>
      <c r="AF4" s="390"/>
      <c r="AG4" s="388" t="s">
        <v>77</v>
      </c>
      <c r="AH4" s="389"/>
      <c r="AI4" s="390"/>
    </row>
    <row r="5" spans="1:35" ht="16.2" thickBot="1" x14ac:dyDescent="0.35">
      <c r="A5" s="65"/>
      <c r="B5" s="57">
        <f>B4/$B4</f>
        <v>1</v>
      </c>
      <c r="C5" s="57"/>
      <c r="D5" s="57">
        <f>D4/$B4</f>
        <v>0.2299620151811361</v>
      </c>
      <c r="E5" s="57"/>
      <c r="F5" s="101">
        <f>F4/$B4</f>
        <v>0.77003798481886387</v>
      </c>
      <c r="G5" s="86"/>
      <c r="I5" s="38">
        <v>71346987</v>
      </c>
      <c r="J5" s="51">
        <f>I5/F$4</f>
        <v>0.32258459434045084</v>
      </c>
      <c r="K5" s="69"/>
      <c r="L5" s="38">
        <v>35630440</v>
      </c>
      <c r="M5" s="51">
        <f>L5/F$4</f>
        <v>0.16109763729156176</v>
      </c>
      <c r="N5" s="69"/>
      <c r="O5" s="38">
        <v>34254254</v>
      </c>
      <c r="P5" s="51">
        <f>O5/F$4</f>
        <v>0.15487542075217225</v>
      </c>
      <c r="Q5" s="69"/>
      <c r="R5" s="21">
        <v>12650831</v>
      </c>
      <c r="S5" s="24">
        <f>R5/F$4</f>
        <v>5.7198816064995148E-2</v>
      </c>
      <c r="T5" s="69"/>
      <c r="U5" s="21">
        <v>20866847</v>
      </c>
      <c r="V5" s="24">
        <f>U5/F$4</f>
        <v>9.434628787700948E-2</v>
      </c>
      <c r="W5" s="69"/>
      <c r="X5" s="21">
        <f>15985270+2871774</f>
        <v>18857044</v>
      </c>
      <c r="Y5" s="24">
        <f>X5/F$4</f>
        <v>8.5259268050100451E-2</v>
      </c>
      <c r="Z5" s="69"/>
      <c r="AA5" s="21">
        <v>10784294</v>
      </c>
      <c r="AB5" s="24">
        <f>AA5/F$4</f>
        <v>4.8759551755677609E-2</v>
      </c>
      <c r="AC5" s="69"/>
      <c r="AD5" s="21">
        <v>2946933</v>
      </c>
      <c r="AE5" s="24">
        <f>AD5/F$4</f>
        <v>1.3324111168891936E-2</v>
      </c>
      <c r="AF5" s="69"/>
      <c r="AG5" s="38">
        <f>F4-I5-L5-O5-U5-X5-R5-AA5-AD5</f>
        <v>13835322</v>
      </c>
      <c r="AH5" s="51">
        <f>AG5/F$4</f>
        <v>6.2554312699140538E-2</v>
      </c>
      <c r="AI5" s="69"/>
    </row>
    <row r="6" spans="1:35" ht="16.2" thickTop="1" x14ac:dyDescent="0.3">
      <c r="A6" s="30" t="s">
        <v>41</v>
      </c>
      <c r="B6" s="32">
        <v>207731727</v>
      </c>
      <c r="C6" s="33">
        <f t="shared" ref="C6:C11" si="0">B6/B$4</f>
        <v>0.72324088002416487</v>
      </c>
      <c r="D6" s="32">
        <v>52559784</v>
      </c>
      <c r="E6" s="33">
        <f t="shared" ref="E6:E11" si="1">D6/D$4</f>
        <v>0.79575174617583011</v>
      </c>
      <c r="F6" s="32">
        <v>155171943</v>
      </c>
      <c r="G6" s="33">
        <f t="shared" ref="G6:G11" si="2">F6/F$4</f>
        <v>0.70158643539739884</v>
      </c>
      <c r="H6" s="1"/>
      <c r="I6" s="1"/>
      <c r="J6" s="1"/>
      <c r="K6" s="1"/>
      <c r="L6" s="1"/>
      <c r="M6" s="1"/>
      <c r="N6" s="1"/>
      <c r="O6" s="1"/>
      <c r="P6" s="1"/>
      <c r="Q6" s="1"/>
      <c r="R6" s="1"/>
      <c r="S6" s="1"/>
      <c r="T6" s="1"/>
      <c r="U6" s="1"/>
      <c r="V6" s="1"/>
      <c r="W6" s="1"/>
      <c r="X6" s="1"/>
      <c r="Y6" s="1"/>
      <c r="Z6" s="1"/>
      <c r="AA6" s="1"/>
      <c r="AB6" s="1"/>
      <c r="AC6" s="1"/>
    </row>
    <row r="7" spans="1:35" ht="15.6" x14ac:dyDescent="0.3">
      <c r="A7" s="34" t="s">
        <v>42</v>
      </c>
      <c r="B7" s="36">
        <v>57321164</v>
      </c>
      <c r="C7" s="37">
        <f t="shared" si="0"/>
        <v>0.19956994386018598</v>
      </c>
      <c r="D7" s="36">
        <v>7770673</v>
      </c>
      <c r="E7" s="37">
        <f t="shared" si="1"/>
        <v>0.11764748897581803</v>
      </c>
      <c r="F7" s="36">
        <v>49550491</v>
      </c>
      <c r="G7" s="37">
        <f t="shared" si="2"/>
        <v>0.22403503932976399</v>
      </c>
      <c r="H7" s="1"/>
      <c r="I7" s="1"/>
      <c r="J7" s="1"/>
      <c r="K7" s="1"/>
      <c r="L7" s="1"/>
      <c r="M7" s="1"/>
      <c r="N7" s="1"/>
      <c r="O7" s="1"/>
      <c r="P7" s="1"/>
      <c r="Q7" s="1"/>
      <c r="R7" s="1"/>
      <c r="S7" s="1"/>
      <c r="T7" s="1"/>
      <c r="U7" s="1"/>
      <c r="V7" s="1"/>
      <c r="W7" s="1"/>
      <c r="X7" s="1"/>
      <c r="Y7" s="1"/>
      <c r="Z7" s="1"/>
    </row>
    <row r="8" spans="1:35" ht="15.6" x14ac:dyDescent="0.3">
      <c r="A8" s="34" t="s">
        <v>43</v>
      </c>
      <c r="B8" s="36">
        <f>7131361+1416638</f>
        <v>8547999</v>
      </c>
      <c r="C8" s="37">
        <f t="shared" si="0"/>
        <v>2.9760799703001946E-2</v>
      </c>
      <c r="D8" s="36">
        <f>35963+921637</f>
        <v>957600</v>
      </c>
      <c r="E8" s="37">
        <f t="shared" si="1"/>
        <v>1.4498002353624112E-2</v>
      </c>
      <c r="F8" s="36">
        <f>7095398+495001</f>
        <v>7590399</v>
      </c>
      <c r="G8" s="37">
        <f t="shared" si="2"/>
        <v>3.4318839312684132E-2</v>
      </c>
      <c r="H8" s="1"/>
      <c r="I8" s="1"/>
      <c r="J8" s="1"/>
      <c r="K8" s="1"/>
      <c r="L8" s="1"/>
      <c r="M8" s="1"/>
      <c r="N8" s="1"/>
      <c r="O8" s="1"/>
      <c r="P8" s="1"/>
      <c r="Q8" s="1"/>
      <c r="R8" s="1"/>
      <c r="S8" s="1"/>
      <c r="T8" s="1"/>
      <c r="U8" s="1"/>
      <c r="V8" s="1"/>
      <c r="W8" s="1"/>
      <c r="X8" s="1"/>
      <c r="Y8" s="1"/>
      <c r="Z8" s="1"/>
    </row>
    <row r="9" spans="1:35" ht="15.6" x14ac:dyDescent="0.3">
      <c r="A9" s="34" t="s">
        <v>56</v>
      </c>
      <c r="B9" s="36">
        <v>1907833</v>
      </c>
      <c r="C9" s="37">
        <f t="shared" si="0"/>
        <v>6.6423306530308803E-3</v>
      </c>
      <c r="D9" s="36">
        <v>1407968</v>
      </c>
      <c r="E9" s="37">
        <f t="shared" si="1"/>
        <v>2.1316544880772174E-2</v>
      </c>
      <c r="F9" s="36">
        <v>1407968</v>
      </c>
      <c r="G9" s="37">
        <f t="shared" si="2"/>
        <v>6.3659140381686456E-3</v>
      </c>
      <c r="I9" s="1"/>
      <c r="J9" s="1"/>
      <c r="K9" s="1"/>
      <c r="L9" s="1"/>
      <c r="M9" s="1"/>
      <c r="N9" s="1"/>
      <c r="O9" s="1"/>
      <c r="P9" s="1"/>
      <c r="Q9" s="1"/>
      <c r="R9" s="1"/>
      <c r="S9" s="1"/>
      <c r="T9" s="1"/>
      <c r="U9" s="1"/>
      <c r="V9" s="1"/>
      <c r="W9" s="1"/>
      <c r="X9" s="1"/>
      <c r="Y9" s="1"/>
      <c r="Z9" s="1"/>
    </row>
    <row r="10" spans="1:35" ht="15.6" x14ac:dyDescent="0.3">
      <c r="A10" s="34" t="s">
        <v>44</v>
      </c>
      <c r="B10" s="36">
        <v>2284380</v>
      </c>
      <c r="C10" s="37">
        <f t="shared" si="0"/>
        <v>7.9533204935498449E-3</v>
      </c>
      <c r="D10" s="36">
        <v>792718</v>
      </c>
      <c r="E10" s="37">
        <f t="shared" si="1"/>
        <v>1.2001699488053675E-2</v>
      </c>
      <c r="F10" s="36">
        <v>1491662</v>
      </c>
      <c r="G10" s="37">
        <f t="shared" si="2"/>
        <v>6.7443237815083285E-3</v>
      </c>
      <c r="J10" s="1"/>
      <c r="K10" s="1"/>
      <c r="L10" s="1"/>
      <c r="M10" s="1"/>
      <c r="N10" s="1"/>
      <c r="O10" s="1"/>
      <c r="P10" s="1"/>
      <c r="Q10" s="1"/>
      <c r="R10" s="1"/>
      <c r="S10" s="1"/>
      <c r="T10" s="1"/>
      <c r="U10" s="1"/>
      <c r="V10" s="1"/>
      <c r="W10" s="1"/>
      <c r="X10" s="1"/>
      <c r="Y10" s="1"/>
      <c r="Z10" s="1"/>
      <c r="AA10" s="1"/>
      <c r="AB10" s="1"/>
      <c r="AC10" s="1"/>
      <c r="AD10" s="1"/>
      <c r="AE10" s="1"/>
      <c r="AF10" s="1"/>
      <c r="AG10" s="1"/>
      <c r="AH10" s="1"/>
      <c r="AI10" s="1"/>
    </row>
    <row r="11" spans="1:35" ht="16.2" thickBot="1" x14ac:dyDescent="0.35">
      <c r="A11" s="42" t="s">
        <v>162</v>
      </c>
      <c r="B11" s="44">
        <f>B4-B6-B7-B8-B9-B10</f>
        <v>9430328</v>
      </c>
      <c r="C11" s="45">
        <f t="shared" si="0"/>
        <v>3.2832725266066475E-2</v>
      </c>
      <c r="D11" s="44">
        <f>D4-D6-D7-D8-D9-D10</f>
        <v>2561736</v>
      </c>
      <c r="E11" s="45">
        <f t="shared" si="1"/>
        <v>3.8784518125901855E-2</v>
      </c>
      <c r="F11" s="44">
        <f>F4-F6-F7-F8-F9-F10</f>
        <v>5960489</v>
      </c>
      <c r="G11" s="45">
        <f t="shared" si="2"/>
        <v>2.6949448140476055E-2</v>
      </c>
    </row>
    <row r="12" spans="1:35" ht="16.2" thickTop="1" x14ac:dyDescent="0.3">
      <c r="A12" s="1"/>
      <c r="B12" s="83"/>
      <c r="C12" s="1"/>
      <c r="F12" s="21"/>
      <c r="G12" s="24"/>
    </row>
    <row r="13" spans="1:35" ht="16.2" thickBot="1" x14ac:dyDescent="0.35">
      <c r="A13" s="50" t="s">
        <v>37</v>
      </c>
      <c r="B13" s="58">
        <v>287223431</v>
      </c>
      <c r="C13" s="58"/>
      <c r="F13" s="21"/>
      <c r="G13" s="24"/>
    </row>
    <row r="14" spans="1:35" ht="16.2" thickTop="1" x14ac:dyDescent="0.3">
      <c r="A14" s="105" t="s">
        <v>164</v>
      </c>
      <c r="B14" s="32">
        <f>B6+B8+B9+B10+B11-B19</f>
        <v>229729932.94139999</v>
      </c>
      <c r="C14" s="90">
        <f t="shared" ref="C14:C19" si="3">B14/B$4</f>
        <v>0.79983005613981395</v>
      </c>
      <c r="D14" s="33">
        <f>B14/B$14</f>
        <v>1</v>
      </c>
      <c r="F14" s="21"/>
      <c r="G14" s="24"/>
    </row>
    <row r="15" spans="1:35" ht="15.6" x14ac:dyDescent="0.3">
      <c r="A15" s="35" t="s">
        <v>61</v>
      </c>
      <c r="B15" s="36">
        <v>14821732</v>
      </c>
      <c r="C15" s="51">
        <f t="shared" si="3"/>
        <v>5.1603491917064384E-2</v>
      </c>
      <c r="D15" s="37">
        <f t="shared" ref="D15:D17" si="4">B15/B$14</f>
        <v>6.4518070458762372E-2</v>
      </c>
      <c r="F15" s="21"/>
      <c r="G15" s="24"/>
    </row>
    <row r="16" spans="1:35" ht="15.6" x14ac:dyDescent="0.3">
      <c r="A16" s="35" t="s">
        <v>62</v>
      </c>
      <c r="B16" s="36">
        <v>10424346</v>
      </c>
      <c r="C16" s="51">
        <f t="shared" si="3"/>
        <v>3.6293508380240744E-2</v>
      </c>
      <c r="D16" s="37">
        <f t="shared" si="4"/>
        <v>4.5376524802534395E-2</v>
      </c>
      <c r="F16" s="21"/>
      <c r="G16" s="24"/>
    </row>
    <row r="17" spans="1:7" ht="15.6" x14ac:dyDescent="0.3">
      <c r="A17" s="35" t="s">
        <v>63</v>
      </c>
      <c r="B17" s="36">
        <f>B14-B15-B16</f>
        <v>204483854.94139999</v>
      </c>
      <c r="C17" s="51">
        <f t="shared" si="3"/>
        <v>0.71193305584250888</v>
      </c>
      <c r="D17" s="37">
        <f t="shared" si="4"/>
        <v>0.89010540473870325</v>
      </c>
      <c r="F17" s="21"/>
      <c r="G17" s="24"/>
    </row>
    <row r="18" spans="1:7" ht="15.6" x14ac:dyDescent="0.3">
      <c r="A18" s="106" t="s">
        <v>42</v>
      </c>
      <c r="B18" s="36">
        <f>B7</f>
        <v>57321164</v>
      </c>
      <c r="C18" s="51">
        <f t="shared" si="3"/>
        <v>0.19956994386018598</v>
      </c>
      <c r="D18" s="69"/>
      <c r="F18" s="21"/>
      <c r="G18" s="24"/>
    </row>
    <row r="19" spans="1:7" ht="16.2" thickBot="1" x14ac:dyDescent="0.35">
      <c r="A19" s="107" t="s">
        <v>166</v>
      </c>
      <c r="B19" s="44">
        <f>0.0006*B13</f>
        <v>172334.05859999999</v>
      </c>
      <c r="C19" s="54">
        <f t="shared" si="3"/>
        <v>5.9999999999999995E-4</v>
      </c>
      <c r="D19" s="86"/>
      <c r="F19" s="21"/>
      <c r="G19" s="24"/>
    </row>
    <row r="20" spans="1:7" ht="16.8" thickTop="1" thickBot="1" x14ac:dyDescent="0.35">
      <c r="A20" s="34"/>
      <c r="B20" s="36"/>
      <c r="C20" s="51"/>
      <c r="F20" s="21"/>
      <c r="G20" s="24"/>
    </row>
    <row r="21" spans="1:7" ht="16.2" thickTop="1" x14ac:dyDescent="0.3">
      <c r="A21" s="67" t="s">
        <v>171</v>
      </c>
      <c r="B21" s="32"/>
      <c r="C21" s="90"/>
      <c r="D21" s="108"/>
      <c r="F21" s="21"/>
      <c r="G21" s="24"/>
    </row>
    <row r="22" spans="1:7" ht="15.6" x14ac:dyDescent="0.3">
      <c r="A22" s="39" t="s">
        <v>167</v>
      </c>
      <c r="B22" s="36">
        <v>3324095</v>
      </c>
      <c r="C22" s="51">
        <f t="shared" ref="C22" si="5">B22/B$4</f>
        <v>1.1573202744730112E-2</v>
      </c>
      <c r="D22" s="37">
        <f t="shared" ref="D22" si="6">B22/B$14</f>
        <v>1.4469577200668566E-2</v>
      </c>
      <c r="F22" s="21"/>
      <c r="G22" s="24"/>
    </row>
    <row r="23" spans="1:7" ht="15.6" x14ac:dyDescent="0.3">
      <c r="A23" s="39" t="s">
        <v>168</v>
      </c>
      <c r="B23" s="36">
        <v>3186666</v>
      </c>
      <c r="C23" s="51">
        <f t="shared" ref="C23:C24" si="7">B23/B$4</f>
        <v>1.1094728549496367E-2</v>
      </c>
      <c r="D23" s="37">
        <f t="shared" ref="D23:D24" si="8">B23/B$14</f>
        <v>1.387135737689377E-2</v>
      </c>
      <c r="F23" s="21"/>
      <c r="G23" s="24"/>
    </row>
    <row r="24" spans="1:7" ht="16.2" thickBot="1" x14ac:dyDescent="0.35">
      <c r="A24" s="85" t="s">
        <v>170</v>
      </c>
      <c r="B24" s="44">
        <v>2239810</v>
      </c>
      <c r="C24" s="54">
        <f t="shared" si="7"/>
        <v>7.7981451311331211E-3</v>
      </c>
      <c r="D24" s="45">
        <f t="shared" si="8"/>
        <v>9.7497525521471149E-3</v>
      </c>
      <c r="F24" s="21"/>
      <c r="G24" s="24"/>
    </row>
    <row r="25" spans="1:7" ht="16.2" thickTop="1" x14ac:dyDescent="0.3">
      <c r="A25" s="34"/>
      <c r="B25" s="36"/>
      <c r="C25" s="51"/>
      <c r="F25" s="21"/>
      <c r="G25" s="24"/>
    </row>
    <row r="26" spans="1:7" ht="15.6" x14ac:dyDescent="0.3">
      <c r="A26" s="98" t="s">
        <v>169</v>
      </c>
      <c r="B26" s="36"/>
      <c r="C26" s="51"/>
      <c r="F26" s="21"/>
      <c r="G26" s="24"/>
    </row>
    <row r="27" spans="1:7" ht="15.6" x14ac:dyDescent="0.3">
      <c r="A27" s="35" t="s">
        <v>173</v>
      </c>
      <c r="B27" s="36"/>
      <c r="C27" s="51"/>
      <c r="F27" s="21"/>
      <c r="G27" s="24"/>
    </row>
    <row r="28" spans="1:7" ht="15.6" x14ac:dyDescent="0.3">
      <c r="A28" s="35" t="s">
        <v>174</v>
      </c>
      <c r="B28" s="36"/>
      <c r="C28" s="51"/>
      <c r="F28" s="21"/>
      <c r="G28" s="24"/>
    </row>
    <row r="29" spans="1:7" ht="15.6" x14ac:dyDescent="0.3">
      <c r="A29" s="35" t="s">
        <v>175</v>
      </c>
      <c r="B29" s="36"/>
      <c r="C29" s="51"/>
      <c r="F29" s="21"/>
      <c r="G29" s="24"/>
    </row>
    <row r="30" spans="1:7" ht="15.6" x14ac:dyDescent="0.3">
      <c r="A30" s="35" t="s">
        <v>176</v>
      </c>
      <c r="B30" s="36"/>
      <c r="C30" s="51"/>
      <c r="F30" s="21"/>
      <c r="G30" s="24"/>
    </row>
    <row r="31" spans="1:7" ht="15.6" x14ac:dyDescent="0.3">
      <c r="A31" s="35" t="s">
        <v>177</v>
      </c>
      <c r="B31" s="36"/>
      <c r="C31" s="51"/>
      <c r="F31" s="21"/>
      <c r="G31" s="24"/>
    </row>
    <row r="32" spans="1:7" ht="15.6" x14ac:dyDescent="0.3">
      <c r="A32" s="35" t="s">
        <v>178</v>
      </c>
      <c r="B32" s="36"/>
      <c r="C32" s="51"/>
      <c r="F32" s="21"/>
      <c r="G32" s="24"/>
    </row>
    <row r="33" spans="1:7" ht="15.6" x14ac:dyDescent="0.3">
      <c r="A33" s="35" t="s">
        <v>179</v>
      </c>
      <c r="B33" s="36"/>
      <c r="C33" s="51"/>
      <c r="F33" s="21"/>
      <c r="G33" s="24"/>
    </row>
    <row r="34" spans="1:7" ht="15.6" x14ac:dyDescent="0.3">
      <c r="A34" s="35" t="s">
        <v>202</v>
      </c>
      <c r="B34" s="36"/>
      <c r="C34" s="51"/>
      <c r="F34" s="21"/>
      <c r="G34" s="24"/>
    </row>
    <row r="35" spans="1:7" ht="15.6" x14ac:dyDescent="0.3">
      <c r="A35" s="34"/>
      <c r="B35" s="36"/>
      <c r="C35" s="51"/>
      <c r="F35" s="21"/>
      <c r="G35" s="24"/>
    </row>
    <row r="36" spans="1:7" ht="15.6" x14ac:dyDescent="0.3">
      <c r="A36" s="19" t="s">
        <v>165</v>
      </c>
    </row>
    <row r="37" spans="1:7" ht="16.2" thickTop="1" x14ac:dyDescent="0.3">
      <c r="A37" s="1" t="s">
        <v>163</v>
      </c>
    </row>
    <row r="38" spans="1:7" ht="15.6" x14ac:dyDescent="0.3">
      <c r="A38" s="1" t="s">
        <v>155</v>
      </c>
    </row>
    <row r="39" spans="1:7" ht="15.6" x14ac:dyDescent="0.3">
      <c r="A39" s="99" t="s">
        <v>156</v>
      </c>
    </row>
    <row r="40" spans="1:7" ht="15.6" x14ac:dyDescent="0.3">
      <c r="A40" s="99" t="s">
        <v>161</v>
      </c>
    </row>
    <row r="41" spans="1:7" ht="15.6" x14ac:dyDescent="0.3">
      <c r="A41" s="98" t="s">
        <v>172</v>
      </c>
    </row>
    <row r="42" spans="1:7" ht="15.6" x14ac:dyDescent="0.3">
      <c r="A42" s="99" t="s">
        <v>157</v>
      </c>
    </row>
    <row r="43" spans="1:7" ht="15.6" x14ac:dyDescent="0.3">
      <c r="A43" s="99" t="s">
        <v>158</v>
      </c>
    </row>
    <row r="44" spans="1:7" ht="15.6" x14ac:dyDescent="0.3">
      <c r="A44" s="99" t="s">
        <v>159</v>
      </c>
    </row>
    <row r="45" spans="1:7" ht="15.6" x14ac:dyDescent="0.3">
      <c r="A45" s="99" t="s">
        <v>160</v>
      </c>
    </row>
    <row r="47" spans="1:7" ht="15.6" x14ac:dyDescent="0.3">
      <c r="A47" s="98" t="s">
        <v>180</v>
      </c>
    </row>
    <row r="48" spans="1:7" ht="15.6" x14ac:dyDescent="0.3">
      <c r="A48" s="99" t="s">
        <v>181</v>
      </c>
    </row>
  </sheetData>
  <mergeCells count="12">
    <mergeCell ref="AG4:AI4"/>
    <mergeCell ref="I4:K4"/>
    <mergeCell ref="L4:N4"/>
    <mergeCell ref="O4:Q4"/>
    <mergeCell ref="U4:W4"/>
    <mergeCell ref="X4:Z4"/>
    <mergeCell ref="R4:T4"/>
    <mergeCell ref="B3:C3"/>
    <mergeCell ref="D3:E3"/>
    <mergeCell ref="F3:G3"/>
    <mergeCell ref="AA4:AC4"/>
    <mergeCell ref="AD4:AF4"/>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8"/>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4.4" x14ac:dyDescent="0.3"/>
  <cols>
    <col min="1" max="1" width="20.109375" customWidth="1"/>
    <col min="2" max="2" width="14.33203125" customWidth="1"/>
    <col min="3" max="3" width="9.109375" customWidth="1"/>
    <col min="4" max="4" width="14.109375" customWidth="1"/>
    <col min="5" max="5" width="9.77734375" customWidth="1"/>
    <col min="6" max="6" width="18.109375" customWidth="1"/>
    <col min="7" max="7" width="12.33203125" customWidth="1"/>
    <col min="8" max="8" width="12" customWidth="1"/>
    <col min="9" max="10" width="12.109375" bestFit="1" customWidth="1"/>
    <col min="11" max="11" width="11.77734375" bestFit="1" customWidth="1"/>
    <col min="12" max="12" width="12.109375" bestFit="1" customWidth="1"/>
    <col min="13" max="26" width="12.77734375" customWidth="1"/>
  </cols>
  <sheetData>
    <row r="1" spans="1:26" ht="15.6" x14ac:dyDescent="0.3">
      <c r="A1" s="1" t="s">
        <v>184</v>
      </c>
      <c r="B1" s="19" t="s">
        <v>183</v>
      </c>
      <c r="C1" s="19"/>
      <c r="D1" s="19"/>
      <c r="E1" s="19"/>
      <c r="F1" s="19"/>
      <c r="G1" s="19"/>
      <c r="H1" s="1"/>
    </row>
    <row r="2" spans="1:26" ht="18.45" customHeight="1" thickBot="1" x14ac:dyDescent="0.35">
      <c r="A2" s="1" t="s">
        <v>301</v>
      </c>
      <c r="F2" s="1"/>
      <c r="G2" s="1"/>
    </row>
    <row r="3" spans="1:26" ht="34.950000000000003" customHeight="1" thickTop="1" x14ac:dyDescent="0.3">
      <c r="A3" s="29"/>
      <c r="B3" s="394" t="s">
        <v>40</v>
      </c>
      <c r="C3" s="394"/>
      <c r="D3" s="395" t="s">
        <v>36</v>
      </c>
      <c r="E3" s="395"/>
      <c r="F3" s="391" t="s">
        <v>35</v>
      </c>
      <c r="G3" s="393"/>
    </row>
    <row r="4" spans="1:26" ht="15.6" x14ac:dyDescent="0.3">
      <c r="A4" s="50" t="s">
        <v>37</v>
      </c>
      <c r="B4" s="58">
        <v>294361056</v>
      </c>
      <c r="C4" s="58"/>
      <c r="D4" s="58">
        <v>62461549</v>
      </c>
      <c r="E4" s="58"/>
      <c r="F4" s="100">
        <v>231899507</v>
      </c>
      <c r="G4" s="37"/>
    </row>
    <row r="5" spans="1:26" ht="16.2" thickBot="1" x14ac:dyDescent="0.35">
      <c r="A5" s="65"/>
      <c r="B5" s="57">
        <f>B4/$B4</f>
        <v>1</v>
      </c>
      <c r="C5" s="57"/>
      <c r="D5" s="57">
        <f>D4/$B4</f>
        <v>0.21219365716638822</v>
      </c>
      <c r="E5" s="57"/>
      <c r="F5" s="101">
        <f>F4/$B4</f>
        <v>0.78780634283361184</v>
      </c>
      <c r="G5" s="86"/>
    </row>
    <row r="6" spans="1:26" ht="16.2" thickTop="1" x14ac:dyDescent="0.3">
      <c r="A6" s="30" t="s">
        <v>41</v>
      </c>
      <c r="B6" s="32">
        <f>D6+F6</f>
        <v>207147026</v>
      </c>
      <c r="C6" s="33">
        <f t="shared" ref="C6:C11" si="0">B6/B$4</f>
        <v>0.70371749855388477</v>
      </c>
      <c r="D6" s="32">
        <v>48545738</v>
      </c>
      <c r="E6" s="33">
        <f t="shared" ref="E6:E11" si="1">D6/D$4</f>
        <v>0.77720996000275311</v>
      </c>
      <c r="F6" s="32">
        <v>158601288</v>
      </c>
      <c r="G6" s="33">
        <f t="shared" ref="G6:G11" si="2">F6/F$4</f>
        <v>0.68392248889084528</v>
      </c>
      <c r="H6" s="1"/>
    </row>
    <row r="7" spans="1:26" ht="15.6" x14ac:dyDescent="0.3">
      <c r="A7" s="34" t="s">
        <v>42</v>
      </c>
      <c r="B7" s="36">
        <f t="shared" ref="B7:B11" si="3">D7+F7</f>
        <v>62458077</v>
      </c>
      <c r="C7" s="37">
        <f t="shared" si="0"/>
        <v>0.21218186212784887</v>
      </c>
      <c r="D7" s="36">
        <v>8653560</v>
      </c>
      <c r="E7" s="37">
        <f t="shared" si="1"/>
        <v>0.13854219337403881</v>
      </c>
      <c r="F7" s="36">
        <v>53804517</v>
      </c>
      <c r="G7" s="37">
        <f t="shared" si="2"/>
        <v>0.23201652170825873</v>
      </c>
      <c r="H7" s="1"/>
    </row>
    <row r="8" spans="1:26" ht="15.6" x14ac:dyDescent="0.3">
      <c r="A8" s="34" t="s">
        <v>43</v>
      </c>
      <c r="B8" s="36">
        <f t="shared" si="3"/>
        <v>10799907</v>
      </c>
      <c r="C8" s="37">
        <f t="shared" si="0"/>
        <v>3.6689320070926776E-2</v>
      </c>
      <c r="D8" s="36">
        <f>844448+65310</f>
        <v>909758</v>
      </c>
      <c r="E8" s="37">
        <f t="shared" si="1"/>
        <v>1.4565088675594645E-2</v>
      </c>
      <c r="F8" s="36">
        <f>9411449+478700</f>
        <v>9890149</v>
      </c>
      <c r="G8" s="37">
        <f t="shared" si="2"/>
        <v>4.2648426156421282E-2</v>
      </c>
      <c r="H8" s="1"/>
    </row>
    <row r="9" spans="1:26" ht="15.6" x14ac:dyDescent="0.3">
      <c r="A9" s="34" t="s">
        <v>56</v>
      </c>
      <c r="B9" s="36">
        <f t="shared" si="3"/>
        <v>2195339</v>
      </c>
      <c r="C9" s="37">
        <f t="shared" si="0"/>
        <v>7.4579804469786931E-3</v>
      </c>
      <c r="D9" s="36">
        <v>620760</v>
      </c>
      <c r="E9" s="37">
        <f t="shared" si="1"/>
        <v>9.9382741852911786E-3</v>
      </c>
      <c r="F9" s="36">
        <v>1574579</v>
      </c>
      <c r="G9" s="37">
        <f t="shared" si="2"/>
        <v>6.789919566323183E-3</v>
      </c>
    </row>
    <row r="10" spans="1:26" ht="15.6" x14ac:dyDescent="0.3">
      <c r="A10" s="34" t="s">
        <v>44</v>
      </c>
      <c r="B10" s="36">
        <f t="shared" si="3"/>
        <v>2923241</v>
      </c>
      <c r="C10" s="37">
        <f t="shared" si="0"/>
        <v>9.9308007646228859E-3</v>
      </c>
      <c r="D10" s="36">
        <v>1018977</v>
      </c>
      <c r="E10" s="37">
        <f t="shared" si="1"/>
        <v>1.6313668429836732E-2</v>
      </c>
      <c r="F10" s="36">
        <v>1904264</v>
      </c>
      <c r="G10" s="37">
        <f t="shared" si="2"/>
        <v>8.2115914114470282E-3</v>
      </c>
    </row>
    <row r="11" spans="1:26" ht="16.2" thickBot="1" x14ac:dyDescent="0.35">
      <c r="A11" s="42" t="s">
        <v>162</v>
      </c>
      <c r="B11" s="44">
        <f t="shared" si="3"/>
        <v>8837466</v>
      </c>
      <c r="C11" s="45">
        <f t="shared" si="0"/>
        <v>3.0022538035737987E-2</v>
      </c>
      <c r="D11" s="44">
        <f>D4-D6-D7-D8-D9-D10</f>
        <v>2712756</v>
      </c>
      <c r="E11" s="45">
        <f t="shared" si="1"/>
        <v>4.3430815332485592E-2</v>
      </c>
      <c r="F11" s="44">
        <f>F4-F6-F7-F8-F9-F10</f>
        <v>6124710</v>
      </c>
      <c r="G11" s="45">
        <f t="shared" si="2"/>
        <v>2.6411052266704475E-2</v>
      </c>
    </row>
    <row r="12" spans="1:26" ht="16.8" thickTop="1" thickBot="1" x14ac:dyDescent="0.35">
      <c r="A12" s="1"/>
      <c r="B12" s="83"/>
      <c r="C12" s="1"/>
      <c r="F12" s="21"/>
      <c r="G12" s="24"/>
    </row>
    <row r="13" spans="1:26" ht="16.2" thickTop="1" x14ac:dyDescent="0.3">
      <c r="A13" s="1"/>
      <c r="B13" s="25" t="s">
        <v>40</v>
      </c>
      <c r="C13" s="1"/>
      <c r="F13" s="103" t="s">
        <v>47</v>
      </c>
      <c r="G13" s="79" t="s">
        <v>192</v>
      </c>
      <c r="H13" s="79" t="s">
        <v>46</v>
      </c>
      <c r="I13" s="79" t="s">
        <v>48</v>
      </c>
      <c r="J13" s="79" t="s">
        <v>203</v>
      </c>
      <c r="K13" s="79" t="s">
        <v>193</v>
      </c>
      <c r="L13" s="80" t="s">
        <v>89</v>
      </c>
      <c r="M13" s="103" t="s">
        <v>47</v>
      </c>
      <c r="N13" s="79" t="s">
        <v>192</v>
      </c>
      <c r="O13" s="79" t="s">
        <v>46</v>
      </c>
      <c r="P13" s="79" t="s">
        <v>48</v>
      </c>
      <c r="Q13" s="79" t="s">
        <v>203</v>
      </c>
      <c r="R13" s="79" t="s">
        <v>193</v>
      </c>
      <c r="S13" s="80" t="s">
        <v>89</v>
      </c>
      <c r="T13" s="103" t="s">
        <v>47</v>
      </c>
      <c r="U13" s="79" t="s">
        <v>192</v>
      </c>
      <c r="V13" s="79" t="s">
        <v>46</v>
      </c>
      <c r="W13" s="79" t="s">
        <v>48</v>
      </c>
      <c r="X13" s="79" t="s">
        <v>203</v>
      </c>
      <c r="Y13" s="79" t="s">
        <v>193</v>
      </c>
      <c r="Z13" s="80" t="s">
        <v>89</v>
      </c>
    </row>
    <row r="14" spans="1:26" ht="15.6" x14ac:dyDescent="0.3">
      <c r="A14" s="1"/>
      <c r="B14" s="58">
        <f>B4</f>
        <v>294361056</v>
      </c>
      <c r="C14" s="1"/>
      <c r="F14" s="38">
        <v>74744866</v>
      </c>
      <c r="G14" s="36">
        <v>18559561</v>
      </c>
      <c r="H14" s="36">
        <v>38209436</v>
      </c>
      <c r="I14" s="36">
        <v>20330339</v>
      </c>
      <c r="J14" s="36">
        <v>47691782</v>
      </c>
      <c r="K14" s="36">
        <v>9723301</v>
      </c>
      <c r="L14" s="109">
        <f>B14-SUM(F14:K14)</f>
        <v>85101771</v>
      </c>
      <c r="M14" s="38">
        <v>74744866</v>
      </c>
      <c r="N14" s="36">
        <v>18559561</v>
      </c>
      <c r="O14" s="36">
        <v>38209436</v>
      </c>
      <c r="P14" s="36">
        <v>20330339</v>
      </c>
      <c r="Q14" s="36">
        <v>47691782</v>
      </c>
      <c r="R14" s="36">
        <v>9723301</v>
      </c>
      <c r="S14" s="109">
        <f>B14-SUM(M14:R14)</f>
        <v>85101771</v>
      </c>
      <c r="T14" s="38">
        <v>74744866</v>
      </c>
      <c r="U14" s="36">
        <v>18559561</v>
      </c>
      <c r="V14" s="36">
        <v>38209436</v>
      </c>
      <c r="W14" s="36">
        <v>20330339</v>
      </c>
      <c r="X14" s="36">
        <v>47691782</v>
      </c>
      <c r="Y14" s="36">
        <v>9723301</v>
      </c>
      <c r="Z14" s="109">
        <f>I14-SUM(T14:Y14)</f>
        <v>-188928946</v>
      </c>
    </row>
    <row r="15" spans="1:26" ht="16.2" thickBot="1" x14ac:dyDescent="0.35">
      <c r="A15" s="50"/>
      <c r="B15" s="24">
        <f>B14/$B14</f>
        <v>1</v>
      </c>
      <c r="C15" s="58"/>
      <c r="F15" s="110">
        <f t="shared" ref="F15:L15" si="4">F14/$B14</f>
        <v>0.25392240065886978</v>
      </c>
      <c r="G15" s="51">
        <f t="shared" si="4"/>
        <v>6.3050327554199287E-2</v>
      </c>
      <c r="H15" s="51">
        <f t="shared" si="4"/>
        <v>0.12980465731173352</v>
      </c>
      <c r="I15" s="51">
        <f t="shared" si="4"/>
        <v>6.9065994246195389E-2</v>
      </c>
      <c r="J15" s="51">
        <f t="shared" si="4"/>
        <v>0.16201797427985853</v>
      </c>
      <c r="K15" s="51">
        <f t="shared" si="4"/>
        <v>3.303188652781569E-2</v>
      </c>
      <c r="L15" s="37">
        <f t="shared" si="4"/>
        <v>0.2891067594213278</v>
      </c>
      <c r="M15" s="110"/>
      <c r="N15" s="51"/>
      <c r="O15" s="51"/>
      <c r="P15" s="51"/>
      <c r="Q15" s="51"/>
      <c r="R15" s="51"/>
      <c r="S15" s="37"/>
      <c r="T15" s="110"/>
      <c r="U15" s="51"/>
      <c r="V15" s="51"/>
      <c r="W15" s="51"/>
      <c r="X15" s="51"/>
      <c r="Y15" s="51"/>
      <c r="Z15" s="37"/>
    </row>
    <row r="16" spans="1:26" ht="16.2" thickTop="1" x14ac:dyDescent="0.3">
      <c r="A16" s="105" t="s">
        <v>164</v>
      </c>
      <c r="B16" s="48">
        <f>B6+B8+B9+B10+B11-B21</f>
        <v>231733302</v>
      </c>
      <c r="C16" s="49">
        <f t="shared" ref="C16:C21" si="5">B16/B$4</f>
        <v>0.78724171311574587</v>
      </c>
      <c r="D16" s="33">
        <f>B16/B$16</f>
        <v>1</v>
      </c>
      <c r="F16" s="38">
        <f>F14-F20-F21</f>
        <v>49452147</v>
      </c>
      <c r="G16" s="36">
        <f t="shared" ref="G16:L16" si="6">G14-G20-G21</f>
        <v>14768211</v>
      </c>
      <c r="H16" s="36">
        <f t="shared" si="6"/>
        <v>35788087</v>
      </c>
      <c r="I16" s="36">
        <f t="shared" si="6"/>
        <v>9478834</v>
      </c>
      <c r="J16" s="36">
        <f t="shared" si="6"/>
        <v>40932338</v>
      </c>
      <c r="K16" s="36">
        <f t="shared" si="6"/>
        <v>8797676</v>
      </c>
      <c r="L16" s="109">
        <f t="shared" si="6"/>
        <v>72516009</v>
      </c>
      <c r="M16" s="115">
        <f>F16/F$14</f>
        <v>0.66161262500624463</v>
      </c>
      <c r="N16" s="56">
        <f t="shared" ref="N16:N21" si="7">G16/G$14</f>
        <v>0.7957198448821069</v>
      </c>
      <c r="O16" s="56">
        <f t="shared" ref="O16:O21" si="8">H16/H$14</f>
        <v>0.93662955401906478</v>
      </c>
      <c r="P16" s="56">
        <f t="shared" ref="P16:P21" si="9">I16/I$14</f>
        <v>0.46624082362817459</v>
      </c>
      <c r="Q16" s="56">
        <f t="shared" ref="Q16:Q21" si="10">J16/J$14</f>
        <v>0.85826816033001241</v>
      </c>
      <c r="R16" s="56">
        <f t="shared" ref="R16:R21" si="11">K16/K$14</f>
        <v>0.90480342015535675</v>
      </c>
      <c r="S16" s="116">
        <f t="shared" ref="S16:S21" si="12">L16/L$14</f>
        <v>0.85210928219108395</v>
      </c>
      <c r="T16" s="115">
        <f>F16/F$16</f>
        <v>1</v>
      </c>
      <c r="U16" s="56">
        <f t="shared" ref="U16:U19" si="13">G16/G$16</f>
        <v>1</v>
      </c>
      <c r="V16" s="56">
        <f t="shared" ref="V16:V19" si="14">H16/H$16</f>
        <v>1</v>
      </c>
      <c r="W16" s="56">
        <f t="shared" ref="W16:W19" si="15">I16/I$16</f>
        <v>1</v>
      </c>
      <c r="X16" s="56">
        <f t="shared" ref="X16:X19" si="16">J16/J$16</f>
        <v>1</v>
      </c>
      <c r="Y16" s="56">
        <f t="shared" ref="Y16:Y19" si="17">K16/K$16</f>
        <v>1</v>
      </c>
      <c r="Z16" s="116">
        <f t="shared" ref="Z16:Z19" si="18">L16/L$16</f>
        <v>1</v>
      </c>
    </row>
    <row r="17" spans="1:26" ht="15.6" x14ac:dyDescent="0.3">
      <c r="A17" s="35" t="s">
        <v>61</v>
      </c>
      <c r="B17" s="36">
        <v>14893258</v>
      </c>
      <c r="C17" s="51">
        <f t="shared" si="5"/>
        <v>5.0595205093978191E-2</v>
      </c>
      <c r="D17" s="37">
        <f t="shared" ref="D17:D19" si="19">B17/B$16</f>
        <v>6.4268958632454132E-2</v>
      </c>
      <c r="F17" s="38">
        <v>2876065</v>
      </c>
      <c r="G17" s="36">
        <v>1059694</v>
      </c>
      <c r="H17" s="36">
        <v>1198911</v>
      </c>
      <c r="I17" s="36">
        <v>1138023</v>
      </c>
      <c r="J17" s="36">
        <v>4798403</v>
      </c>
      <c r="K17" s="36">
        <v>1029510</v>
      </c>
      <c r="L17" s="109">
        <f>B17-SUM(F17:K17)</f>
        <v>2792652</v>
      </c>
      <c r="M17" s="110">
        <f t="shared" ref="M17:M21" si="20">F17/F$14</f>
        <v>3.8478428739172531E-2</v>
      </c>
      <c r="N17" s="51">
        <f t="shared" si="7"/>
        <v>5.709693241127848E-2</v>
      </c>
      <c r="O17" s="51">
        <f t="shared" si="8"/>
        <v>3.1377354012762711E-2</v>
      </c>
      <c r="P17" s="51">
        <f t="shared" si="9"/>
        <v>5.5976587503041637E-2</v>
      </c>
      <c r="Q17" s="51">
        <f t="shared" si="10"/>
        <v>0.10061278481898621</v>
      </c>
      <c r="R17" s="51">
        <f t="shared" si="11"/>
        <v>0.10588070861942873</v>
      </c>
      <c r="S17" s="37">
        <f t="shared" si="12"/>
        <v>3.2815439293266885E-2</v>
      </c>
      <c r="T17" s="110">
        <f t="shared" ref="T17:T19" si="21">F17/F$16</f>
        <v>5.8158546685546333E-2</v>
      </c>
      <c r="U17" s="51">
        <f t="shared" si="13"/>
        <v>7.175506904661641E-2</v>
      </c>
      <c r="V17" s="51">
        <f t="shared" si="14"/>
        <v>3.3500281811654251E-2</v>
      </c>
      <c r="W17" s="51">
        <f t="shared" si="15"/>
        <v>0.12005938705119217</v>
      </c>
      <c r="X17" s="51">
        <f t="shared" si="16"/>
        <v>0.11722767949390039</v>
      </c>
      <c r="Y17" s="51">
        <f t="shared" si="17"/>
        <v>0.11702067682419766</v>
      </c>
      <c r="Z17" s="37">
        <f t="shared" si="18"/>
        <v>3.851083420765751E-2</v>
      </c>
    </row>
    <row r="18" spans="1:26" ht="15.6" x14ac:dyDescent="0.3">
      <c r="A18" s="35" t="s">
        <v>62</v>
      </c>
      <c r="B18" s="36">
        <v>9712156</v>
      </c>
      <c r="C18" s="51">
        <f t="shared" si="5"/>
        <v>3.2994024861767043E-2</v>
      </c>
      <c r="D18" s="37">
        <f t="shared" si="19"/>
        <v>4.1910920511545637E-2</v>
      </c>
      <c r="F18" s="38">
        <v>1397020</v>
      </c>
      <c r="G18" s="36">
        <v>470362</v>
      </c>
      <c r="H18" s="36">
        <v>16083</v>
      </c>
      <c r="I18" s="36">
        <v>1818331</v>
      </c>
      <c r="J18" s="36">
        <v>3949494</v>
      </c>
      <c r="K18" s="36">
        <v>620450</v>
      </c>
      <c r="L18" s="109">
        <f>B18-SUM(F18:K18)</f>
        <v>1440416</v>
      </c>
      <c r="M18" s="110">
        <f t="shared" si="20"/>
        <v>1.8690514476271854E-2</v>
      </c>
      <c r="N18" s="51">
        <f t="shared" si="7"/>
        <v>2.5343379619808894E-2</v>
      </c>
      <c r="O18" s="51">
        <f t="shared" si="8"/>
        <v>4.2091696930569714E-4</v>
      </c>
      <c r="P18" s="51">
        <f t="shared" si="9"/>
        <v>8.9439285788594086E-2</v>
      </c>
      <c r="Q18" s="51">
        <f t="shared" si="10"/>
        <v>8.2812883779431856E-2</v>
      </c>
      <c r="R18" s="51">
        <f t="shared" si="11"/>
        <v>6.3810633857781421E-2</v>
      </c>
      <c r="S18" s="37">
        <f t="shared" si="12"/>
        <v>1.692580522207934E-2</v>
      </c>
      <c r="T18" s="110">
        <f t="shared" si="21"/>
        <v>2.8249936246448511E-2</v>
      </c>
      <c r="U18" s="51">
        <f t="shared" si="13"/>
        <v>3.1849626200492392E-2</v>
      </c>
      <c r="V18" s="51">
        <f t="shared" si="14"/>
        <v>4.4939535326378298E-4</v>
      </c>
      <c r="W18" s="51">
        <f t="shared" si="15"/>
        <v>0.19183066187254677</v>
      </c>
      <c r="X18" s="51">
        <f t="shared" si="16"/>
        <v>9.6488355979079427E-2</v>
      </c>
      <c r="Y18" s="51">
        <f t="shared" si="17"/>
        <v>7.0524306646437079E-2</v>
      </c>
      <c r="Z18" s="37">
        <f t="shared" si="18"/>
        <v>1.9863420779265444E-2</v>
      </c>
    </row>
    <row r="19" spans="1:26" ht="15.6" x14ac:dyDescent="0.3">
      <c r="A19" s="35" t="s">
        <v>63</v>
      </c>
      <c r="B19" s="36">
        <f>B16-B17-B18</f>
        <v>207127888</v>
      </c>
      <c r="C19" s="51">
        <f t="shared" si="5"/>
        <v>0.70365248316000062</v>
      </c>
      <c r="D19" s="37">
        <f t="shared" si="19"/>
        <v>0.89382012085600027</v>
      </c>
      <c r="F19" s="38">
        <f>F16-F17-F18</f>
        <v>45179062</v>
      </c>
      <c r="G19" s="36">
        <f t="shared" ref="G19:L19" si="22">G16-G17-G18</f>
        <v>13238155</v>
      </c>
      <c r="H19" s="36">
        <f t="shared" si="22"/>
        <v>34573093</v>
      </c>
      <c r="I19" s="36">
        <f t="shared" si="22"/>
        <v>6522480</v>
      </c>
      <c r="J19" s="36">
        <f t="shared" si="22"/>
        <v>32184441</v>
      </c>
      <c r="K19" s="36">
        <f t="shared" si="22"/>
        <v>7147716</v>
      </c>
      <c r="L19" s="109">
        <f t="shared" si="22"/>
        <v>68282941</v>
      </c>
      <c r="M19" s="110">
        <f t="shared" si="20"/>
        <v>0.60444368179080021</v>
      </c>
      <c r="N19" s="51">
        <f t="shared" si="7"/>
        <v>0.71327953285101953</v>
      </c>
      <c r="O19" s="51">
        <f t="shared" si="8"/>
        <v>0.90483128303699645</v>
      </c>
      <c r="P19" s="51">
        <f t="shared" si="9"/>
        <v>0.32082495033653891</v>
      </c>
      <c r="Q19" s="51">
        <f t="shared" si="10"/>
        <v>0.67484249173159438</v>
      </c>
      <c r="R19" s="51">
        <f t="shared" si="11"/>
        <v>0.73511207767814657</v>
      </c>
      <c r="S19" s="37">
        <f t="shared" si="12"/>
        <v>0.80236803767573772</v>
      </c>
      <c r="T19" s="110">
        <f t="shared" si="21"/>
        <v>0.91359151706800512</v>
      </c>
      <c r="U19" s="51">
        <f t="shared" si="13"/>
        <v>0.8963953047528912</v>
      </c>
      <c r="V19" s="51">
        <f t="shared" si="14"/>
        <v>0.96605032283508196</v>
      </c>
      <c r="W19" s="51">
        <f t="shared" si="15"/>
        <v>0.68810995107626105</v>
      </c>
      <c r="X19" s="51">
        <f t="shared" si="16"/>
        <v>0.78628396452702021</v>
      </c>
      <c r="Y19" s="51">
        <f t="shared" si="17"/>
        <v>0.81245501652936525</v>
      </c>
      <c r="Z19" s="37">
        <f t="shared" si="18"/>
        <v>0.94162574501307705</v>
      </c>
    </row>
    <row r="20" spans="1:26" ht="15.6" x14ac:dyDescent="0.3">
      <c r="A20" s="106" t="s">
        <v>42</v>
      </c>
      <c r="B20" s="58">
        <f>B7</f>
        <v>62458077</v>
      </c>
      <c r="C20" s="56">
        <f t="shared" si="5"/>
        <v>0.21218186212784887</v>
      </c>
      <c r="D20" s="69"/>
      <c r="F20" s="38">
        <v>25265342</v>
      </c>
      <c r="G20" s="36">
        <v>3760175</v>
      </c>
      <c r="H20" s="102">
        <v>2407351</v>
      </c>
      <c r="I20" s="102">
        <v>10825698</v>
      </c>
      <c r="J20" s="102">
        <v>6731034</v>
      </c>
      <c r="K20" s="36">
        <v>924656</v>
      </c>
      <c r="L20" s="109">
        <f>B20-SUM(F20:K20)</f>
        <v>12543821</v>
      </c>
      <c r="M20" s="115">
        <f t="shared" si="20"/>
        <v>0.33802110234567817</v>
      </c>
      <c r="N20" s="56">
        <f t="shared" si="7"/>
        <v>0.202600427887276</v>
      </c>
      <c r="O20" s="56">
        <f t="shared" si="8"/>
        <v>6.3004096684389693E-2</v>
      </c>
      <c r="P20" s="56">
        <f t="shared" si="9"/>
        <v>0.53248979271816377</v>
      </c>
      <c r="Q20" s="56">
        <f t="shared" si="10"/>
        <v>0.14113613955544793</v>
      </c>
      <c r="R20" s="56">
        <f t="shared" si="11"/>
        <v>9.5096922331212419E-2</v>
      </c>
      <c r="S20" s="116">
        <f t="shared" si="12"/>
        <v>0.14739788435190143</v>
      </c>
      <c r="T20" s="115"/>
      <c r="U20" s="56"/>
      <c r="V20" s="56"/>
      <c r="W20" s="56"/>
      <c r="X20" s="56"/>
      <c r="Y20" s="56"/>
      <c r="Z20" s="116"/>
    </row>
    <row r="21" spans="1:26" ht="16.2" thickBot="1" x14ac:dyDescent="0.35">
      <c r="A21" s="107" t="s">
        <v>166</v>
      </c>
      <c r="B21" s="59">
        <f>154691+14986</f>
        <v>169677</v>
      </c>
      <c r="C21" s="57">
        <f t="shared" si="5"/>
        <v>5.7642475640527671E-4</v>
      </c>
      <c r="D21" s="86"/>
      <c r="F21" s="73">
        <f>23974+3403</f>
        <v>27377</v>
      </c>
      <c r="G21" s="44">
        <f>26526+4649</f>
        <v>31175</v>
      </c>
      <c r="H21" s="44">
        <f>12541+1457</f>
        <v>13998</v>
      </c>
      <c r="I21" s="44">
        <f>25252+555</f>
        <v>25807</v>
      </c>
      <c r="J21" s="44">
        <f>27580+830</f>
        <v>28410</v>
      </c>
      <c r="K21" s="44">
        <f>885+84</f>
        <v>969</v>
      </c>
      <c r="L21" s="111">
        <f>B21-SUM(F21:K21)</f>
        <v>41941</v>
      </c>
      <c r="M21" s="101">
        <f t="shared" si="20"/>
        <v>3.6627264807726059E-4</v>
      </c>
      <c r="N21" s="57">
        <f t="shared" si="7"/>
        <v>1.6797272306171467E-3</v>
      </c>
      <c r="O21" s="57">
        <f t="shared" si="8"/>
        <v>3.6634929654549207E-4</v>
      </c>
      <c r="P21" s="57">
        <f t="shared" si="9"/>
        <v>1.2693836536616532E-3</v>
      </c>
      <c r="Q21" s="57">
        <f t="shared" si="10"/>
        <v>5.9570011453964958E-4</v>
      </c>
      <c r="R21" s="57">
        <f t="shared" si="11"/>
        <v>9.9657513430881142E-5</v>
      </c>
      <c r="S21" s="66">
        <f t="shared" si="12"/>
        <v>4.9283345701466074E-4</v>
      </c>
      <c r="T21" s="101"/>
      <c r="U21" s="57"/>
      <c r="V21" s="57"/>
      <c r="W21" s="57"/>
      <c r="X21" s="57"/>
      <c r="Y21" s="57"/>
      <c r="Z21" s="66"/>
    </row>
    <row r="22" spans="1:26" ht="16.8" thickTop="1" thickBot="1" x14ac:dyDescent="0.35">
      <c r="A22" s="34"/>
      <c r="B22" s="36"/>
      <c r="C22" s="51"/>
      <c r="F22" s="21"/>
      <c r="G22" s="24"/>
      <c r="M22" s="21"/>
      <c r="N22" s="24"/>
      <c r="T22" s="21"/>
      <c r="U22" s="24"/>
    </row>
    <row r="23" spans="1:26" ht="16.8" thickTop="1" thickBot="1" x14ac:dyDescent="0.35">
      <c r="A23" s="67" t="s">
        <v>204</v>
      </c>
      <c r="B23" s="32"/>
      <c r="C23" s="90"/>
      <c r="D23" s="108"/>
      <c r="F23" s="21"/>
      <c r="G23" s="24"/>
      <c r="M23" s="21"/>
      <c r="N23" s="24"/>
      <c r="T23" s="21"/>
      <c r="U23" s="24"/>
    </row>
    <row r="24" spans="1:26" ht="16.2" thickTop="1" x14ac:dyDescent="0.3">
      <c r="A24" s="39" t="s">
        <v>167</v>
      </c>
      <c r="B24" s="36">
        <v>5009024</v>
      </c>
      <c r="C24" s="51">
        <f t="shared" ref="C24:C27" si="23">B24/B$4</f>
        <v>1.701659882617081E-2</v>
      </c>
      <c r="D24" s="37">
        <f t="shared" ref="D24:D27" si="24">B24/B$16</f>
        <v>2.16154689756244E-2</v>
      </c>
      <c r="F24" s="95">
        <v>915</v>
      </c>
      <c r="G24" s="32">
        <v>3650504</v>
      </c>
      <c r="H24" s="32">
        <v>81563</v>
      </c>
      <c r="I24" s="32">
        <v>604</v>
      </c>
      <c r="J24" s="32">
        <v>0</v>
      </c>
      <c r="K24" s="32">
        <v>538</v>
      </c>
      <c r="L24" s="112">
        <f>B24-SUM(F24:K24)</f>
        <v>1274900</v>
      </c>
      <c r="M24" s="114">
        <f t="shared" ref="M24:M27" si="25">F24/F$14</f>
        <v>1.224164345949861E-5</v>
      </c>
      <c r="N24" s="90">
        <f t="shared" ref="N24:N27" si="26">G24/G$14</f>
        <v>0.19669129027351456</v>
      </c>
      <c r="O24" s="90">
        <f t="shared" ref="O24:O27" si="27">H24/H$14</f>
        <v>2.1346297809787091E-3</v>
      </c>
      <c r="P24" s="90">
        <f t="shared" ref="P24:P27" si="28">I24/I$14</f>
        <v>2.9709293091472797E-5</v>
      </c>
      <c r="Q24" s="90">
        <f t="shared" ref="Q24:Q27" si="29">J24/J$14</f>
        <v>0</v>
      </c>
      <c r="R24" s="90">
        <f t="shared" ref="R24:R27" si="30">K24/K$14</f>
        <v>5.5331003329013473E-5</v>
      </c>
      <c r="S24" s="33">
        <f t="shared" ref="S24:S27" si="31">L24/L$14</f>
        <v>1.4980886825492739E-2</v>
      </c>
      <c r="T24" s="114">
        <f t="shared" ref="T24:T27" si="32">F24/F$16</f>
        <v>1.8502735583957559E-5</v>
      </c>
      <c r="U24" s="90">
        <f t="shared" ref="U24:U27" si="33">G24/G$16</f>
        <v>0.24718660912956891</v>
      </c>
      <c r="V24" s="90">
        <f t="shared" ref="V24:V27" si="34">H24/H$16</f>
        <v>2.2790544797770275E-3</v>
      </c>
      <c r="W24" s="90">
        <f t="shared" ref="W24:W27" si="35">I24/I$16</f>
        <v>6.3720917572773194E-5</v>
      </c>
      <c r="X24" s="90">
        <f t="shared" ref="X24:X27" si="36">J24/J$16</f>
        <v>0</v>
      </c>
      <c r="Y24" s="90">
        <f t="shared" ref="Y24:Y27" si="37">K24/K$16</f>
        <v>6.1152513459236283E-5</v>
      </c>
      <c r="Z24" s="33">
        <f t="shared" ref="Z24:Z27" si="38">L24/L$16</f>
        <v>1.7580945470951112E-2</v>
      </c>
    </row>
    <row r="25" spans="1:26" ht="15.6" x14ac:dyDescent="0.3">
      <c r="A25" s="39" t="s">
        <v>194</v>
      </c>
      <c r="B25" s="36">
        <v>2898126</v>
      </c>
      <c r="C25" s="51">
        <f t="shared" si="23"/>
        <v>9.8454803749582955E-3</v>
      </c>
      <c r="D25" s="37">
        <f t="shared" si="24"/>
        <v>1.2506299159367263E-2</v>
      </c>
      <c r="F25" s="38">
        <v>209521</v>
      </c>
      <c r="G25" s="36">
        <v>993503</v>
      </c>
      <c r="H25" s="36">
        <v>2156</v>
      </c>
      <c r="I25" s="36">
        <v>448312</v>
      </c>
      <c r="J25" s="36">
        <v>504703</v>
      </c>
      <c r="K25" s="36">
        <v>6101</v>
      </c>
      <c r="L25" s="109">
        <f>B25-SUM(F25:K25)</f>
        <v>733830</v>
      </c>
      <c r="M25" s="110">
        <f t="shared" si="25"/>
        <v>2.8031490483908287E-3</v>
      </c>
      <c r="N25" s="51">
        <f t="shared" si="26"/>
        <v>5.3530522623891803E-2</v>
      </c>
      <c r="O25" s="51">
        <f t="shared" si="27"/>
        <v>5.6425852504077791E-5</v>
      </c>
      <c r="P25" s="51">
        <f t="shared" si="28"/>
        <v>2.2051378484146279E-2</v>
      </c>
      <c r="Q25" s="51">
        <f t="shared" si="29"/>
        <v>1.0582598905614389E-2</v>
      </c>
      <c r="R25" s="51">
        <f t="shared" si="30"/>
        <v>6.2746180540950033E-4</v>
      </c>
      <c r="S25" s="37">
        <f t="shared" si="31"/>
        <v>8.6229697851998872E-3</v>
      </c>
      <c r="T25" s="110">
        <f t="shared" si="32"/>
        <v>4.2368433467610614E-3</v>
      </c>
      <c r="U25" s="51">
        <f t="shared" si="33"/>
        <v>6.7273077287425001E-2</v>
      </c>
      <c r="V25" s="51">
        <f t="shared" si="34"/>
        <v>6.0243510640845376E-5</v>
      </c>
      <c r="W25" s="51">
        <f t="shared" si="35"/>
        <v>4.7296112580935586E-2</v>
      </c>
      <c r="X25" s="51">
        <f t="shared" si="36"/>
        <v>1.2330177670281136E-2</v>
      </c>
      <c r="Y25" s="51">
        <f t="shared" si="37"/>
        <v>6.9347859593829099E-4</v>
      </c>
      <c r="Z25" s="37">
        <f t="shared" si="38"/>
        <v>1.0119558565336931E-2</v>
      </c>
    </row>
    <row r="26" spans="1:26" ht="15.6" x14ac:dyDescent="0.3">
      <c r="A26" s="39" t="s">
        <v>195</v>
      </c>
      <c r="B26" s="36">
        <v>1030078</v>
      </c>
      <c r="C26" s="51">
        <f t="shared" ref="C26" si="39">B26/B$4</f>
        <v>3.4993691556807027E-3</v>
      </c>
      <c r="D26" s="37">
        <f t="shared" ref="D26" si="40">B26/B$16</f>
        <v>4.4451012914837763E-3</v>
      </c>
      <c r="F26" s="38">
        <v>66830</v>
      </c>
      <c r="G26" s="36">
        <v>50181</v>
      </c>
      <c r="H26" s="36">
        <v>80311</v>
      </c>
      <c r="I26" s="36">
        <v>470081</v>
      </c>
      <c r="J26" s="36">
        <v>50919</v>
      </c>
      <c r="K26" s="36">
        <v>8820</v>
      </c>
      <c r="L26" s="109">
        <f>B26-SUM(F26:K26)</f>
        <v>302936</v>
      </c>
      <c r="M26" s="110">
        <f t="shared" si="25"/>
        <v>8.9410823212928098E-4</v>
      </c>
      <c r="N26" s="51">
        <f t="shared" si="26"/>
        <v>2.7037816250071863E-3</v>
      </c>
      <c r="O26" s="51">
        <f t="shared" si="27"/>
        <v>2.1018630057768974E-3</v>
      </c>
      <c r="P26" s="51">
        <f t="shared" si="28"/>
        <v>2.3122142724722888E-2</v>
      </c>
      <c r="Q26" s="51">
        <f t="shared" si="29"/>
        <v>1.0676682200719612E-3</v>
      </c>
      <c r="R26" s="51">
        <f t="shared" si="30"/>
        <v>9.0709934825631753E-4</v>
      </c>
      <c r="S26" s="37">
        <f t="shared" si="31"/>
        <v>3.5596909023197648E-3</v>
      </c>
      <c r="T26" s="110">
        <f t="shared" si="32"/>
        <v>1.3514074525419492E-3</v>
      </c>
      <c r="U26" s="51">
        <f t="shared" si="33"/>
        <v>3.3979064898246648E-3</v>
      </c>
      <c r="V26" s="51">
        <f t="shared" si="34"/>
        <v>2.24407077137149E-3</v>
      </c>
      <c r="W26" s="51">
        <f t="shared" si="35"/>
        <v>4.959270306875297E-2</v>
      </c>
      <c r="X26" s="51">
        <f t="shared" si="36"/>
        <v>1.2439797599638701E-3</v>
      </c>
      <c r="Y26" s="51">
        <f t="shared" si="37"/>
        <v>1.0025374883094126E-3</v>
      </c>
      <c r="Z26" s="37">
        <f t="shared" si="38"/>
        <v>4.1775051354522282E-3</v>
      </c>
    </row>
    <row r="27" spans="1:26" ht="16.2" thickBot="1" x14ac:dyDescent="0.35">
      <c r="A27" s="85" t="s">
        <v>170</v>
      </c>
      <c r="B27" s="44">
        <v>2149331</v>
      </c>
      <c r="C27" s="54">
        <f t="shared" si="23"/>
        <v>7.3016825975783968E-3</v>
      </c>
      <c r="D27" s="45">
        <f t="shared" si="24"/>
        <v>9.2750199537570133E-3</v>
      </c>
      <c r="F27" s="73">
        <v>1347831</v>
      </c>
      <c r="G27" s="44">
        <v>24224</v>
      </c>
      <c r="H27" s="44">
        <v>741</v>
      </c>
      <c r="I27" s="44">
        <v>13272</v>
      </c>
      <c r="J27" s="44">
        <v>527687</v>
      </c>
      <c r="K27" s="44">
        <v>27771</v>
      </c>
      <c r="L27" s="111">
        <f>B27-SUM(F27:K27)</f>
        <v>207805</v>
      </c>
      <c r="M27" s="113">
        <f t="shared" si="25"/>
        <v>1.8032422454272647E-2</v>
      </c>
      <c r="N27" s="54">
        <f t="shared" si="26"/>
        <v>1.3052032857889257E-3</v>
      </c>
      <c r="O27" s="54">
        <f t="shared" si="27"/>
        <v>1.9393115355065695E-5</v>
      </c>
      <c r="P27" s="54">
        <f t="shared" si="28"/>
        <v>6.528174468709056E-4</v>
      </c>
      <c r="Q27" s="54">
        <f t="shared" si="29"/>
        <v>1.1064526798348613E-2</v>
      </c>
      <c r="R27" s="54">
        <f t="shared" si="30"/>
        <v>2.8561287982342624E-3</v>
      </c>
      <c r="S27" s="45">
        <f t="shared" si="31"/>
        <v>2.4418410751992459E-3</v>
      </c>
      <c r="T27" s="113">
        <f t="shared" si="32"/>
        <v>2.7255257491651474E-2</v>
      </c>
      <c r="U27" s="54">
        <f t="shared" si="33"/>
        <v>1.6402799228694661E-3</v>
      </c>
      <c r="V27" s="54">
        <f t="shared" si="34"/>
        <v>2.0705214000401864E-5</v>
      </c>
      <c r="W27" s="54">
        <f t="shared" si="35"/>
        <v>1.4001722152745791E-3</v>
      </c>
      <c r="X27" s="54">
        <f t="shared" si="36"/>
        <v>1.2891689695321094E-2</v>
      </c>
      <c r="Y27" s="54">
        <f t="shared" si="37"/>
        <v>3.1566290915919157E-3</v>
      </c>
      <c r="Z27" s="45">
        <f t="shared" si="38"/>
        <v>2.8656430885489023E-3</v>
      </c>
    </row>
    <row r="28" spans="1:26" ht="16.2" thickTop="1" x14ac:dyDescent="0.3">
      <c r="A28" s="34"/>
      <c r="B28" s="36"/>
      <c r="C28" s="51"/>
      <c r="F28" s="21"/>
      <c r="G28" s="24"/>
    </row>
    <row r="29" spans="1:26" ht="15.6" x14ac:dyDescent="0.3">
      <c r="A29" s="34"/>
      <c r="B29" s="36"/>
      <c r="C29" s="51"/>
      <c r="F29" s="21"/>
      <c r="G29" s="24"/>
    </row>
    <row r="30" spans="1:26" ht="15.6" x14ac:dyDescent="0.3">
      <c r="A30" s="19" t="s">
        <v>182</v>
      </c>
    </row>
    <row r="31" spans="1:26" ht="15.6" x14ac:dyDescent="0.3">
      <c r="A31" s="1" t="s">
        <v>185</v>
      </c>
    </row>
    <row r="32" spans="1:26" ht="15.6" x14ac:dyDescent="0.3">
      <c r="A32" s="98" t="s">
        <v>186</v>
      </c>
    </row>
    <row r="33" spans="1:1" ht="15.6" x14ac:dyDescent="0.3">
      <c r="A33" s="99" t="s">
        <v>205</v>
      </c>
    </row>
    <row r="34" spans="1:1" ht="15.6" x14ac:dyDescent="0.3">
      <c r="A34" s="99" t="s">
        <v>206</v>
      </c>
    </row>
    <row r="35" spans="1:1" ht="15.6" x14ac:dyDescent="0.3">
      <c r="A35" s="99" t="s">
        <v>187</v>
      </c>
    </row>
    <row r="36" spans="1:1" ht="15.6" x14ac:dyDescent="0.3">
      <c r="A36" s="99" t="s">
        <v>188</v>
      </c>
    </row>
    <row r="37" spans="1:1" ht="15.6" x14ac:dyDescent="0.3">
      <c r="A37" s="98" t="s">
        <v>189</v>
      </c>
    </row>
    <row r="38" spans="1:1" ht="15.6" x14ac:dyDescent="0.3">
      <c r="A38" s="98" t="s">
        <v>190</v>
      </c>
    </row>
    <row r="40" spans="1:1" ht="15.6" x14ac:dyDescent="0.3">
      <c r="A40" s="19" t="s">
        <v>191</v>
      </c>
    </row>
    <row r="41" spans="1:1" ht="15.6" x14ac:dyDescent="0.3">
      <c r="A41" s="1" t="s">
        <v>207</v>
      </c>
    </row>
    <row r="42" spans="1:1" ht="15.6" x14ac:dyDescent="0.3">
      <c r="A42" s="19" t="s">
        <v>196</v>
      </c>
    </row>
    <row r="43" spans="1:1" ht="15.6" x14ac:dyDescent="0.3">
      <c r="A43" s="19" t="s">
        <v>197</v>
      </c>
    </row>
    <row r="44" spans="1:1" ht="15.6" x14ac:dyDescent="0.3">
      <c r="A44" s="1" t="s">
        <v>198</v>
      </c>
    </row>
    <row r="45" spans="1:1" ht="15.6" x14ac:dyDescent="0.3">
      <c r="A45" s="1" t="s">
        <v>199</v>
      </c>
    </row>
    <row r="47" spans="1:1" ht="15.6" x14ac:dyDescent="0.3">
      <c r="A47" s="19" t="s">
        <v>200</v>
      </c>
    </row>
    <row r="48" spans="1:1" ht="15.6" x14ac:dyDescent="0.3">
      <c r="A48" s="1" t="s">
        <v>201</v>
      </c>
    </row>
  </sheetData>
  <mergeCells count="3">
    <mergeCell ref="B3:C3"/>
    <mergeCell ref="D3:E3"/>
    <mergeCell ref="F3:G3"/>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5"/>
  <sheetViews>
    <sheetView workbookViewId="0">
      <pane xSplit="1" topLeftCell="B1" activePane="topRight" state="frozen"/>
      <selection pane="topRight"/>
    </sheetView>
  </sheetViews>
  <sheetFormatPr baseColWidth="10" defaultRowHeight="14.4" x14ac:dyDescent="0.3"/>
  <cols>
    <col min="1" max="1" width="23.44140625" customWidth="1"/>
    <col min="2" max="2" width="14.33203125" customWidth="1"/>
    <col min="3" max="3" width="9.109375" customWidth="1"/>
    <col min="4" max="4" width="13.44140625" customWidth="1"/>
    <col min="5" max="5" width="9.77734375" customWidth="1"/>
    <col min="6" max="6" width="18.109375" customWidth="1"/>
    <col min="7" max="7" width="13.77734375" customWidth="1"/>
    <col min="8" max="8" width="13.44140625" customWidth="1"/>
    <col min="9" max="10" width="12.109375" bestFit="1" customWidth="1"/>
    <col min="11" max="11" width="14.44140625" customWidth="1"/>
    <col min="12" max="12" width="13.6640625" customWidth="1"/>
    <col min="13" max="13" width="14.109375" customWidth="1"/>
    <col min="14" max="20" width="12.77734375" customWidth="1"/>
    <col min="21" max="21" width="14.77734375" customWidth="1"/>
    <col min="22" max="28" width="12.77734375" customWidth="1"/>
    <col min="29" max="29" width="12.109375" bestFit="1" customWidth="1"/>
  </cols>
  <sheetData>
    <row r="1" spans="1:29" ht="15.6" x14ac:dyDescent="0.3">
      <c r="A1" s="1" t="s">
        <v>208</v>
      </c>
      <c r="B1" s="19" t="s">
        <v>474</v>
      </c>
      <c r="C1" s="19"/>
      <c r="D1" s="19"/>
      <c r="E1" s="19"/>
      <c r="F1" s="19"/>
      <c r="G1" s="19"/>
      <c r="H1" s="1"/>
    </row>
    <row r="2" spans="1:29" ht="18.45" customHeight="1" thickBot="1" x14ac:dyDescent="0.35">
      <c r="A2" s="1" t="s">
        <v>301</v>
      </c>
      <c r="F2" s="1"/>
      <c r="G2" s="1"/>
    </row>
    <row r="3" spans="1:29" ht="34.950000000000003" customHeight="1" thickTop="1" x14ac:dyDescent="0.3">
      <c r="A3" s="29"/>
      <c r="B3" s="394" t="s">
        <v>40</v>
      </c>
      <c r="C3" s="394"/>
      <c r="D3" s="395" t="s">
        <v>36</v>
      </c>
      <c r="E3" s="395"/>
      <c r="F3" s="391" t="s">
        <v>35</v>
      </c>
      <c r="G3" s="393"/>
    </row>
    <row r="4" spans="1:29" ht="15.6" x14ac:dyDescent="0.3">
      <c r="A4" s="50" t="s">
        <v>37</v>
      </c>
      <c r="B4" s="58">
        <v>313517840</v>
      </c>
      <c r="C4" s="58"/>
      <c r="D4" s="58">
        <v>69280298</v>
      </c>
      <c r="E4" s="58"/>
      <c r="F4" s="100">
        <v>244267542</v>
      </c>
      <c r="G4" s="37"/>
    </row>
    <row r="5" spans="1:29" ht="16.2" thickBot="1" x14ac:dyDescent="0.35">
      <c r="A5" s="65"/>
      <c r="B5" s="57">
        <f>B4/$B4</f>
        <v>1</v>
      </c>
      <c r="C5" s="57"/>
      <c r="D5" s="57">
        <f>D4/$B4</f>
        <v>0.22097721137655196</v>
      </c>
      <c r="E5" s="57"/>
      <c r="F5" s="101">
        <f>F4/$B4</f>
        <v>0.77911847695812142</v>
      </c>
      <c r="G5" s="86"/>
    </row>
    <row r="6" spans="1:29" ht="16.2" thickTop="1" x14ac:dyDescent="0.3">
      <c r="A6" s="30" t="s">
        <v>41</v>
      </c>
      <c r="B6" s="32">
        <f>D6+F6</f>
        <v>217586892</v>
      </c>
      <c r="C6" s="33">
        <f t="shared" ref="C6:C11" si="0">B6/B$4</f>
        <v>0.69401757807466391</v>
      </c>
      <c r="D6" s="32">
        <v>53965461</v>
      </c>
      <c r="E6" s="33">
        <f t="shared" ref="E6:E11" si="1">D6/D$4</f>
        <v>0.77894383479701546</v>
      </c>
      <c r="F6" s="32">
        <v>163621431</v>
      </c>
      <c r="G6" s="33">
        <f t="shared" ref="G6:G11" si="2">F6/F$4</f>
        <v>0.66984516100792468</v>
      </c>
      <c r="H6" s="1"/>
    </row>
    <row r="7" spans="1:29" ht="15.6" x14ac:dyDescent="0.3">
      <c r="A7" s="34" t="s">
        <v>42</v>
      </c>
      <c r="B7" s="36">
        <f t="shared" ref="B7:B11" si="3">D7+F7</f>
        <v>66346999</v>
      </c>
      <c r="C7" s="37">
        <f t="shared" si="0"/>
        <v>0.21162112816291412</v>
      </c>
      <c r="D7" s="36">
        <v>9223110</v>
      </c>
      <c r="E7" s="37">
        <f t="shared" si="1"/>
        <v>0.13312745854528513</v>
      </c>
      <c r="F7" s="36">
        <v>57123889</v>
      </c>
      <c r="G7" s="37">
        <f t="shared" si="2"/>
        <v>0.23385787785099996</v>
      </c>
      <c r="H7" s="1"/>
    </row>
    <row r="8" spans="1:29" ht="15.6" x14ac:dyDescent="0.3">
      <c r="A8" s="34" t="s">
        <v>43</v>
      </c>
      <c r="B8" s="36">
        <f t="shared" si="3"/>
        <v>11939635</v>
      </c>
      <c r="C8" s="37">
        <f t="shared" si="0"/>
        <v>3.8082792991939472E-2</v>
      </c>
      <c r="D8" s="36">
        <f>789604+77044</f>
        <v>866648</v>
      </c>
      <c r="E8" s="37">
        <f t="shared" si="1"/>
        <v>1.2509299541407861E-2</v>
      </c>
      <c r="F8" s="36">
        <f>458578+10614409</f>
        <v>11072987</v>
      </c>
      <c r="G8" s="37">
        <f t="shared" si="2"/>
        <v>4.5331389137243619E-2</v>
      </c>
      <c r="H8" s="1"/>
    </row>
    <row r="9" spans="1:29" ht="15.6" x14ac:dyDescent="0.3">
      <c r="A9" s="34" t="s">
        <v>56</v>
      </c>
      <c r="B9" s="36">
        <f t="shared" si="3"/>
        <v>2984466</v>
      </c>
      <c r="C9" s="37">
        <f t="shared" si="0"/>
        <v>9.5192860476456462E-3</v>
      </c>
      <c r="D9" s="36">
        <v>812558</v>
      </c>
      <c r="E9" s="37">
        <f t="shared" si="1"/>
        <v>1.1728558095982786E-2</v>
      </c>
      <c r="F9" s="36">
        <v>2171908</v>
      </c>
      <c r="G9" s="37">
        <f t="shared" si="2"/>
        <v>8.891512896952964E-3</v>
      </c>
    </row>
    <row r="10" spans="1:29" ht="15.6" x14ac:dyDescent="0.3">
      <c r="A10" s="34" t="s">
        <v>44</v>
      </c>
      <c r="B10" s="36">
        <f t="shared" si="3"/>
        <v>3876203</v>
      </c>
      <c r="C10" s="37">
        <f t="shared" si="0"/>
        <v>1.2363580330867296E-2</v>
      </c>
      <c r="D10" s="36">
        <v>1383919</v>
      </c>
      <c r="E10" s="37">
        <f t="shared" si="1"/>
        <v>1.9975650220211236E-2</v>
      </c>
      <c r="F10" s="36">
        <v>2492284</v>
      </c>
      <c r="G10" s="37">
        <f t="shared" si="2"/>
        <v>1.0203091166324505E-2</v>
      </c>
    </row>
    <row r="11" spans="1:29" ht="16.2" thickBot="1" x14ac:dyDescent="0.35">
      <c r="A11" s="42" t="s">
        <v>162</v>
      </c>
      <c r="B11" s="44">
        <f t="shared" si="3"/>
        <v>10813645</v>
      </c>
      <c r="C11" s="45">
        <f t="shared" si="0"/>
        <v>3.4491322726642924E-2</v>
      </c>
      <c r="D11" s="44">
        <f>D4-D6-D7-D8-D9-D10</f>
        <v>3028602</v>
      </c>
      <c r="E11" s="45">
        <f t="shared" si="1"/>
        <v>4.3715198800097541E-2</v>
      </c>
      <c r="F11" s="44">
        <f>F4-F6-F7-F8-F9-F10</f>
        <v>7785043</v>
      </c>
      <c r="G11" s="45">
        <f t="shared" si="2"/>
        <v>3.1870967940554294E-2</v>
      </c>
    </row>
    <row r="12" spans="1:29" ht="16.8" thickTop="1" thickBot="1" x14ac:dyDescent="0.35">
      <c r="A12" s="1"/>
      <c r="B12" s="83"/>
      <c r="C12" s="1"/>
      <c r="F12" s="21"/>
      <c r="G12" s="24"/>
    </row>
    <row r="13" spans="1:29" ht="16.2" thickTop="1" x14ac:dyDescent="0.3">
      <c r="A13" s="67"/>
      <c r="B13" s="48" t="s">
        <v>40</v>
      </c>
      <c r="C13" s="89"/>
      <c r="D13" s="84"/>
      <c r="F13" s="103" t="s">
        <v>47</v>
      </c>
      <c r="G13" s="48" t="s">
        <v>243</v>
      </c>
      <c r="H13" s="79" t="s">
        <v>192</v>
      </c>
      <c r="I13" s="79" t="s">
        <v>46</v>
      </c>
      <c r="J13" s="79" t="s">
        <v>48</v>
      </c>
      <c r="K13" s="79" t="s">
        <v>203</v>
      </c>
      <c r="L13" s="79" t="s">
        <v>193</v>
      </c>
      <c r="M13" s="80" t="s">
        <v>89</v>
      </c>
      <c r="N13" s="103" t="s">
        <v>47</v>
      </c>
      <c r="O13" s="48" t="s">
        <v>243</v>
      </c>
      <c r="P13" s="79" t="s">
        <v>192</v>
      </c>
      <c r="Q13" s="79" t="s">
        <v>46</v>
      </c>
      <c r="R13" s="79" t="s">
        <v>48</v>
      </c>
      <c r="S13" s="79" t="s">
        <v>203</v>
      </c>
      <c r="T13" s="79" t="s">
        <v>193</v>
      </c>
      <c r="U13" s="80" t="s">
        <v>89</v>
      </c>
      <c r="V13" s="103" t="s">
        <v>47</v>
      </c>
      <c r="W13" s="48" t="s">
        <v>243</v>
      </c>
      <c r="X13" s="79" t="s">
        <v>192</v>
      </c>
      <c r="Y13" s="79" t="s">
        <v>46</v>
      </c>
      <c r="Z13" s="79" t="s">
        <v>48</v>
      </c>
      <c r="AA13" s="79" t="s">
        <v>203</v>
      </c>
      <c r="AB13" s="79" t="s">
        <v>193</v>
      </c>
      <c r="AC13" s="80" t="s">
        <v>89</v>
      </c>
    </row>
    <row r="14" spans="1:29" ht="15.6" x14ac:dyDescent="0.3">
      <c r="A14" s="39"/>
      <c r="B14" s="58">
        <f>B4</f>
        <v>313517840</v>
      </c>
      <c r="C14" s="35"/>
      <c r="D14" s="69"/>
      <c r="F14" s="38">
        <v>45483077</v>
      </c>
      <c r="G14" s="36">
        <v>34490084</v>
      </c>
      <c r="H14" s="36">
        <v>19672642</v>
      </c>
      <c r="I14" s="36">
        <v>41405404</v>
      </c>
      <c r="J14" s="36">
        <v>19974956</v>
      </c>
      <c r="K14" s="36">
        <v>47182044</v>
      </c>
      <c r="L14" s="36">
        <v>10530432</v>
      </c>
      <c r="M14" s="109">
        <f>B14-SUM(F14:L14)</f>
        <v>94779201</v>
      </c>
      <c r="N14" s="38">
        <v>45483077</v>
      </c>
      <c r="O14" s="36">
        <v>34490084</v>
      </c>
      <c r="P14" s="36">
        <v>19672642</v>
      </c>
      <c r="Q14" s="36">
        <v>41405404</v>
      </c>
      <c r="R14" s="36">
        <v>19974956</v>
      </c>
      <c r="S14" s="36">
        <v>47182044</v>
      </c>
      <c r="T14" s="36">
        <v>10530432</v>
      </c>
      <c r="U14" s="109">
        <f>B14-SUM(N14:T14)</f>
        <v>94779201</v>
      </c>
      <c r="V14" s="38">
        <v>45483077</v>
      </c>
      <c r="W14" s="36">
        <v>34490084</v>
      </c>
      <c r="X14" s="36">
        <v>19672642</v>
      </c>
      <c r="Y14" s="36">
        <v>41405404</v>
      </c>
      <c r="Z14" s="36">
        <v>19974956</v>
      </c>
      <c r="AA14" s="36">
        <v>47182044</v>
      </c>
      <c r="AB14" s="36">
        <v>10530432</v>
      </c>
      <c r="AC14" s="109">
        <f>B14-SUM(V14:AB14)</f>
        <v>94779201</v>
      </c>
    </row>
    <row r="15" spans="1:29" ht="16.2" thickBot="1" x14ac:dyDescent="0.35">
      <c r="A15" s="127"/>
      <c r="B15" s="54">
        <f>B14/$B14</f>
        <v>1</v>
      </c>
      <c r="C15" s="59"/>
      <c r="D15" s="86"/>
      <c r="F15" s="110">
        <f t="shared" ref="F15:M15" si="4">F14/$B14</f>
        <v>0.1450733297983936</v>
      </c>
      <c r="G15" s="51">
        <f t="shared" si="4"/>
        <v>0.11000995669018389</v>
      </c>
      <c r="H15" s="51">
        <f t="shared" si="4"/>
        <v>6.2748078386863082E-2</v>
      </c>
      <c r="I15" s="51">
        <f t="shared" si="4"/>
        <v>0.13206713850797136</v>
      </c>
      <c r="J15" s="51">
        <f t="shared" si="4"/>
        <v>6.3712342493811511E-2</v>
      </c>
      <c r="K15" s="51">
        <f t="shared" si="4"/>
        <v>0.15049237389489542</v>
      </c>
      <c r="L15" s="51">
        <f t="shared" si="4"/>
        <v>3.3587983382381045E-2</v>
      </c>
      <c r="M15" s="37">
        <f t="shared" si="4"/>
        <v>0.30230879684550011</v>
      </c>
      <c r="N15" s="110"/>
      <c r="O15" s="51"/>
      <c r="P15" s="51"/>
      <c r="Q15" s="51"/>
      <c r="R15" s="51"/>
      <c r="S15" s="51"/>
      <c r="T15" s="51"/>
      <c r="U15" s="37"/>
      <c r="V15" s="110"/>
      <c r="W15" s="51"/>
      <c r="X15" s="51"/>
      <c r="Y15" s="51"/>
      <c r="Z15" s="51"/>
      <c r="AA15" s="51"/>
      <c r="AB15" s="51"/>
      <c r="AC15" s="37"/>
    </row>
    <row r="16" spans="1:29" ht="16.2" thickTop="1" x14ac:dyDescent="0.3">
      <c r="A16" s="105" t="s">
        <v>164</v>
      </c>
      <c r="B16" s="48">
        <f>B6+B8+B9+B10+B11-B21</f>
        <v>247015407</v>
      </c>
      <c r="C16" s="49">
        <f t="shared" ref="C16:C21" si="5">B16/B$4</f>
        <v>0.78788309781669841</v>
      </c>
      <c r="D16" s="33">
        <f>B16/B$16</f>
        <v>1</v>
      </c>
      <c r="F16" s="38">
        <f>F14-F20-F21</f>
        <v>21471043</v>
      </c>
      <c r="G16" s="36">
        <f t="shared" ref="G16" si="6">G14-G20-G21</f>
        <v>30817715</v>
      </c>
      <c r="H16" s="36">
        <f t="shared" ref="H16:M16" si="7">H14-H20-H21</f>
        <v>15619518</v>
      </c>
      <c r="I16" s="36">
        <f t="shared" si="7"/>
        <v>38652268</v>
      </c>
      <c r="J16" s="36">
        <f t="shared" si="7"/>
        <v>8988081</v>
      </c>
      <c r="K16" s="36">
        <f t="shared" si="7"/>
        <v>40490880</v>
      </c>
      <c r="L16" s="36">
        <f t="shared" si="7"/>
        <v>9543480</v>
      </c>
      <c r="M16" s="109">
        <f t="shared" si="7"/>
        <v>81402422</v>
      </c>
      <c r="N16" s="115">
        <f t="shared" ref="N16:N21" si="8">F16/F$14</f>
        <v>0.47206663260711229</v>
      </c>
      <c r="O16" s="56">
        <f t="shared" ref="O16:U21" si="9">G16/G$14</f>
        <v>0.89352391835288081</v>
      </c>
      <c r="P16" s="56">
        <f t="shared" si="9"/>
        <v>0.79397154688221339</v>
      </c>
      <c r="Q16" s="56">
        <f t="shared" si="9"/>
        <v>0.93350780975352876</v>
      </c>
      <c r="R16" s="56">
        <f t="shared" si="9"/>
        <v>0.44996749930262675</v>
      </c>
      <c r="S16" s="56">
        <f t="shared" si="9"/>
        <v>0.85818410071424633</v>
      </c>
      <c r="T16" s="56">
        <f t="shared" si="9"/>
        <v>0.90627620975093903</v>
      </c>
      <c r="U16" s="116">
        <f t="shared" si="9"/>
        <v>0.85886377117696955</v>
      </c>
      <c r="V16" s="115">
        <f>F16/F$16</f>
        <v>1</v>
      </c>
      <c r="W16" s="56">
        <f t="shared" ref="W16:AC19" si="10">G16/G$16</f>
        <v>1</v>
      </c>
      <c r="X16" s="56">
        <f t="shared" si="10"/>
        <v>1</v>
      </c>
      <c r="Y16" s="56">
        <f t="shared" si="10"/>
        <v>1</v>
      </c>
      <c r="Z16" s="56">
        <f t="shared" si="10"/>
        <v>1</v>
      </c>
      <c r="AA16" s="56">
        <f t="shared" si="10"/>
        <v>1</v>
      </c>
      <c r="AB16" s="56">
        <f t="shared" si="10"/>
        <v>1</v>
      </c>
      <c r="AC16" s="116">
        <f t="shared" si="10"/>
        <v>1</v>
      </c>
    </row>
    <row r="17" spans="1:29" ht="15.6" x14ac:dyDescent="0.3">
      <c r="A17" s="35" t="s">
        <v>61</v>
      </c>
      <c r="B17" s="36">
        <v>14598708</v>
      </c>
      <c r="C17" s="51">
        <f t="shared" si="5"/>
        <v>4.6564201896772447E-2</v>
      </c>
      <c r="D17" s="37">
        <f t="shared" ref="D17:D19" si="11">B17/B$16</f>
        <v>5.9100394494825986E-2</v>
      </c>
      <c r="F17" s="38">
        <v>1253841</v>
      </c>
      <c r="G17" s="36">
        <v>1755424</v>
      </c>
      <c r="H17" s="36">
        <v>1067681</v>
      </c>
      <c r="I17" s="36">
        <v>1310360</v>
      </c>
      <c r="J17" s="36">
        <v>1017743</v>
      </c>
      <c r="K17" s="36">
        <v>4701179</v>
      </c>
      <c r="L17" s="36">
        <v>959752</v>
      </c>
      <c r="M17" s="109">
        <f>B17-SUM(F17:L17)</f>
        <v>2532728</v>
      </c>
      <c r="N17" s="110">
        <f t="shared" si="8"/>
        <v>2.7567198235071037E-2</v>
      </c>
      <c r="O17" s="51">
        <f t="shared" si="9"/>
        <v>5.0896483754577115E-2</v>
      </c>
      <c r="P17" s="51">
        <f t="shared" si="9"/>
        <v>5.4272374803546977E-2</v>
      </c>
      <c r="Q17" s="51">
        <f t="shared" si="9"/>
        <v>3.1647076792198428E-2</v>
      </c>
      <c r="R17" s="51">
        <f t="shared" si="9"/>
        <v>5.0950950780567425E-2</v>
      </c>
      <c r="S17" s="51">
        <f t="shared" si="9"/>
        <v>9.9639155098918561E-2</v>
      </c>
      <c r="T17" s="51">
        <f t="shared" si="9"/>
        <v>9.1140800301450123E-2</v>
      </c>
      <c r="U17" s="37">
        <f t="shared" si="9"/>
        <v>2.6722402945768661E-2</v>
      </c>
      <c r="V17" s="110">
        <f>F17/F$16</f>
        <v>5.8396837079595997E-2</v>
      </c>
      <c r="W17" s="51">
        <f t="shared" si="10"/>
        <v>5.6961523591220177E-2</v>
      </c>
      <c r="X17" s="51">
        <f t="shared" si="10"/>
        <v>6.835556641376514E-2</v>
      </c>
      <c r="Y17" s="51">
        <f t="shared" si="10"/>
        <v>3.3901244811818027E-2</v>
      </c>
      <c r="Z17" s="51">
        <f t="shared" si="10"/>
        <v>0.11323251314713341</v>
      </c>
      <c r="AA17" s="51">
        <f t="shared" si="10"/>
        <v>0.1161046388717657</v>
      </c>
      <c r="AB17" s="51">
        <f t="shared" si="10"/>
        <v>0.10056625046628694</v>
      </c>
      <c r="AC17" s="37">
        <f t="shared" si="10"/>
        <v>3.1113668829165796E-2</v>
      </c>
    </row>
    <row r="18" spans="1:29" ht="15.6" x14ac:dyDescent="0.3">
      <c r="A18" s="35" t="s">
        <v>62</v>
      </c>
      <c r="B18" s="36">
        <v>9430095</v>
      </c>
      <c r="C18" s="51">
        <f t="shared" si="5"/>
        <v>3.0078336212063721E-2</v>
      </c>
      <c r="D18" s="37">
        <f t="shared" si="11"/>
        <v>3.8176140972453594E-2</v>
      </c>
      <c r="F18" s="38">
        <v>130221</v>
      </c>
      <c r="G18" s="36">
        <v>1239826</v>
      </c>
      <c r="H18" s="36">
        <v>457723</v>
      </c>
      <c r="I18" s="36">
        <v>17603</v>
      </c>
      <c r="J18" s="36">
        <v>1635432</v>
      </c>
      <c r="K18" s="36">
        <v>3657557</v>
      </c>
      <c r="L18" s="36">
        <v>687292</v>
      </c>
      <c r="M18" s="109">
        <f>B18-SUM(F18:L18)</f>
        <v>1604441</v>
      </c>
      <c r="N18" s="110">
        <f t="shared" si="8"/>
        <v>2.8630648713586374E-3</v>
      </c>
      <c r="O18" s="51">
        <f t="shared" si="9"/>
        <v>3.5947317495660491E-2</v>
      </c>
      <c r="P18" s="51">
        <f t="shared" si="9"/>
        <v>2.3266981628598742E-2</v>
      </c>
      <c r="Q18" s="51">
        <f t="shared" si="9"/>
        <v>4.2513774288979283E-4</v>
      </c>
      <c r="R18" s="51">
        <f t="shared" si="9"/>
        <v>8.1874122776540784E-2</v>
      </c>
      <c r="S18" s="51">
        <f t="shared" si="9"/>
        <v>7.7520104894141503E-2</v>
      </c>
      <c r="T18" s="51">
        <f t="shared" si="9"/>
        <v>6.5267217907109598E-2</v>
      </c>
      <c r="U18" s="37">
        <f t="shared" si="9"/>
        <v>1.6928197147388909E-2</v>
      </c>
      <c r="V18" s="110">
        <f>F18/F$16</f>
        <v>6.0649592104119023E-3</v>
      </c>
      <c r="W18" s="51">
        <f t="shared" si="10"/>
        <v>4.023095158093324E-2</v>
      </c>
      <c r="X18" s="51">
        <f t="shared" si="10"/>
        <v>2.9304553443966708E-2</v>
      </c>
      <c r="Y18" s="51">
        <f t="shared" si="10"/>
        <v>4.5541958883240692E-4</v>
      </c>
      <c r="Z18" s="51">
        <f t="shared" si="10"/>
        <v>0.18195563658137928</v>
      </c>
      <c r="AA18" s="51">
        <f t="shared" si="10"/>
        <v>9.0330390448417022E-2</v>
      </c>
      <c r="AB18" s="51">
        <f t="shared" si="10"/>
        <v>7.201691626115421E-2</v>
      </c>
      <c r="AC18" s="37">
        <f t="shared" si="10"/>
        <v>1.9709990938598855E-2</v>
      </c>
    </row>
    <row r="19" spans="1:29" ht="15.6" x14ac:dyDescent="0.3">
      <c r="A19" s="35" t="s">
        <v>63</v>
      </c>
      <c r="B19" s="36">
        <f>B16-B17-B18</f>
        <v>222986604</v>
      </c>
      <c r="C19" s="51">
        <f t="shared" si="5"/>
        <v>0.71124055970786226</v>
      </c>
      <c r="D19" s="37">
        <f t="shared" si="11"/>
        <v>0.90272346453272045</v>
      </c>
      <c r="F19" s="38">
        <f>F16-F17-F18</f>
        <v>20086981</v>
      </c>
      <c r="G19" s="36">
        <f t="shared" ref="G19:M19" si="12">G16-G17-G18</f>
        <v>27822465</v>
      </c>
      <c r="H19" s="36">
        <f t="shared" si="12"/>
        <v>14094114</v>
      </c>
      <c r="I19" s="36">
        <f t="shared" si="12"/>
        <v>37324305</v>
      </c>
      <c r="J19" s="36">
        <f t="shared" si="12"/>
        <v>6334906</v>
      </c>
      <c r="K19" s="36">
        <f t="shared" si="12"/>
        <v>32132144</v>
      </c>
      <c r="L19" s="36">
        <f t="shared" si="12"/>
        <v>7896436</v>
      </c>
      <c r="M19" s="109">
        <f t="shared" si="12"/>
        <v>77265253</v>
      </c>
      <c r="N19" s="110">
        <f t="shared" si="8"/>
        <v>0.44163636950068264</v>
      </c>
      <c r="O19" s="51">
        <f t="shared" si="9"/>
        <v>0.8066801171026432</v>
      </c>
      <c r="P19" s="51">
        <f t="shared" si="9"/>
        <v>0.71643219045006767</v>
      </c>
      <c r="Q19" s="51">
        <f t="shared" si="9"/>
        <v>0.90143559521844052</v>
      </c>
      <c r="R19" s="51">
        <f t="shared" si="9"/>
        <v>0.31714242574551854</v>
      </c>
      <c r="S19" s="51">
        <f t="shared" si="9"/>
        <v>0.68102484072118619</v>
      </c>
      <c r="T19" s="51">
        <f t="shared" si="9"/>
        <v>0.74986819154237927</v>
      </c>
      <c r="U19" s="37">
        <f t="shared" si="9"/>
        <v>0.81521317108381197</v>
      </c>
      <c r="V19" s="110">
        <f>F19/F$16</f>
        <v>0.93553820370999208</v>
      </c>
      <c r="W19" s="51">
        <f t="shared" si="10"/>
        <v>0.90280752482784654</v>
      </c>
      <c r="X19" s="51">
        <f t="shared" si="10"/>
        <v>0.90233988014226818</v>
      </c>
      <c r="Y19" s="51">
        <f t="shared" si="10"/>
        <v>0.96564333559934956</v>
      </c>
      <c r="Z19" s="51">
        <f t="shared" si="10"/>
        <v>0.70481185027148729</v>
      </c>
      <c r="AA19" s="51">
        <f t="shared" si="10"/>
        <v>0.79356497067981724</v>
      </c>
      <c r="AB19" s="51">
        <f t="shared" si="10"/>
        <v>0.82741683327255888</v>
      </c>
      <c r="AC19" s="37">
        <f t="shared" si="10"/>
        <v>0.9491763402322354</v>
      </c>
    </row>
    <row r="20" spans="1:29" ht="15.6" x14ac:dyDescent="0.3">
      <c r="A20" s="106" t="s">
        <v>42</v>
      </c>
      <c r="B20" s="58">
        <f>B7</f>
        <v>66346999</v>
      </c>
      <c r="C20" s="56">
        <f t="shared" si="5"/>
        <v>0.21162112816291412</v>
      </c>
      <c r="D20" s="69"/>
      <c r="F20" s="38">
        <v>23989719</v>
      </c>
      <c r="G20" s="36">
        <v>3666861</v>
      </c>
      <c r="H20" s="36">
        <v>4024485</v>
      </c>
      <c r="I20" s="102">
        <v>2740408</v>
      </c>
      <c r="J20" s="102">
        <v>10955721</v>
      </c>
      <c r="K20" s="36">
        <v>6658373</v>
      </c>
      <c r="L20" s="36">
        <v>985825</v>
      </c>
      <c r="M20" s="109">
        <f>B20-SUM(F20:L20)</f>
        <v>13325607</v>
      </c>
      <c r="N20" s="115">
        <f t="shared" si="8"/>
        <v>0.52744274535339819</v>
      </c>
      <c r="O20" s="56">
        <f t="shared" si="9"/>
        <v>0.10631638357273934</v>
      </c>
      <c r="P20" s="56">
        <f t="shared" si="9"/>
        <v>0.2045726750885824</v>
      </c>
      <c r="Q20" s="56">
        <f t="shared" si="9"/>
        <v>6.61847907582305E-2</v>
      </c>
      <c r="R20" s="56">
        <f t="shared" si="9"/>
        <v>0.5484728476998898</v>
      </c>
      <c r="S20" s="56">
        <f t="shared" si="9"/>
        <v>0.14112091031918839</v>
      </c>
      <c r="T20" s="56">
        <f t="shared" si="9"/>
        <v>9.3616767099393455E-2</v>
      </c>
      <c r="U20" s="116">
        <f t="shared" si="9"/>
        <v>0.14059632133847594</v>
      </c>
      <c r="V20" s="115"/>
      <c r="W20" s="56"/>
      <c r="X20" s="56"/>
      <c r="Y20" s="56"/>
      <c r="Z20" s="56"/>
      <c r="AA20" s="56"/>
      <c r="AB20" s="56"/>
      <c r="AC20" s="116"/>
    </row>
    <row r="21" spans="1:29" ht="16.2" thickBot="1" x14ac:dyDescent="0.35">
      <c r="A21" s="107" t="s">
        <v>166</v>
      </c>
      <c r="B21" s="59">
        <v>185434</v>
      </c>
      <c r="C21" s="57">
        <f t="shared" si="5"/>
        <v>5.9146235506087942E-4</v>
      </c>
      <c r="D21" s="86"/>
      <c r="F21" s="73">
        <v>22315</v>
      </c>
      <c r="G21" s="44">
        <v>5508</v>
      </c>
      <c r="H21" s="44">
        <v>28639</v>
      </c>
      <c r="I21" s="44">
        <v>12728</v>
      </c>
      <c r="J21" s="44">
        <v>31154</v>
      </c>
      <c r="K21" s="44">
        <v>32791</v>
      </c>
      <c r="L21" s="44">
        <v>1127</v>
      </c>
      <c r="M21" s="111">
        <f>B21-SUM(F21:L21)</f>
        <v>51172</v>
      </c>
      <c r="N21" s="101">
        <f t="shared" si="8"/>
        <v>4.9062203948954468E-4</v>
      </c>
      <c r="O21" s="57">
        <f t="shared" si="9"/>
        <v>1.5969807437987102E-4</v>
      </c>
      <c r="P21" s="57">
        <f t="shared" si="9"/>
        <v>1.4557780292042116E-3</v>
      </c>
      <c r="Q21" s="57">
        <f t="shared" si="9"/>
        <v>3.0739948824071368E-4</v>
      </c>
      <c r="R21" s="57">
        <f t="shared" si="9"/>
        <v>1.5596529974834488E-3</v>
      </c>
      <c r="S21" s="57">
        <f t="shared" si="9"/>
        <v>6.9498896656533147E-4</v>
      </c>
      <c r="T21" s="57">
        <f t="shared" si="9"/>
        <v>1.0702314966755399E-4</v>
      </c>
      <c r="U21" s="66">
        <f t="shared" si="9"/>
        <v>5.39907484554549E-4</v>
      </c>
      <c r="V21" s="101"/>
      <c r="W21" s="57"/>
      <c r="X21" s="57"/>
      <c r="Y21" s="57"/>
      <c r="Z21" s="57"/>
      <c r="AA21" s="57"/>
      <c r="AB21" s="57"/>
      <c r="AC21" s="66"/>
    </row>
    <row r="22" spans="1:29" ht="16.8" thickTop="1" thickBot="1" x14ac:dyDescent="0.35">
      <c r="A22" s="34"/>
      <c r="B22" s="36"/>
      <c r="C22" s="51"/>
      <c r="F22" s="21"/>
      <c r="G22" s="21"/>
      <c r="H22" s="24"/>
      <c r="N22" s="21"/>
      <c r="O22" s="21"/>
      <c r="P22" s="24"/>
      <c r="V22" s="21"/>
      <c r="W22" s="21"/>
      <c r="X22" s="24"/>
    </row>
    <row r="23" spans="1:29" ht="16.8" thickTop="1" thickBot="1" x14ac:dyDescent="0.35">
      <c r="A23" s="67" t="s">
        <v>204</v>
      </c>
      <c r="B23" s="32"/>
      <c r="C23" s="90"/>
      <c r="D23" s="108"/>
      <c r="F23" s="21"/>
      <c r="G23" s="21"/>
      <c r="H23" s="24"/>
      <c r="N23" s="21"/>
      <c r="O23" s="21"/>
      <c r="P23" s="24"/>
      <c r="V23" s="21"/>
      <c r="W23" s="21"/>
      <c r="X23" s="24"/>
    </row>
    <row r="24" spans="1:29" ht="16.2" thickTop="1" x14ac:dyDescent="0.3">
      <c r="A24" s="39" t="s">
        <v>167</v>
      </c>
      <c r="B24" s="36">
        <v>5087436</v>
      </c>
      <c r="C24" s="51">
        <f t="shared" ref="C24:C27" si="13">B24/B$4</f>
        <v>1.6226942619915984E-2</v>
      </c>
      <c r="D24" s="37">
        <f t="shared" ref="D24:D27" si="14">B24/B$16</f>
        <v>2.059562219938775E-2</v>
      </c>
      <c r="F24" s="95">
        <v>0</v>
      </c>
      <c r="G24" s="95">
        <v>0</v>
      </c>
      <c r="H24" s="32">
        <v>3279496</v>
      </c>
      <c r="I24" s="32">
        <v>79247</v>
      </c>
      <c r="J24" s="32">
        <v>0</v>
      </c>
      <c r="K24" s="32">
        <v>0</v>
      </c>
      <c r="L24" s="32">
        <v>0</v>
      </c>
      <c r="M24" s="112">
        <f>B24-SUM(F24:L24)</f>
        <v>1728693</v>
      </c>
      <c r="N24" s="114">
        <f>F24/F$14</f>
        <v>0</v>
      </c>
      <c r="O24" s="90">
        <f t="shared" ref="O24:U27" si="15">G24/G$14</f>
        <v>0</v>
      </c>
      <c r="P24" s="90">
        <f t="shared" si="15"/>
        <v>0.16670338432428142</v>
      </c>
      <c r="Q24" s="90">
        <f t="shared" si="15"/>
        <v>1.9139289161385793E-3</v>
      </c>
      <c r="R24" s="90">
        <f t="shared" si="15"/>
        <v>0</v>
      </c>
      <c r="S24" s="90">
        <f t="shared" si="15"/>
        <v>0</v>
      </c>
      <c r="T24" s="90">
        <f t="shared" si="15"/>
        <v>0</v>
      </c>
      <c r="U24" s="33">
        <f t="shared" si="15"/>
        <v>1.8239159876437448E-2</v>
      </c>
      <c r="V24" s="114">
        <f>F24/F$16</f>
        <v>0</v>
      </c>
      <c r="W24" s="90"/>
      <c r="X24" s="90">
        <f t="shared" ref="X24:AC27" si="16">H24/H$16</f>
        <v>0.20996140854026354</v>
      </c>
      <c r="Y24" s="90">
        <f t="shared" si="16"/>
        <v>2.0502548517980887E-3</v>
      </c>
      <c r="Z24" s="90">
        <f t="shared" si="16"/>
        <v>0</v>
      </c>
      <c r="AA24" s="90">
        <f t="shared" si="16"/>
        <v>0</v>
      </c>
      <c r="AB24" s="90">
        <f t="shared" si="16"/>
        <v>0</v>
      </c>
      <c r="AC24" s="33">
        <f t="shared" si="16"/>
        <v>2.123638286831318E-2</v>
      </c>
    </row>
    <row r="25" spans="1:29" ht="15.6" x14ac:dyDescent="0.3">
      <c r="A25" s="39" t="s">
        <v>194</v>
      </c>
      <c r="B25" s="36">
        <v>1125517</v>
      </c>
      <c r="C25" s="51">
        <f t="shared" si="13"/>
        <v>3.5899615792198618E-3</v>
      </c>
      <c r="D25" s="37">
        <f t="shared" si="14"/>
        <v>4.556464771446422E-3</v>
      </c>
      <c r="F25" s="38">
        <v>14717</v>
      </c>
      <c r="G25" s="38">
        <v>149575</v>
      </c>
      <c r="H25" s="36">
        <v>204239</v>
      </c>
      <c r="I25" s="36">
        <v>0</v>
      </c>
      <c r="J25" s="36">
        <v>43265</v>
      </c>
      <c r="K25" s="36">
        <v>471603</v>
      </c>
      <c r="L25" s="36">
        <v>32588</v>
      </c>
      <c r="M25" s="109">
        <f>B25-SUM(F25:L25)</f>
        <v>209530</v>
      </c>
      <c r="N25" s="110">
        <f>F25/F$14</f>
        <v>3.2357089648969879E-4</v>
      </c>
      <c r="O25" s="51">
        <f t="shared" si="15"/>
        <v>4.3367537173872933E-3</v>
      </c>
      <c r="P25" s="51">
        <f t="shared" si="15"/>
        <v>1.0381879566557456E-2</v>
      </c>
      <c r="Q25" s="51">
        <f t="shared" si="15"/>
        <v>0</v>
      </c>
      <c r="R25" s="51">
        <f t="shared" si="15"/>
        <v>2.1659622178892409E-3</v>
      </c>
      <c r="S25" s="51">
        <f t="shared" si="15"/>
        <v>9.9953914671437293E-3</v>
      </c>
      <c r="T25" s="51">
        <f t="shared" si="15"/>
        <v>3.0946498681155721E-3</v>
      </c>
      <c r="U25" s="37">
        <f t="shared" si="15"/>
        <v>2.2107170960430442E-3</v>
      </c>
      <c r="V25" s="110">
        <f>F25/F$16</f>
        <v>6.8543479699612172E-4</v>
      </c>
      <c r="W25" s="51"/>
      <c r="X25" s="51">
        <f t="shared" si="16"/>
        <v>1.3075883647626003E-2</v>
      </c>
      <c r="Y25" s="51">
        <f t="shared" si="16"/>
        <v>0</v>
      </c>
      <c r="Z25" s="51">
        <f t="shared" si="16"/>
        <v>4.8135970292212541E-3</v>
      </c>
      <c r="AA25" s="51">
        <f t="shared" si="16"/>
        <v>1.1647141282185025E-2</v>
      </c>
      <c r="AB25" s="51">
        <f t="shared" si="16"/>
        <v>3.414687304840582E-3</v>
      </c>
      <c r="AC25" s="37">
        <f t="shared" si="16"/>
        <v>2.5740020364504635E-3</v>
      </c>
    </row>
    <row r="26" spans="1:29" ht="15.6" x14ac:dyDescent="0.3">
      <c r="A26" s="39" t="s">
        <v>195</v>
      </c>
      <c r="B26" s="36">
        <v>599159</v>
      </c>
      <c r="C26" s="51">
        <f t="shared" si="13"/>
        <v>1.9110842304858951E-3</v>
      </c>
      <c r="D26" s="37">
        <f t="shared" si="14"/>
        <v>2.4255936391854296E-3</v>
      </c>
      <c r="F26" s="38">
        <v>10956</v>
      </c>
      <c r="G26" s="38">
        <v>35073</v>
      </c>
      <c r="H26" s="36">
        <v>0</v>
      </c>
      <c r="I26" s="36">
        <v>0</v>
      </c>
      <c r="J26" s="36">
        <v>432727</v>
      </c>
      <c r="K26" s="36">
        <v>44489</v>
      </c>
      <c r="L26" s="36">
        <v>10410</v>
      </c>
      <c r="M26" s="109">
        <f>B26-SUM(F26:L26)</f>
        <v>65504</v>
      </c>
      <c r="N26" s="110">
        <f>F26/F$14</f>
        <v>2.4088080056676903E-4</v>
      </c>
      <c r="O26" s="51">
        <f t="shared" si="15"/>
        <v>1.016900973624767E-3</v>
      </c>
      <c r="P26" s="51">
        <f t="shared" si="15"/>
        <v>0</v>
      </c>
      <c r="Q26" s="51">
        <f t="shared" si="15"/>
        <v>0</v>
      </c>
      <c r="R26" s="51">
        <f t="shared" si="15"/>
        <v>2.1663477005906796E-2</v>
      </c>
      <c r="S26" s="51">
        <f t="shared" si="15"/>
        <v>9.4292226932771292E-4</v>
      </c>
      <c r="T26" s="51">
        <f t="shared" si="15"/>
        <v>9.8856343215549002E-4</v>
      </c>
      <c r="U26" s="37">
        <f t="shared" si="15"/>
        <v>6.9112209544792426E-4</v>
      </c>
      <c r="V26" s="110">
        <f>F26/F$16</f>
        <v>5.1026864414551267E-4</v>
      </c>
      <c r="W26" s="51"/>
      <c r="X26" s="51">
        <f t="shared" si="16"/>
        <v>0</v>
      </c>
      <c r="Y26" s="51">
        <f t="shared" si="16"/>
        <v>0</v>
      </c>
      <c r="Z26" s="51">
        <f t="shared" si="16"/>
        <v>4.8144537193200637E-2</v>
      </c>
      <c r="AA26" s="51">
        <f t="shared" si="16"/>
        <v>1.0987412474117628E-3</v>
      </c>
      <c r="AB26" s="51">
        <f t="shared" si="16"/>
        <v>1.0907970677362974E-3</v>
      </c>
      <c r="AC26" s="37">
        <f t="shared" si="16"/>
        <v>8.0469350162578701E-4</v>
      </c>
    </row>
    <row r="27" spans="1:29" ht="16.2" thickBot="1" x14ac:dyDescent="0.35">
      <c r="A27" s="85" t="s">
        <v>170</v>
      </c>
      <c r="B27" s="44">
        <v>2178390</v>
      </c>
      <c r="C27" s="54">
        <f t="shared" si="13"/>
        <v>6.9482170456392532E-3</v>
      </c>
      <c r="D27" s="45">
        <f t="shared" si="14"/>
        <v>8.818842623853013E-3</v>
      </c>
      <c r="F27" s="73">
        <v>1113684</v>
      </c>
      <c r="G27" s="73">
        <v>347613</v>
      </c>
      <c r="H27" s="44">
        <v>0</v>
      </c>
      <c r="I27" s="44">
        <v>0</v>
      </c>
      <c r="J27" s="44">
        <v>13374</v>
      </c>
      <c r="K27" s="44">
        <v>485073</v>
      </c>
      <c r="L27" s="44">
        <v>23610</v>
      </c>
      <c r="M27" s="111">
        <f>B27-SUM(F27:L27)</f>
        <v>195036</v>
      </c>
      <c r="N27" s="113">
        <f>F27/F$14</f>
        <v>2.4485678486528079E-2</v>
      </c>
      <c r="O27" s="54">
        <f t="shared" si="15"/>
        <v>1.0078635934896534E-2</v>
      </c>
      <c r="P27" s="54">
        <f t="shared" si="15"/>
        <v>0</v>
      </c>
      <c r="Q27" s="54">
        <f t="shared" si="15"/>
        <v>0</v>
      </c>
      <c r="R27" s="54">
        <f t="shared" si="15"/>
        <v>6.6953839597944543E-4</v>
      </c>
      <c r="S27" s="54">
        <f t="shared" si="15"/>
        <v>1.028088143023223E-2</v>
      </c>
      <c r="T27" s="54">
        <f t="shared" si="15"/>
        <v>2.2420732596725376E-3</v>
      </c>
      <c r="U27" s="45">
        <f t="shared" si="15"/>
        <v>2.0577932493860123E-3</v>
      </c>
      <c r="V27" s="113">
        <f>F27/F$16</f>
        <v>5.1869115068140847E-2</v>
      </c>
      <c r="W27" s="54"/>
      <c r="X27" s="54">
        <f t="shared" si="16"/>
        <v>0</v>
      </c>
      <c r="Y27" s="54">
        <f t="shared" si="16"/>
        <v>0</v>
      </c>
      <c r="Z27" s="54">
        <f t="shared" si="16"/>
        <v>1.4879705690235769E-3</v>
      </c>
      <c r="AA27" s="54">
        <f t="shared" si="16"/>
        <v>1.1979808786571199E-2</v>
      </c>
      <c r="AB27" s="54">
        <f t="shared" si="16"/>
        <v>2.4739403236555221E-3</v>
      </c>
      <c r="AC27" s="45">
        <f t="shared" si="16"/>
        <v>2.3959483662537705E-3</v>
      </c>
    </row>
    <row r="28" spans="1:29" ht="16.8" thickTop="1" thickBot="1" x14ac:dyDescent="0.35">
      <c r="A28" s="34"/>
      <c r="B28" s="36"/>
      <c r="C28" s="51"/>
      <c r="F28" s="21"/>
      <c r="G28" s="24"/>
    </row>
    <row r="29" spans="1:29" ht="16.2" thickTop="1" x14ac:dyDescent="0.3">
      <c r="A29" s="105" t="s">
        <v>248</v>
      </c>
      <c r="B29" s="32"/>
      <c r="C29" s="90" t="s">
        <v>249</v>
      </c>
      <c r="D29" s="90">
        <v>0.106</v>
      </c>
      <c r="E29" s="90"/>
      <c r="F29" s="90">
        <v>0.14000000000000001</v>
      </c>
      <c r="G29" s="90">
        <v>7.5999999999999998E-2</v>
      </c>
      <c r="H29" s="90">
        <v>0.12</v>
      </c>
      <c r="I29" s="90">
        <v>0.13800000000000001</v>
      </c>
      <c r="J29" s="90">
        <v>6.3E-2</v>
      </c>
      <c r="K29" s="90">
        <v>6.0999999999999999E-2</v>
      </c>
      <c r="L29" s="33">
        <v>5.8999999999999997E-2</v>
      </c>
      <c r="M29" s="24"/>
    </row>
    <row r="30" spans="1:29" ht="15.6" x14ac:dyDescent="0.3">
      <c r="A30" s="106"/>
      <c r="B30" s="36"/>
      <c r="C30" s="51" t="s">
        <v>250</v>
      </c>
      <c r="D30" s="51">
        <v>0.01</v>
      </c>
      <c r="E30" s="51"/>
      <c r="F30" s="51">
        <v>1.0999999999999999E-2</v>
      </c>
      <c r="G30" s="51">
        <v>4.0000000000000001E-3</v>
      </c>
      <c r="H30" s="51">
        <v>1.4E-2</v>
      </c>
      <c r="I30" s="51">
        <v>1.2999999999999999E-2</v>
      </c>
      <c r="J30" s="51">
        <v>6.0000000000000001E-3</v>
      </c>
      <c r="K30" s="51">
        <v>5.0000000000000001E-3</v>
      </c>
      <c r="L30" s="37">
        <v>2E-3</v>
      </c>
      <c r="M30" s="24"/>
    </row>
    <row r="31" spans="1:29" ht="15.6" x14ac:dyDescent="0.3">
      <c r="A31" s="106"/>
      <c r="B31" s="36"/>
      <c r="C31" s="124" t="s">
        <v>251</v>
      </c>
      <c r="D31" s="51"/>
      <c r="E31" s="51"/>
      <c r="F31" s="51">
        <v>0.64400000000000002</v>
      </c>
      <c r="G31" s="51">
        <v>0.317</v>
      </c>
      <c r="H31" s="51">
        <v>0.59099999999999997</v>
      </c>
      <c r="I31" s="51">
        <v>0.71899999999999997</v>
      </c>
      <c r="J31" s="51">
        <v>0.19500000000000001</v>
      </c>
      <c r="K31" s="51">
        <v>0.217</v>
      </c>
      <c r="L31" s="37">
        <v>0.156</v>
      </c>
      <c r="M31" s="24"/>
    </row>
    <row r="32" spans="1:29" ht="15.6" x14ac:dyDescent="0.3">
      <c r="A32" s="106"/>
      <c r="B32" s="36"/>
      <c r="C32" s="124" t="s">
        <v>252</v>
      </c>
      <c r="D32" s="51"/>
      <c r="E32" s="51"/>
      <c r="F32" s="51">
        <v>0.113</v>
      </c>
      <c r="G32" s="51">
        <v>1.7999999999999999E-2</v>
      </c>
      <c r="H32" s="51">
        <v>7.4999999999999997E-2</v>
      </c>
      <c r="I32" s="51">
        <v>0.12</v>
      </c>
      <c r="J32" s="51">
        <v>1.2E-2</v>
      </c>
      <c r="K32" s="51">
        <v>1.9E-2</v>
      </c>
      <c r="L32" s="37">
        <v>5.0000000000000001E-3</v>
      </c>
      <c r="M32" s="24"/>
    </row>
    <row r="33" spans="1:21" ht="15.6" x14ac:dyDescent="0.3">
      <c r="A33" s="106"/>
      <c r="B33" s="36"/>
      <c r="C33" s="124" t="s">
        <v>253</v>
      </c>
      <c r="D33" s="51"/>
      <c r="E33" s="51"/>
      <c r="F33" s="51">
        <f>F31*V$17/F29</f>
        <v>0.26862545056614157</v>
      </c>
      <c r="G33" s="51">
        <f t="shared" ref="G33:L33" si="17">G31*W$17/G29</f>
        <v>0.2375895128739052</v>
      </c>
      <c r="H33" s="51">
        <f t="shared" si="17"/>
        <v>0.33665116458779332</v>
      </c>
      <c r="I33" s="51">
        <f t="shared" si="17"/>
        <v>0.17663039869345767</v>
      </c>
      <c r="J33" s="51">
        <f t="shared" si="17"/>
        <v>0.35048158831255577</v>
      </c>
      <c r="K33" s="51">
        <f t="shared" si="17"/>
        <v>0.41302797762578947</v>
      </c>
      <c r="L33" s="37">
        <f t="shared" si="17"/>
        <v>0.26590398428374173</v>
      </c>
      <c r="M33" s="24"/>
    </row>
    <row r="34" spans="1:21" ht="16.2" thickBot="1" x14ac:dyDescent="0.35">
      <c r="A34" s="107"/>
      <c r="B34" s="44"/>
      <c r="C34" s="125" t="s">
        <v>254</v>
      </c>
      <c r="D34" s="54"/>
      <c r="E34" s="54"/>
      <c r="F34" s="54">
        <f>F32*V$17/F30</f>
        <v>0.59989478090857706</v>
      </c>
      <c r="G34" s="54">
        <f t="shared" ref="G34:L34" si="18">G32*W$17/G30</f>
        <v>0.25632685616049078</v>
      </c>
      <c r="H34" s="54">
        <f t="shared" si="18"/>
        <v>0.36619053435945609</v>
      </c>
      <c r="I34" s="54">
        <f t="shared" si="18"/>
        <v>0.31293456749370485</v>
      </c>
      <c r="J34" s="54">
        <f t="shared" si="18"/>
        <v>0.22646502629426679</v>
      </c>
      <c r="K34" s="54">
        <f t="shared" si="18"/>
        <v>0.44119762771270959</v>
      </c>
      <c r="L34" s="45">
        <f t="shared" si="18"/>
        <v>0.25141562616571733</v>
      </c>
      <c r="M34" s="24"/>
    </row>
    <row r="35" spans="1:21" ht="16.8" thickTop="1" thickBot="1" x14ac:dyDescent="0.35">
      <c r="A35" s="34"/>
      <c r="B35" s="36"/>
      <c r="C35" s="124"/>
      <c r="D35" s="51"/>
      <c r="E35" s="51"/>
      <c r="F35" s="51"/>
      <c r="G35" s="51"/>
      <c r="H35" s="51"/>
      <c r="I35" s="51"/>
      <c r="J35" s="51"/>
      <c r="K35" s="51"/>
      <c r="L35" s="51"/>
      <c r="M35" s="24"/>
    </row>
    <row r="36" spans="1:21" ht="16.2" thickTop="1" x14ac:dyDescent="0.3">
      <c r="A36" s="105"/>
      <c r="B36" s="32"/>
      <c r="C36" s="128"/>
      <c r="D36" s="90"/>
      <c r="E36" s="33"/>
      <c r="F36" s="48" t="s">
        <v>47</v>
      </c>
      <c r="G36" s="48" t="s">
        <v>243</v>
      </c>
      <c r="H36" s="79" t="s">
        <v>192</v>
      </c>
      <c r="I36" s="79" t="s">
        <v>46</v>
      </c>
      <c r="J36" s="79" t="s">
        <v>48</v>
      </c>
      <c r="K36" s="79" t="s">
        <v>203</v>
      </c>
      <c r="L36" s="79" t="s">
        <v>193</v>
      </c>
      <c r="M36" s="80" t="s">
        <v>89</v>
      </c>
      <c r="N36" s="103" t="s">
        <v>47</v>
      </c>
      <c r="O36" s="48" t="s">
        <v>243</v>
      </c>
      <c r="P36" s="79" t="s">
        <v>192</v>
      </c>
      <c r="Q36" s="79" t="s">
        <v>46</v>
      </c>
      <c r="R36" s="79" t="s">
        <v>48</v>
      </c>
      <c r="S36" s="79" t="s">
        <v>203</v>
      </c>
      <c r="T36" s="79" t="s">
        <v>193</v>
      </c>
      <c r="U36" s="80" t="s">
        <v>89</v>
      </c>
    </row>
    <row r="37" spans="1:21" ht="15.6" x14ac:dyDescent="0.3">
      <c r="A37" s="106" t="s">
        <v>264</v>
      </c>
      <c r="B37" s="36"/>
      <c r="C37" s="124"/>
      <c r="D37" s="36">
        <v>313470014</v>
      </c>
      <c r="E37" s="37"/>
      <c r="F37" s="110">
        <f>N37/N$37</f>
        <v>1</v>
      </c>
      <c r="G37" s="51">
        <f t="shared" ref="G37:G47" si="19">O37/O$37</f>
        <v>1</v>
      </c>
      <c r="H37" s="51">
        <f t="shared" ref="H37:H47" si="20">P37/P$37</f>
        <v>1</v>
      </c>
      <c r="I37" s="51">
        <f t="shared" ref="I37:I47" si="21">Q37/Q$37</f>
        <v>1</v>
      </c>
      <c r="J37" s="51">
        <f t="shared" ref="J37:J47" si="22">R37/R$37</f>
        <v>1</v>
      </c>
      <c r="K37" s="51">
        <f t="shared" ref="K37:K47" si="23">S37/S$37</f>
        <v>1</v>
      </c>
      <c r="L37" s="51">
        <f t="shared" ref="L37:L47" si="24">T37/T$37</f>
        <v>1</v>
      </c>
      <c r="M37" s="37">
        <f t="shared" ref="M37:M47" si="25">U37/U$37</f>
        <v>1</v>
      </c>
      <c r="N37" s="36">
        <v>45483077</v>
      </c>
      <c r="O37" s="36">
        <v>34490084</v>
      </c>
      <c r="P37" s="36">
        <v>19672642</v>
      </c>
      <c r="Q37" s="36">
        <v>41405404</v>
      </c>
      <c r="R37" s="36">
        <v>19974956</v>
      </c>
      <c r="S37" s="36">
        <v>47182044</v>
      </c>
      <c r="T37" s="36">
        <v>10530432</v>
      </c>
      <c r="U37" s="109">
        <f t="shared" ref="U37:U47" si="26">D37-SUM(N37:T37)</f>
        <v>94731375</v>
      </c>
    </row>
    <row r="38" spans="1:21" ht="15.6" x14ac:dyDescent="0.3">
      <c r="A38" s="106" t="s">
        <v>274</v>
      </c>
      <c r="B38" s="36"/>
      <c r="C38" s="124"/>
      <c r="D38" s="36">
        <v>7743587</v>
      </c>
      <c r="E38" s="116">
        <f>D38/D$37</f>
        <v>2.4702799802726903E-2</v>
      </c>
      <c r="F38" s="115">
        <f t="shared" ref="F38:F47" si="27">N38/N$37</f>
        <v>2.6227117395773377E-2</v>
      </c>
      <c r="G38" s="56">
        <f t="shared" si="19"/>
        <v>1.7269920247222362E-2</v>
      </c>
      <c r="H38" s="56">
        <f t="shared" si="20"/>
        <v>2.7582212902567942E-2</v>
      </c>
      <c r="I38" s="56">
        <f t="shared" si="21"/>
        <v>2.6924987859072696E-2</v>
      </c>
      <c r="J38" s="56">
        <f t="shared" si="22"/>
        <v>2.7061686644015637E-2</v>
      </c>
      <c r="K38" s="56">
        <f t="shared" si="23"/>
        <v>1.8272926030928206E-2</v>
      </c>
      <c r="L38" s="56">
        <f t="shared" si="24"/>
        <v>5.5164593437382246E-2</v>
      </c>
      <c r="M38" s="116">
        <f t="shared" si="25"/>
        <v>2.4426796296369603E-2</v>
      </c>
      <c r="N38" s="36">
        <v>1192890</v>
      </c>
      <c r="O38" s="36">
        <v>595641</v>
      </c>
      <c r="P38" s="36">
        <v>542615</v>
      </c>
      <c r="Q38" s="36">
        <v>1114840</v>
      </c>
      <c r="R38" s="36">
        <v>540556</v>
      </c>
      <c r="S38" s="36">
        <v>862154</v>
      </c>
      <c r="T38" s="36">
        <v>580907</v>
      </c>
      <c r="U38" s="109">
        <f t="shared" si="26"/>
        <v>2313984</v>
      </c>
    </row>
    <row r="39" spans="1:21" ht="15.6" x14ac:dyDescent="0.3">
      <c r="A39" s="106" t="s">
        <v>271</v>
      </c>
      <c r="B39" s="36"/>
      <c r="C39" s="124"/>
      <c r="D39" s="36">
        <v>167015427</v>
      </c>
      <c r="E39" s="116">
        <f>D39/D$37</f>
        <v>0.53279554515858729</v>
      </c>
      <c r="F39" s="110">
        <f t="shared" si="27"/>
        <v>0.63852702841542586</v>
      </c>
      <c r="G39" s="51">
        <f t="shared" si="19"/>
        <v>0.57349445713150482</v>
      </c>
      <c r="H39" s="51">
        <f t="shared" si="20"/>
        <v>0.44934503459169339</v>
      </c>
      <c r="I39" s="51">
        <f t="shared" si="21"/>
        <v>0.46592872273387309</v>
      </c>
      <c r="J39" s="51">
        <f t="shared" si="22"/>
        <v>0.48138208664890175</v>
      </c>
      <c r="K39" s="51">
        <f t="shared" si="23"/>
        <v>0.59562697198959846</v>
      </c>
      <c r="L39" s="51">
        <f t="shared" si="24"/>
        <v>0.50352416690977164</v>
      </c>
      <c r="M39" s="37">
        <f t="shared" si="25"/>
        <v>0.49657042347374353</v>
      </c>
      <c r="N39" s="36">
        <v>29042174</v>
      </c>
      <c r="O39" s="36">
        <v>19779872</v>
      </c>
      <c r="P39" s="36">
        <v>8839804</v>
      </c>
      <c r="Q39" s="36">
        <v>19291967</v>
      </c>
      <c r="R39" s="36">
        <v>9615586</v>
      </c>
      <c r="S39" s="36">
        <v>28102898</v>
      </c>
      <c r="T39" s="36">
        <v>5302327</v>
      </c>
      <c r="U39" s="109">
        <f t="shared" si="26"/>
        <v>47040799</v>
      </c>
    </row>
    <row r="40" spans="1:21" ht="15.6" x14ac:dyDescent="0.3">
      <c r="A40" s="106" t="s">
        <v>272</v>
      </c>
      <c r="B40" s="36"/>
      <c r="C40" s="124"/>
      <c r="D40" s="36">
        <v>2398586</v>
      </c>
      <c r="E40" s="116">
        <f t="shared" ref="E40:E47" si="28">D40/D$37</f>
        <v>7.651723906197931E-3</v>
      </c>
      <c r="F40" s="110">
        <f t="shared" si="27"/>
        <v>3.9956399607704645E-3</v>
      </c>
      <c r="G40" s="51">
        <f t="shared" si="19"/>
        <v>4.0553684937386638E-3</v>
      </c>
      <c r="H40" s="51">
        <f t="shared" si="20"/>
        <v>6.7719933092870799E-3</v>
      </c>
      <c r="I40" s="51">
        <f t="shared" si="21"/>
        <v>5.0071966451528888E-3</v>
      </c>
      <c r="J40" s="51">
        <f t="shared" si="22"/>
        <v>1.1308961081065711E-2</v>
      </c>
      <c r="K40" s="51">
        <f t="shared" si="23"/>
        <v>7.0017526158892137E-3</v>
      </c>
      <c r="L40" s="51">
        <f t="shared" si="24"/>
        <v>1.415127128687598E-2</v>
      </c>
      <c r="M40" s="37">
        <f t="shared" si="25"/>
        <v>1.0885115939676797E-2</v>
      </c>
      <c r="N40" s="36">
        <v>181734</v>
      </c>
      <c r="O40" s="36">
        <v>139870</v>
      </c>
      <c r="P40" s="36">
        <v>133223</v>
      </c>
      <c r="Q40" s="36">
        <v>207325</v>
      </c>
      <c r="R40" s="36">
        <v>225896</v>
      </c>
      <c r="S40" s="36">
        <v>330357</v>
      </c>
      <c r="T40" s="36">
        <v>149019</v>
      </c>
      <c r="U40" s="109">
        <f t="shared" si="26"/>
        <v>1031162</v>
      </c>
    </row>
    <row r="41" spans="1:21" ht="15.6" x14ac:dyDescent="0.3">
      <c r="A41" s="106" t="s">
        <v>265</v>
      </c>
      <c r="B41" s="36"/>
      <c r="C41" s="124"/>
      <c r="D41" s="36">
        <v>2648005</v>
      </c>
      <c r="E41" s="116">
        <f t="shared" si="28"/>
        <v>8.447394907763011E-3</v>
      </c>
      <c r="F41" s="110">
        <f t="shared" si="27"/>
        <v>2.8760147428020318E-3</v>
      </c>
      <c r="G41" s="51">
        <f t="shared" si="19"/>
        <v>1.6689144624872471E-3</v>
      </c>
      <c r="H41" s="51">
        <f t="shared" si="20"/>
        <v>1.82672972954014E-2</v>
      </c>
      <c r="I41" s="51">
        <f t="shared" si="21"/>
        <v>8.2921060255806214E-3</v>
      </c>
      <c r="J41" s="51">
        <f t="shared" si="22"/>
        <v>5.5060947318231893E-3</v>
      </c>
      <c r="K41" s="51">
        <f t="shared" si="23"/>
        <v>5.3624213482569771E-3</v>
      </c>
      <c r="L41" s="51">
        <f t="shared" si="24"/>
        <v>1.4589714837909783E-2</v>
      </c>
      <c r="M41" s="37">
        <f t="shared" si="25"/>
        <v>1.3092811119863931E-2</v>
      </c>
      <c r="N41" s="36">
        <v>130810</v>
      </c>
      <c r="O41" s="36">
        <v>57561</v>
      </c>
      <c r="P41" s="36">
        <v>359366</v>
      </c>
      <c r="Q41" s="36">
        <v>343338</v>
      </c>
      <c r="R41" s="36">
        <v>109984</v>
      </c>
      <c r="S41" s="36">
        <v>253010</v>
      </c>
      <c r="T41" s="36">
        <v>153636</v>
      </c>
      <c r="U41" s="109">
        <f t="shared" si="26"/>
        <v>1240300</v>
      </c>
    </row>
    <row r="42" spans="1:21" ht="15.6" x14ac:dyDescent="0.3">
      <c r="A42" s="106" t="s">
        <v>266</v>
      </c>
      <c r="B42" s="36"/>
      <c r="C42" s="124"/>
      <c r="D42" s="36">
        <v>5325357</v>
      </c>
      <c r="E42" s="116">
        <f t="shared" si="28"/>
        <v>1.6988409615472821E-2</v>
      </c>
      <c r="F42" s="115">
        <f t="shared" si="27"/>
        <v>1.7658721726324718E-2</v>
      </c>
      <c r="G42" s="56">
        <f t="shared" si="19"/>
        <v>1.0448046458802478E-2</v>
      </c>
      <c r="H42" s="56">
        <f t="shared" si="20"/>
        <v>1.8881449680220888E-2</v>
      </c>
      <c r="I42" s="56">
        <f t="shared" si="21"/>
        <v>1.6243628488687128E-2</v>
      </c>
      <c r="J42" s="56">
        <f t="shared" si="22"/>
        <v>2.5776977931766157E-2</v>
      </c>
      <c r="K42" s="56">
        <f t="shared" si="23"/>
        <v>1.101758117982341E-2</v>
      </c>
      <c r="L42" s="56">
        <f t="shared" si="24"/>
        <v>3.6930963516026691E-2</v>
      </c>
      <c r="M42" s="116">
        <f t="shared" si="25"/>
        <v>1.7884074837929885E-2</v>
      </c>
      <c r="N42" s="36">
        <v>803173</v>
      </c>
      <c r="O42" s="36">
        <v>360354</v>
      </c>
      <c r="P42" s="36">
        <v>371448</v>
      </c>
      <c r="Q42" s="36">
        <v>672574</v>
      </c>
      <c r="R42" s="36">
        <v>514894</v>
      </c>
      <c r="S42" s="36">
        <v>519832</v>
      </c>
      <c r="T42" s="36">
        <v>388899</v>
      </c>
      <c r="U42" s="109">
        <f t="shared" si="26"/>
        <v>1694183</v>
      </c>
    </row>
    <row r="43" spans="1:21" ht="15.6" x14ac:dyDescent="0.3">
      <c r="A43" s="39" t="s">
        <v>267</v>
      </c>
      <c r="B43" s="36"/>
      <c r="C43" s="124"/>
      <c r="D43" s="36">
        <v>2769489</v>
      </c>
      <c r="E43" s="37">
        <f t="shared" si="28"/>
        <v>8.8349407481125141E-3</v>
      </c>
      <c r="F43" s="110">
        <f t="shared" si="27"/>
        <v>8.0829403868168375E-3</v>
      </c>
      <c r="G43" s="51">
        <f t="shared" si="19"/>
        <v>5.2969137448317027E-3</v>
      </c>
      <c r="H43" s="51">
        <f t="shared" si="20"/>
        <v>9.1264305018105858E-3</v>
      </c>
      <c r="I43" s="51">
        <f t="shared" si="21"/>
        <v>6.1188631319718557E-3</v>
      </c>
      <c r="J43" s="51">
        <f t="shared" si="22"/>
        <v>1.4307015244489149E-2</v>
      </c>
      <c r="K43" s="51">
        <f t="shared" si="23"/>
        <v>5.6050772196304171E-3</v>
      </c>
      <c r="L43" s="51">
        <f t="shared" si="24"/>
        <v>2.6385527203442366E-2</v>
      </c>
      <c r="M43" s="37">
        <f t="shared" si="25"/>
        <v>1.0114642588054909E-2</v>
      </c>
      <c r="N43" s="36">
        <v>367637</v>
      </c>
      <c r="O43" s="36">
        <v>182691</v>
      </c>
      <c r="P43" s="36">
        <v>179541</v>
      </c>
      <c r="Q43" s="36">
        <v>253354</v>
      </c>
      <c r="R43" s="36">
        <v>285782</v>
      </c>
      <c r="S43" s="36">
        <v>264459</v>
      </c>
      <c r="T43" s="36">
        <v>277851</v>
      </c>
      <c r="U43" s="109">
        <f t="shared" si="26"/>
        <v>958174</v>
      </c>
    </row>
    <row r="44" spans="1:21" ht="15.6" x14ac:dyDescent="0.3">
      <c r="A44" s="129" t="s">
        <v>268</v>
      </c>
      <c r="B44" s="36"/>
      <c r="C44" s="124"/>
      <c r="D44" s="36">
        <v>1596328</v>
      </c>
      <c r="E44" s="37">
        <f t="shared" si="28"/>
        <v>5.0924424305541392E-3</v>
      </c>
      <c r="F44" s="110">
        <f t="shared" si="27"/>
        <v>6.7796424591062736E-3</v>
      </c>
      <c r="G44" s="51">
        <f t="shared" si="19"/>
        <v>3.5979036757347416E-3</v>
      </c>
      <c r="H44" s="51">
        <f t="shared" si="20"/>
        <v>6.5391318563109112E-3</v>
      </c>
      <c r="I44" s="51">
        <f t="shared" si="21"/>
        <v>1.9999321827653222E-3</v>
      </c>
      <c r="J44" s="51">
        <f t="shared" si="22"/>
        <v>1.307026658782127E-2</v>
      </c>
      <c r="K44" s="51">
        <f t="shared" si="23"/>
        <v>4.3064687913902163E-3</v>
      </c>
      <c r="L44" s="51">
        <f t="shared" si="24"/>
        <v>8.5665051538246478E-3</v>
      </c>
      <c r="M44" s="37">
        <f t="shared" si="25"/>
        <v>4.2008468683158032E-3</v>
      </c>
      <c r="N44" s="36">
        <v>308359</v>
      </c>
      <c r="O44" s="36">
        <v>124092</v>
      </c>
      <c r="P44" s="36">
        <v>128642</v>
      </c>
      <c r="Q44" s="36">
        <v>82808</v>
      </c>
      <c r="R44" s="36">
        <v>261078</v>
      </c>
      <c r="S44" s="36">
        <v>203188</v>
      </c>
      <c r="T44" s="36">
        <v>90209</v>
      </c>
      <c r="U44" s="109">
        <f t="shared" si="26"/>
        <v>397952</v>
      </c>
    </row>
    <row r="45" spans="1:21" ht="15.6" x14ac:dyDescent="0.3">
      <c r="A45" s="39" t="s">
        <v>269</v>
      </c>
      <c r="B45" s="36"/>
      <c r="C45" s="124"/>
      <c r="D45" s="36">
        <f>D42-D43</f>
        <v>2555868</v>
      </c>
      <c r="E45" s="37">
        <f t="shared" si="28"/>
        <v>8.1534688673603091E-3</v>
      </c>
      <c r="F45" s="110">
        <f t="shared" si="27"/>
        <v>9.5757813395078786E-3</v>
      </c>
      <c r="G45" s="51">
        <f t="shared" si="19"/>
        <v>5.151132713970775E-3</v>
      </c>
      <c r="H45" s="51">
        <f t="shared" si="20"/>
        <v>9.7550191784103023E-3</v>
      </c>
      <c r="I45" s="51">
        <f t="shared" si="21"/>
        <v>1.0124765356715273E-2</v>
      </c>
      <c r="J45" s="51">
        <f t="shared" si="22"/>
        <v>1.1469962687277008E-2</v>
      </c>
      <c r="K45" s="51">
        <f t="shared" si="23"/>
        <v>5.4125039601929919E-3</v>
      </c>
      <c r="L45" s="51">
        <f t="shared" si="24"/>
        <v>1.0545436312584327E-2</v>
      </c>
      <c r="M45" s="37">
        <f t="shared" si="25"/>
        <v>7.7694322498749755E-3</v>
      </c>
      <c r="N45" s="36">
        <f t="shared" ref="N45:T45" si="29">N42-N43</f>
        <v>435536</v>
      </c>
      <c r="O45" s="36">
        <f t="shared" si="29"/>
        <v>177663</v>
      </c>
      <c r="P45" s="36">
        <f t="shared" si="29"/>
        <v>191907</v>
      </c>
      <c r="Q45" s="36">
        <f t="shared" si="29"/>
        <v>419220</v>
      </c>
      <c r="R45" s="36">
        <f t="shared" si="29"/>
        <v>229112</v>
      </c>
      <c r="S45" s="36">
        <f t="shared" si="29"/>
        <v>255373</v>
      </c>
      <c r="T45" s="36">
        <f t="shared" si="29"/>
        <v>111048</v>
      </c>
      <c r="U45" s="109">
        <f t="shared" si="26"/>
        <v>736009</v>
      </c>
    </row>
    <row r="46" spans="1:21" ht="15.6" x14ac:dyDescent="0.3">
      <c r="A46" s="106" t="s">
        <v>270</v>
      </c>
      <c r="B46" s="36"/>
      <c r="C46" s="124"/>
      <c r="D46" s="36">
        <v>540175</v>
      </c>
      <c r="E46" s="116">
        <f t="shared" si="28"/>
        <v>1.723211075621415E-3</v>
      </c>
      <c r="F46" s="115">
        <f t="shared" si="27"/>
        <v>1.1306403038651056E-3</v>
      </c>
      <c r="G46" s="56">
        <f t="shared" si="19"/>
        <v>2.6822201998696204E-4</v>
      </c>
      <c r="H46" s="56">
        <f t="shared" si="20"/>
        <v>3.6360647441253694E-3</v>
      </c>
      <c r="I46" s="56">
        <f t="shared" si="21"/>
        <v>2.0915868856152208E-3</v>
      </c>
      <c r="J46" s="56">
        <f t="shared" si="22"/>
        <v>2.4550241812797986E-3</v>
      </c>
      <c r="K46" s="56">
        <f t="shared" si="23"/>
        <v>1.4547907250478593E-3</v>
      </c>
      <c r="L46" s="56">
        <f t="shared" si="24"/>
        <v>4.4212811022377807E-3</v>
      </c>
      <c r="M46" s="116">
        <f t="shared" si="25"/>
        <v>1.6586690523598966E-3</v>
      </c>
      <c r="N46" s="36">
        <v>51425</v>
      </c>
      <c r="O46" s="36">
        <v>9251</v>
      </c>
      <c r="P46" s="36">
        <v>71531</v>
      </c>
      <c r="Q46" s="36">
        <v>86603</v>
      </c>
      <c r="R46" s="36">
        <v>49039</v>
      </c>
      <c r="S46" s="36">
        <v>68640</v>
      </c>
      <c r="T46" s="36">
        <v>46558</v>
      </c>
      <c r="U46" s="109">
        <f t="shared" si="26"/>
        <v>157128</v>
      </c>
    </row>
    <row r="47" spans="1:21" ht="16.2" thickBot="1" x14ac:dyDescent="0.35">
      <c r="A47" s="107" t="s">
        <v>273</v>
      </c>
      <c r="B47" s="44"/>
      <c r="C47" s="125"/>
      <c r="D47" s="44">
        <f>D37-SUM(D38:D42)-D46</f>
        <v>127798877</v>
      </c>
      <c r="E47" s="66">
        <f t="shared" si="28"/>
        <v>0.40769091553363057</v>
      </c>
      <c r="F47" s="113">
        <f t="shared" si="27"/>
        <v>0.30958483745503851</v>
      </c>
      <c r="G47" s="54">
        <f t="shared" si="19"/>
        <v>0.39279507118625745</v>
      </c>
      <c r="H47" s="54">
        <f t="shared" si="20"/>
        <v>0.47551594747670395</v>
      </c>
      <c r="I47" s="54">
        <f t="shared" si="21"/>
        <v>0.47551177136201833</v>
      </c>
      <c r="J47" s="54">
        <f t="shared" si="22"/>
        <v>0.44650916878114777</v>
      </c>
      <c r="K47" s="54">
        <f t="shared" si="23"/>
        <v>0.36126355611045591</v>
      </c>
      <c r="L47" s="54">
        <f t="shared" si="24"/>
        <v>0.37121800890979589</v>
      </c>
      <c r="M47" s="45">
        <f t="shared" si="25"/>
        <v>0.43548210928005637</v>
      </c>
      <c r="N47" s="73">
        <f t="shared" ref="N47:T47" si="30">N37-SUM(N38:N42)-N46</f>
        <v>14080871</v>
      </c>
      <c r="O47" s="44">
        <f t="shared" si="30"/>
        <v>13547535</v>
      </c>
      <c r="P47" s="44">
        <f t="shared" si="30"/>
        <v>9354655</v>
      </c>
      <c r="Q47" s="44">
        <f t="shared" si="30"/>
        <v>19688757</v>
      </c>
      <c r="R47" s="44">
        <f t="shared" si="30"/>
        <v>8919001</v>
      </c>
      <c r="S47" s="44">
        <f t="shared" si="30"/>
        <v>17045153</v>
      </c>
      <c r="T47" s="44">
        <f t="shared" si="30"/>
        <v>3909086</v>
      </c>
      <c r="U47" s="111">
        <f t="shared" si="26"/>
        <v>41253819</v>
      </c>
    </row>
    <row r="48" spans="1:21" ht="16.8" thickTop="1" thickBot="1" x14ac:dyDescent="0.35">
      <c r="A48" s="34"/>
      <c r="B48" s="36"/>
      <c r="C48" s="124"/>
      <c r="D48" s="36"/>
      <c r="E48" s="56"/>
      <c r="F48" s="51"/>
      <c r="G48" s="51"/>
      <c r="H48" s="51"/>
      <c r="I48" s="51"/>
      <c r="J48" s="51"/>
      <c r="K48" s="51"/>
      <c r="L48" s="51"/>
      <c r="M48" s="51"/>
      <c r="N48" s="36"/>
      <c r="O48" s="36"/>
      <c r="P48" s="36"/>
      <c r="Q48" s="36"/>
      <c r="R48" s="36"/>
      <c r="S48" s="36"/>
      <c r="T48" s="36"/>
      <c r="U48" s="36"/>
    </row>
    <row r="49" spans="1:22" ht="16.2" thickTop="1" x14ac:dyDescent="0.3">
      <c r="A49" s="105"/>
      <c r="B49" s="32"/>
      <c r="C49" s="128"/>
      <c r="D49" s="90"/>
      <c r="E49" s="33"/>
      <c r="F49" s="90" t="s">
        <v>276</v>
      </c>
      <c r="G49" s="48" t="s">
        <v>47</v>
      </c>
      <c r="H49" s="48" t="s">
        <v>243</v>
      </c>
      <c r="I49" s="79" t="s">
        <v>192</v>
      </c>
      <c r="J49" s="79" t="s">
        <v>46</v>
      </c>
      <c r="K49" s="79" t="s">
        <v>48</v>
      </c>
      <c r="L49" s="79" t="s">
        <v>203</v>
      </c>
      <c r="M49" s="79" t="s">
        <v>193</v>
      </c>
      <c r="N49" s="80" t="s">
        <v>89</v>
      </c>
      <c r="O49" s="103" t="s">
        <v>47</v>
      </c>
      <c r="P49" s="48" t="s">
        <v>243</v>
      </c>
      <c r="Q49" s="79" t="s">
        <v>192</v>
      </c>
      <c r="R49" s="79" t="s">
        <v>46</v>
      </c>
      <c r="S49" s="79" t="s">
        <v>48</v>
      </c>
      <c r="T49" s="79" t="s">
        <v>203</v>
      </c>
      <c r="U49" s="79" t="s">
        <v>193</v>
      </c>
      <c r="V49" s="80" t="s">
        <v>89</v>
      </c>
    </row>
    <row r="50" spans="1:22" ht="15.6" x14ac:dyDescent="0.3">
      <c r="A50" s="106"/>
      <c r="B50" s="36"/>
      <c r="C50" s="124"/>
      <c r="D50" s="51"/>
      <c r="E50" s="37"/>
      <c r="F50" s="51"/>
      <c r="G50" s="135" t="s">
        <v>275</v>
      </c>
      <c r="H50" s="58"/>
      <c r="I50" s="131"/>
      <c r="J50" s="131"/>
      <c r="K50" s="131"/>
      <c r="L50" s="131"/>
      <c r="M50" s="131"/>
      <c r="N50" s="132"/>
      <c r="O50" s="133">
        <f>N37/O51</f>
        <v>3.2250925431871162</v>
      </c>
      <c r="P50" s="133">
        <f t="shared" ref="P50:V50" si="31">O37/P51</f>
        <v>3.2070496526138599</v>
      </c>
      <c r="Q50" s="133">
        <f t="shared" si="31"/>
        <v>3.0646720984202469</v>
      </c>
      <c r="R50" s="133">
        <f t="shared" si="31"/>
        <v>3.2388758937915645</v>
      </c>
      <c r="S50" s="133">
        <f t="shared" si="31"/>
        <v>2.9565493596077781</v>
      </c>
      <c r="T50" s="133">
        <f t="shared" si="31"/>
        <v>2.8531452749806752</v>
      </c>
      <c r="U50" s="133">
        <f t="shared" si="31"/>
        <v>2.7801645378027464</v>
      </c>
      <c r="V50" s="134">
        <f t="shared" si="31"/>
        <v>3.1177724834522342</v>
      </c>
    </row>
    <row r="51" spans="1:22" ht="15.6" x14ac:dyDescent="0.3">
      <c r="A51" s="106" t="s">
        <v>275</v>
      </c>
      <c r="B51" s="36"/>
      <c r="C51" s="124"/>
      <c r="D51" s="36">
        <v>101525421</v>
      </c>
      <c r="E51" s="37"/>
      <c r="F51" s="126">
        <f t="shared" ref="F51:F61" si="32">D37/D51</f>
        <v>3.0876012225548908</v>
      </c>
      <c r="G51" s="110">
        <f>O51/O$51</f>
        <v>1</v>
      </c>
      <c r="H51" s="51">
        <f t="shared" ref="H51:H61" si="33">P51/P$51</f>
        <v>1</v>
      </c>
      <c r="I51" s="51">
        <f t="shared" ref="I51:I61" si="34">Q51/Q$51</f>
        <v>1</v>
      </c>
      <c r="J51" s="51">
        <f t="shared" ref="J51:J61" si="35">R51/R$51</f>
        <v>1</v>
      </c>
      <c r="K51" s="51">
        <f t="shared" ref="K51:K61" si="36">S51/S$51</f>
        <v>1</v>
      </c>
      <c r="L51" s="51">
        <f t="shared" ref="L51:L61" si="37">T51/T$51</f>
        <v>1</v>
      </c>
      <c r="M51" s="51">
        <f t="shared" ref="M51:M61" si="38">U51/U$51</f>
        <v>1</v>
      </c>
      <c r="N51" s="37">
        <f t="shared" ref="N51:N61" si="39">V51/V$51</f>
        <v>1</v>
      </c>
      <c r="O51" s="36">
        <v>14102875</v>
      </c>
      <c r="P51" s="36">
        <v>10754459</v>
      </c>
      <c r="Q51" s="36">
        <v>6419167</v>
      </c>
      <c r="R51" s="36">
        <v>12783881</v>
      </c>
      <c r="S51" s="36">
        <v>6756172</v>
      </c>
      <c r="T51" s="36">
        <v>16536853</v>
      </c>
      <c r="U51" s="36">
        <v>3787701</v>
      </c>
      <c r="V51" s="109">
        <f t="shared" ref="V51:V61" si="40">D51-SUM(O51:U51)</f>
        <v>30384313</v>
      </c>
    </row>
    <row r="52" spans="1:22" ht="15.6" x14ac:dyDescent="0.3">
      <c r="A52" s="106" t="s">
        <v>274</v>
      </c>
      <c r="B52" s="36"/>
      <c r="C52" s="124"/>
      <c r="D52" s="36">
        <v>2113710</v>
      </c>
      <c r="E52" s="116">
        <f>D52/D$51</f>
        <v>2.0819514749906825E-2</v>
      </c>
      <c r="F52" s="126">
        <f t="shared" si="32"/>
        <v>3.6635049273552189</v>
      </c>
      <c r="G52" s="115">
        <f t="shared" ref="G52:G61" si="41">O52/O$51</f>
        <v>2.2104209313495129E-2</v>
      </c>
      <c r="H52" s="56">
        <f t="shared" si="33"/>
        <v>1.4555085342070017E-2</v>
      </c>
      <c r="I52" s="56">
        <f t="shared" si="34"/>
        <v>2.3246283536520144E-2</v>
      </c>
      <c r="J52" s="56">
        <f t="shared" si="35"/>
        <v>2.2692374400862293E-2</v>
      </c>
      <c r="K52" s="56">
        <f t="shared" si="36"/>
        <v>2.2807584109565019E-2</v>
      </c>
      <c r="L52" s="56">
        <f t="shared" si="37"/>
        <v>1.5400418416655372E-2</v>
      </c>
      <c r="M52" s="56">
        <f t="shared" si="38"/>
        <v>4.649270835346412E-2</v>
      </c>
      <c r="N52" s="116">
        <f t="shared" si="39"/>
        <v>2.0446726765231491E-2</v>
      </c>
      <c r="O52" s="36">
        <f>(N38/O$50)*($F$51/$F52)</f>
        <v>311732.90092205763</v>
      </c>
      <c r="P52" s="36">
        <f t="shared" ref="P52:U52" si="42">(O38/P$50)*($F$51/$F52)</f>
        <v>156532.06855279297</v>
      </c>
      <c r="Q52" s="36">
        <f t="shared" si="42"/>
        <v>149221.77615027339</v>
      </c>
      <c r="R52" s="36">
        <f t="shared" si="42"/>
        <v>290096.61394806986</v>
      </c>
      <c r="S52" s="36">
        <f t="shared" si="42"/>
        <v>154091.9611486881</v>
      </c>
      <c r="T52" s="36">
        <f t="shared" si="42"/>
        <v>254674.45549472264</v>
      </c>
      <c r="U52" s="36">
        <f t="shared" si="42"/>
        <v>176100.47792312439</v>
      </c>
      <c r="V52" s="109">
        <f t="shared" si="40"/>
        <v>621259.74586027116</v>
      </c>
    </row>
    <row r="53" spans="1:22" ht="15.6" x14ac:dyDescent="0.3">
      <c r="A53" s="106" t="s">
        <v>271</v>
      </c>
      <c r="B53" s="36"/>
      <c r="C53" s="124"/>
      <c r="D53" s="36">
        <v>51956508</v>
      </c>
      <c r="E53" s="116">
        <f t="shared" ref="E53:E61" si="43">D53/D$51</f>
        <v>0.51175860674342832</v>
      </c>
      <c r="F53" s="126">
        <f t="shared" si="32"/>
        <v>3.2145237127945552</v>
      </c>
      <c r="G53" s="110">
        <f t="shared" si="41"/>
        <v>0.61331538035408262</v>
      </c>
      <c r="H53" s="51">
        <f t="shared" si="33"/>
        <v>0.55085055988848353</v>
      </c>
      <c r="I53" s="51">
        <f t="shared" si="34"/>
        <v>0.43160306226148309</v>
      </c>
      <c r="J53" s="51">
        <f t="shared" si="35"/>
        <v>0.44753195884372327</v>
      </c>
      <c r="K53" s="51">
        <f t="shared" si="36"/>
        <v>0.46237516100356912</v>
      </c>
      <c r="L53" s="51">
        <f t="shared" si="37"/>
        <v>0.57210919290527207</v>
      </c>
      <c r="M53" s="51">
        <f t="shared" si="38"/>
        <v>0.4836429817420686</v>
      </c>
      <c r="N53" s="37">
        <f t="shared" si="39"/>
        <v>0.4763808189127039</v>
      </c>
      <c r="O53" s="36">
        <f t="shared" ref="O53:U53" si="44">(N39/O$50)*($F$51/$F53)</f>
        <v>8649510.1447110828</v>
      </c>
      <c r="P53" s="36">
        <f t="shared" si="44"/>
        <v>5924099.7614477407</v>
      </c>
      <c r="Q53" s="36">
        <f t="shared" si="44"/>
        <v>2770532.1343678576</v>
      </c>
      <c r="R53" s="36">
        <f t="shared" si="44"/>
        <v>5721195.3055550558</v>
      </c>
      <c r="S53" s="36">
        <f t="shared" si="44"/>
        <v>3123886.1162678055</v>
      </c>
      <c r="T53" s="36">
        <f t="shared" si="44"/>
        <v>9460885.6230231263</v>
      </c>
      <c r="U53" s="36">
        <f t="shared" si="44"/>
        <v>1831895.0055874151</v>
      </c>
      <c r="V53" s="109">
        <f t="shared" si="40"/>
        <v>14474503.909039915</v>
      </c>
    </row>
    <row r="54" spans="1:22" ht="15.6" x14ac:dyDescent="0.3">
      <c r="A54" s="106" t="s">
        <v>272</v>
      </c>
      <c r="B54" s="36"/>
      <c r="C54" s="124"/>
      <c r="D54" s="36">
        <v>1059399</v>
      </c>
      <c r="E54" s="116">
        <f t="shared" si="43"/>
        <v>1.0434815138565147E-2</v>
      </c>
      <c r="F54" s="126">
        <f t="shared" si="32"/>
        <v>2.2641006835007396</v>
      </c>
      <c r="G54" s="110">
        <f t="shared" si="41"/>
        <v>5.4489373717642045E-3</v>
      </c>
      <c r="H54" s="51">
        <f t="shared" si="33"/>
        <v>5.5303904152432075E-3</v>
      </c>
      <c r="I54" s="51">
        <f t="shared" si="34"/>
        <v>9.2351082146040521E-3</v>
      </c>
      <c r="J54" s="51">
        <f t="shared" si="35"/>
        <v>6.8284182747749052E-3</v>
      </c>
      <c r="K54" s="51">
        <f t="shared" si="36"/>
        <v>1.5422265588354855E-2</v>
      </c>
      <c r="L54" s="51">
        <f t="shared" si="37"/>
        <v>9.5484357627682245E-3</v>
      </c>
      <c r="M54" s="51">
        <f t="shared" si="38"/>
        <v>1.9298383170180216E-2</v>
      </c>
      <c r="N54" s="37">
        <f t="shared" si="39"/>
        <v>1.4524222057854971E-2</v>
      </c>
      <c r="O54" s="36">
        <f t="shared" ref="O54:U54" si="45">(N40/O$50)*($F$51/$F54)</f>
        <v>76845.68263681911</v>
      </c>
      <c r="P54" s="36">
        <f t="shared" si="45"/>
        <v>59476.356974726048</v>
      </c>
      <c r="Q54" s="36">
        <f t="shared" si="45"/>
        <v>59281.701892615245</v>
      </c>
      <c r="R54" s="36">
        <f t="shared" si="45"/>
        <v>87293.686642947694</v>
      </c>
      <c r="S54" s="36">
        <f t="shared" si="45"/>
        <v>104195.4789446066</v>
      </c>
      <c r="T54" s="36">
        <f t="shared" si="45"/>
        <v>157901.07858884099</v>
      </c>
      <c r="U54" s="36">
        <f t="shared" si="45"/>
        <v>73096.505232074778</v>
      </c>
      <c r="V54" s="109">
        <f t="shared" si="40"/>
        <v>441308.50908736954</v>
      </c>
    </row>
    <row r="55" spans="1:22" ht="15.6" x14ac:dyDescent="0.3">
      <c r="A55" s="106" t="s">
        <v>265</v>
      </c>
      <c r="B55" s="36"/>
      <c r="C55" s="124"/>
      <c r="D55" s="36">
        <v>927599</v>
      </c>
      <c r="E55" s="116">
        <f t="shared" si="43"/>
        <v>9.1366181086803867E-3</v>
      </c>
      <c r="F55" s="126">
        <f t="shared" si="32"/>
        <v>2.8546872085890564</v>
      </c>
      <c r="G55" s="110">
        <f t="shared" si="41"/>
        <v>3.1106688709164809E-3</v>
      </c>
      <c r="H55" s="51">
        <f t="shared" si="33"/>
        <v>1.8050812429506174E-3</v>
      </c>
      <c r="I55" s="51">
        <f t="shared" si="34"/>
        <v>1.9757726623202285E-2</v>
      </c>
      <c r="J55" s="51">
        <f t="shared" si="35"/>
        <v>8.968659201997747E-3</v>
      </c>
      <c r="K55" s="51">
        <f t="shared" si="36"/>
        <v>5.9553371642012444E-3</v>
      </c>
      <c r="L55" s="51">
        <f t="shared" si="37"/>
        <v>5.7999414650111783E-3</v>
      </c>
      <c r="M55" s="51">
        <f t="shared" si="38"/>
        <v>1.578009010399507E-2</v>
      </c>
      <c r="N55" s="37">
        <f t="shared" si="39"/>
        <v>1.4050546745739948E-2</v>
      </c>
      <c r="O55" s="36">
        <f t="shared" ref="O55:U55" si="46">(N41/O$50)*($F$51/$F55)</f>
        <v>43869.374252926267</v>
      </c>
      <c r="P55" s="36">
        <f t="shared" si="46"/>
        <v>19412.672218981454</v>
      </c>
      <c r="Q55" s="36">
        <f t="shared" si="46"/>
        <v>126828.14673468153</v>
      </c>
      <c r="R55" s="36">
        <f t="shared" si="46"/>
        <v>114654.27196789416</v>
      </c>
      <c r="S55" s="36">
        <f t="shared" si="46"/>
        <v>40235.282199335852</v>
      </c>
      <c r="T55" s="36">
        <f t="shared" si="46"/>
        <v>95912.7794154945</v>
      </c>
      <c r="U55" s="36">
        <f t="shared" si="46"/>
        <v>59770.263066992229</v>
      </c>
      <c r="V55" s="109">
        <f t="shared" si="40"/>
        <v>426916.21014369401</v>
      </c>
    </row>
    <row r="56" spans="1:22" ht="15.6" x14ac:dyDescent="0.3">
      <c r="A56" s="106" t="s">
        <v>266</v>
      </c>
      <c r="B56" s="36"/>
      <c r="C56" s="124"/>
      <c r="D56" s="36">
        <v>1851053</v>
      </c>
      <c r="E56" s="116">
        <f t="shared" si="43"/>
        <v>1.8232409004243381E-2</v>
      </c>
      <c r="F56" s="126">
        <f t="shared" si="32"/>
        <v>2.8769338317163258</v>
      </c>
      <c r="G56" s="115">
        <f t="shared" si="41"/>
        <v>1.8951805630659686E-2</v>
      </c>
      <c r="H56" s="56">
        <f t="shared" si="33"/>
        <v>1.1213118864212274E-2</v>
      </c>
      <c r="I56" s="56">
        <f t="shared" si="34"/>
        <v>2.0264069501201885E-2</v>
      </c>
      <c r="J56" s="56">
        <f t="shared" si="35"/>
        <v>1.7433090266965566E-2</v>
      </c>
      <c r="K56" s="56">
        <f t="shared" si="36"/>
        <v>2.7664532183004808E-2</v>
      </c>
      <c r="L56" s="56">
        <f t="shared" si="37"/>
        <v>1.1824358539426701E-2</v>
      </c>
      <c r="M56" s="56">
        <f t="shared" si="38"/>
        <v>3.9635283524816774E-2</v>
      </c>
      <c r="N56" s="116">
        <f t="shared" si="39"/>
        <v>1.9012291298483631E-2</v>
      </c>
      <c r="O56" s="36">
        <f t="shared" ref="O56:U56" si="47">(N42/O$50)*($F$51/$F56)</f>
        <v>267274.94583348971</v>
      </c>
      <c r="P56" s="36">
        <f t="shared" si="47"/>
        <v>120591.02708729747</v>
      </c>
      <c r="Q56" s="36">
        <f t="shared" si="47"/>
        <v>130078.44622782159</v>
      </c>
      <c r="R56" s="36">
        <f t="shared" si="47"/>
        <v>222862.55143514604</v>
      </c>
      <c r="S56" s="36">
        <f t="shared" si="47"/>
        <v>186906.33772791596</v>
      </c>
      <c r="T56" s="36">
        <f t="shared" si="47"/>
        <v>195537.67898579407</v>
      </c>
      <c r="U56" s="36">
        <f t="shared" si="47"/>
        <v>150126.60304223202</v>
      </c>
      <c r="V56" s="109">
        <f t="shared" si="40"/>
        <v>577675.40966030303</v>
      </c>
    </row>
    <row r="57" spans="1:22" ht="15.6" x14ac:dyDescent="0.3">
      <c r="A57" s="39" t="s">
        <v>267</v>
      </c>
      <c r="B57" s="36"/>
      <c r="C57" s="124"/>
      <c r="D57" s="36">
        <v>1008678</v>
      </c>
      <c r="E57" s="37">
        <f t="shared" si="43"/>
        <v>9.9352259765561578E-3</v>
      </c>
      <c r="F57" s="126">
        <f t="shared" si="32"/>
        <v>2.7456621439151045</v>
      </c>
      <c r="G57" s="110">
        <f t="shared" si="41"/>
        <v>9.089573047245841E-3</v>
      </c>
      <c r="H57" s="51">
        <f t="shared" si="33"/>
        <v>5.956580415604062E-3</v>
      </c>
      <c r="I57" s="51">
        <f t="shared" si="34"/>
        <v>1.0263017260664063E-2</v>
      </c>
      <c r="J57" s="51">
        <f t="shared" si="35"/>
        <v>6.880893677611381E-3</v>
      </c>
      <c r="K57" s="51">
        <f t="shared" si="36"/>
        <v>1.6088781301040519E-2</v>
      </c>
      <c r="L57" s="51">
        <f t="shared" si="37"/>
        <v>6.3031219315163312E-3</v>
      </c>
      <c r="M57" s="51">
        <f t="shared" si="38"/>
        <v>2.9671526131374946E-2</v>
      </c>
      <c r="N57" s="37">
        <f t="shared" si="39"/>
        <v>1.1099980974428299E-2</v>
      </c>
      <c r="O57" s="36">
        <f t="shared" ref="O57:U57" si="48">(N43/O$50)*($F$51/$F57)</f>
        <v>128189.1124886772</v>
      </c>
      <c r="P57" s="36">
        <f t="shared" si="48"/>
        <v>64059.799859816841</v>
      </c>
      <c r="Q57" s="36">
        <f t="shared" si="48"/>
        <v>65880.021720085148</v>
      </c>
      <c r="R57" s="36">
        <f t="shared" si="48"/>
        <v>87964.52594823626</v>
      </c>
      <c r="S57" s="36">
        <f t="shared" si="48"/>
        <v>108698.57374021353</v>
      </c>
      <c r="T57" s="36">
        <f t="shared" si="48"/>
        <v>104233.80082256164</v>
      </c>
      <c r="U57" s="36">
        <f t="shared" si="48"/>
        <v>112386.86919933501</v>
      </c>
      <c r="V57" s="109">
        <f t="shared" si="40"/>
        <v>337265.29622107442</v>
      </c>
    </row>
    <row r="58" spans="1:22" ht="15.6" x14ac:dyDescent="0.3">
      <c r="A58" s="129" t="s">
        <v>268</v>
      </c>
      <c r="B58" s="36"/>
      <c r="C58" s="124"/>
      <c r="D58" s="36">
        <v>572293</v>
      </c>
      <c r="E58" s="37">
        <f t="shared" si="43"/>
        <v>5.6369428894069793E-3</v>
      </c>
      <c r="F58" s="126">
        <f t="shared" si="32"/>
        <v>2.7893544041251594</v>
      </c>
      <c r="G58" s="110">
        <f t="shared" si="41"/>
        <v>7.5045438163985675E-3</v>
      </c>
      <c r="H58" s="51">
        <f t="shared" si="33"/>
        <v>3.9826032043129593E-3</v>
      </c>
      <c r="I58" s="51">
        <f t="shared" si="34"/>
        <v>7.238317040005382E-3</v>
      </c>
      <c r="J58" s="51">
        <f t="shared" si="35"/>
        <v>2.2137714172859929E-3</v>
      </c>
      <c r="K58" s="51">
        <f t="shared" si="36"/>
        <v>1.4467781876692823E-2</v>
      </c>
      <c r="L58" s="51">
        <f t="shared" si="37"/>
        <v>4.7669303999257201E-3</v>
      </c>
      <c r="M58" s="51">
        <f t="shared" si="38"/>
        <v>9.4824636650169235E-3</v>
      </c>
      <c r="N58" s="37">
        <f t="shared" si="39"/>
        <v>4.488120903179852E-3</v>
      </c>
      <c r="O58" s="36">
        <f t="shared" ref="O58:U60" si="49">(N44/O$50)*($F$51/$F58)</f>
        <v>105835.64337469195</v>
      </c>
      <c r="P58" s="36">
        <f t="shared" si="49"/>
        <v>42830.742874052339</v>
      </c>
      <c r="Q58" s="36">
        <f t="shared" si="49"/>
        <v>46463.96587874023</v>
      </c>
      <c r="R58" s="36">
        <f t="shared" si="49"/>
        <v>28300.590359785474</v>
      </c>
      <c r="S58" s="36">
        <f t="shared" si="49"/>
        <v>97746.82281741951</v>
      </c>
      <c r="T58" s="36">
        <f t="shared" si="49"/>
        <v>78830.02728480284</v>
      </c>
      <c r="U58" s="36">
        <f t="shared" si="49"/>
        <v>35916.737106448265</v>
      </c>
      <c r="V58" s="109">
        <f t="shared" si="40"/>
        <v>136368.47030405933</v>
      </c>
    </row>
    <row r="59" spans="1:22" ht="15.6" x14ac:dyDescent="0.3">
      <c r="A59" s="39" t="s">
        <v>269</v>
      </c>
      <c r="B59" s="36"/>
      <c r="C59" s="124"/>
      <c r="D59" s="36">
        <f>D56-D57</f>
        <v>842375</v>
      </c>
      <c r="E59" s="37">
        <f t="shared" si="43"/>
        <v>8.2971830276872237E-3</v>
      </c>
      <c r="F59" s="126">
        <f t="shared" si="32"/>
        <v>3.0341213829945097</v>
      </c>
      <c r="G59" s="110">
        <f t="shared" si="41"/>
        <v>9.8622325834138436E-3</v>
      </c>
      <c r="H59" s="51">
        <f t="shared" si="33"/>
        <v>5.256538448608212E-3</v>
      </c>
      <c r="I59" s="51">
        <f t="shared" si="34"/>
        <v>1.0001052240537822E-2</v>
      </c>
      <c r="J59" s="51">
        <f t="shared" si="35"/>
        <v>1.0552196589354187E-2</v>
      </c>
      <c r="K59" s="51">
        <f t="shared" si="36"/>
        <v>1.1575750881964289E-2</v>
      </c>
      <c r="L59" s="51">
        <f t="shared" si="37"/>
        <v>5.521236607910371E-3</v>
      </c>
      <c r="M59" s="51">
        <f t="shared" si="38"/>
        <v>9.9637573934418296E-3</v>
      </c>
      <c r="N59" s="37">
        <f t="shared" si="39"/>
        <v>7.9123103240553352E-3</v>
      </c>
      <c r="O59" s="36">
        <f t="shared" ref="O59:U59" si="50">O56-O57</f>
        <v>139085.8333448125</v>
      </c>
      <c r="P59" s="36">
        <f t="shared" si="50"/>
        <v>56531.227227480624</v>
      </c>
      <c r="Q59" s="36">
        <f t="shared" si="50"/>
        <v>64198.424507736447</v>
      </c>
      <c r="R59" s="36">
        <f t="shared" si="50"/>
        <v>134898.02548690978</v>
      </c>
      <c r="S59" s="36">
        <f t="shared" si="50"/>
        <v>78207.763987702434</v>
      </c>
      <c r="T59" s="36">
        <f t="shared" si="50"/>
        <v>91303.878163232439</v>
      </c>
      <c r="U59" s="36">
        <f t="shared" si="50"/>
        <v>37739.733842897011</v>
      </c>
      <c r="V59" s="109">
        <f t="shared" si="40"/>
        <v>240410.11343922873</v>
      </c>
    </row>
    <row r="60" spans="1:22" ht="15.6" x14ac:dyDescent="0.3">
      <c r="A60" s="106" t="s">
        <v>270</v>
      </c>
      <c r="B60" s="36"/>
      <c r="C60" s="124"/>
      <c r="D60" s="36">
        <v>143456</v>
      </c>
      <c r="E60" s="116">
        <f t="shared" si="43"/>
        <v>1.4130057141058298E-3</v>
      </c>
      <c r="F60" s="126">
        <f t="shared" si="32"/>
        <v>3.7654402743698414</v>
      </c>
      <c r="G60" s="115">
        <f t="shared" si="41"/>
        <v>9.2710709242837684E-4</v>
      </c>
      <c r="H60" s="56">
        <f t="shared" si="33"/>
        <v>2.1993779650813402E-4</v>
      </c>
      <c r="I60" s="56">
        <f t="shared" si="34"/>
        <v>2.9815153424864915E-3</v>
      </c>
      <c r="J60" s="56">
        <f t="shared" si="35"/>
        <v>1.7150680277849039E-3</v>
      </c>
      <c r="K60" s="56">
        <f t="shared" si="36"/>
        <v>2.0130808381471103E-3</v>
      </c>
      <c r="L60" s="56">
        <f t="shared" si="37"/>
        <v>1.19290528966656E-3</v>
      </c>
      <c r="M60" s="56">
        <f t="shared" si="38"/>
        <v>3.6253802853937899E-3</v>
      </c>
      <c r="N60" s="116">
        <f t="shared" si="39"/>
        <v>1.3129230776174373E-3</v>
      </c>
      <c r="O60" s="36">
        <f t="shared" si="49"/>
        <v>13074.875436130846</v>
      </c>
      <c r="P60" s="36">
        <f t="shared" si="49"/>
        <v>2365.3120150970703</v>
      </c>
      <c r="Q60" s="36">
        <f t="shared" si="49"/>
        <v>19138.844896482984</v>
      </c>
      <c r="R60" s="36">
        <f t="shared" si="49"/>
        <v>21925.225574106906</v>
      </c>
      <c r="S60" s="36">
        <f t="shared" si="49"/>
        <v>13600.720392426038</v>
      </c>
      <c r="T60" s="36">
        <f t="shared" si="49"/>
        <v>19726.89941813832</v>
      </c>
      <c r="U60" s="36">
        <f t="shared" si="49"/>
        <v>13731.856532366342</v>
      </c>
      <c r="V60" s="109">
        <f t="shared" si="40"/>
        <v>39892.265735251509</v>
      </c>
    </row>
    <row r="61" spans="1:22" ht="16.2" thickBot="1" x14ac:dyDescent="0.35">
      <c r="A61" s="107" t="s">
        <v>273</v>
      </c>
      <c r="B61" s="44"/>
      <c r="C61" s="125"/>
      <c r="D61" s="44">
        <f>D51-SUM(D52:D56)-D60</f>
        <v>43473696</v>
      </c>
      <c r="E61" s="66">
        <f t="shared" si="43"/>
        <v>0.42820503054107012</v>
      </c>
      <c r="F61" s="130">
        <f t="shared" si="32"/>
        <v>2.9396828141780262</v>
      </c>
      <c r="G61" s="113">
        <f t="shared" si="41"/>
        <v>0.33614189136665346</v>
      </c>
      <c r="H61" s="54">
        <f t="shared" si="33"/>
        <v>0.41582582645053234</v>
      </c>
      <c r="I61" s="54">
        <f t="shared" si="34"/>
        <v>0.49291223452050209</v>
      </c>
      <c r="J61" s="54">
        <f t="shared" si="35"/>
        <v>0.49483043098389129</v>
      </c>
      <c r="K61" s="54">
        <f t="shared" si="36"/>
        <v>0.46376203911315789</v>
      </c>
      <c r="L61" s="54">
        <f t="shared" si="37"/>
        <v>0.38412474762119991</v>
      </c>
      <c r="M61" s="54">
        <f t="shared" si="38"/>
        <v>0.39152517282008154</v>
      </c>
      <c r="N61" s="45">
        <f t="shared" si="39"/>
        <v>0.45427247114236868</v>
      </c>
      <c r="O61" s="73">
        <f t="shared" ref="O61" si="51">O51-SUM(O52:O56)-O60</f>
        <v>4740567.0762074925</v>
      </c>
      <c r="P61" s="44">
        <f t="shared" ref="P61" si="52">P51-SUM(P52:P56)-P60</f>
        <v>4471981.8017033655</v>
      </c>
      <c r="Q61" s="44">
        <f t="shared" ref="Q61" si="53">Q51-SUM(Q52:Q56)-Q60</f>
        <v>3164085.9497302677</v>
      </c>
      <c r="R61" s="44">
        <f t="shared" ref="R61" si="54">R51-SUM(R52:R56)-R60</f>
        <v>6325853.3448767792</v>
      </c>
      <c r="S61" s="44">
        <f t="shared" ref="S61" si="55">S51-SUM(S52:S56)-S60</f>
        <v>3133256.1033192221</v>
      </c>
      <c r="T61" s="44">
        <f t="shared" ref="T61" si="56">T51-SUM(T52:T56)-T60</f>
        <v>6352214.4850738831</v>
      </c>
      <c r="U61" s="44">
        <f t="shared" ref="U61" si="57">U51-SUM(U52:U56)-U60</f>
        <v>1482980.2886157956</v>
      </c>
      <c r="V61" s="111">
        <f t="shared" si="40"/>
        <v>13802756.950473197</v>
      </c>
    </row>
    <row r="62" spans="1:22" ht="16.2" thickTop="1" x14ac:dyDescent="0.3">
      <c r="A62" s="34" t="s">
        <v>277</v>
      </c>
      <c r="B62" s="36"/>
      <c r="C62" s="124"/>
      <c r="D62" s="36"/>
      <c r="E62" s="56"/>
      <c r="F62" s="51"/>
      <c r="G62" s="51"/>
      <c r="H62" s="51"/>
      <c r="I62" s="51"/>
      <c r="J62" s="51"/>
      <c r="K62" s="51"/>
      <c r="L62" s="51"/>
      <c r="M62" s="51"/>
      <c r="N62" s="36"/>
      <c r="O62" s="36"/>
      <c r="P62" s="36"/>
      <c r="Q62" s="36"/>
      <c r="R62" s="36"/>
      <c r="S62" s="36"/>
      <c r="T62" s="36"/>
      <c r="U62" s="36"/>
    </row>
    <row r="63" spans="1:22" ht="15.6" x14ac:dyDescent="0.3">
      <c r="A63" s="34"/>
      <c r="B63" s="36"/>
      <c r="C63" s="124"/>
      <c r="D63" s="36"/>
      <c r="E63" s="56"/>
      <c r="F63" s="51"/>
      <c r="G63" s="51"/>
      <c r="H63" s="51"/>
      <c r="I63" s="51"/>
      <c r="J63" s="51"/>
      <c r="K63" s="51"/>
      <c r="L63" s="51"/>
      <c r="M63" s="51"/>
      <c r="N63" s="36"/>
      <c r="O63" s="36"/>
      <c r="P63" s="36"/>
      <c r="Q63" s="36"/>
      <c r="R63" s="36"/>
      <c r="S63" s="36"/>
      <c r="T63" s="36"/>
      <c r="U63" s="36"/>
    </row>
    <row r="64" spans="1:22" ht="16.2" thickBot="1" x14ac:dyDescent="0.35">
      <c r="A64" s="34"/>
      <c r="B64" s="36"/>
      <c r="C64" s="124"/>
      <c r="D64" s="36"/>
      <c r="E64" s="56"/>
      <c r="F64" s="135" t="s">
        <v>281</v>
      </c>
      <c r="G64" s="36"/>
      <c r="H64" s="36"/>
      <c r="I64" s="36"/>
      <c r="J64" s="36"/>
      <c r="K64" s="36"/>
      <c r="L64" s="36"/>
      <c r="M64" s="36"/>
      <c r="N64" s="135" t="s">
        <v>280</v>
      </c>
      <c r="O64" s="36"/>
      <c r="P64" s="36"/>
      <c r="Q64" s="36"/>
      <c r="R64" s="36"/>
      <c r="S64" s="36"/>
      <c r="T64" s="36"/>
      <c r="U64" s="36"/>
    </row>
    <row r="65" spans="1:29" ht="16.2" thickTop="1" x14ac:dyDescent="0.3">
      <c r="A65" s="105"/>
      <c r="B65" s="32"/>
      <c r="C65" s="128"/>
      <c r="D65" s="90"/>
      <c r="E65" s="33"/>
      <c r="F65" s="48" t="s">
        <v>47</v>
      </c>
      <c r="G65" s="48" t="s">
        <v>243</v>
      </c>
      <c r="H65" s="81" t="s">
        <v>192</v>
      </c>
      <c r="I65" s="81" t="s">
        <v>46</v>
      </c>
      <c r="J65" s="81" t="s">
        <v>48</v>
      </c>
      <c r="K65" s="81" t="s">
        <v>203</v>
      </c>
      <c r="L65" s="81" t="s">
        <v>193</v>
      </c>
      <c r="M65" s="82" t="s">
        <v>89</v>
      </c>
      <c r="N65" s="48" t="s">
        <v>47</v>
      </c>
      <c r="O65" s="48" t="s">
        <v>243</v>
      </c>
      <c r="P65" s="79" t="s">
        <v>192</v>
      </c>
      <c r="Q65" s="79" t="s">
        <v>46</v>
      </c>
      <c r="R65" s="79" t="s">
        <v>48</v>
      </c>
      <c r="S65" s="79" t="s">
        <v>203</v>
      </c>
      <c r="T65" s="79" t="s">
        <v>193</v>
      </c>
      <c r="U65" s="80" t="s">
        <v>89</v>
      </c>
      <c r="V65" s="103" t="s">
        <v>47</v>
      </c>
      <c r="W65" s="48" t="s">
        <v>243</v>
      </c>
      <c r="X65" s="79" t="s">
        <v>192</v>
      </c>
      <c r="Y65" s="79" t="s">
        <v>46</v>
      </c>
      <c r="Z65" s="79" t="s">
        <v>48</v>
      </c>
      <c r="AA65" s="79" t="s">
        <v>203</v>
      </c>
      <c r="AB65" s="79" t="s">
        <v>193</v>
      </c>
      <c r="AC65" s="80" t="s">
        <v>89</v>
      </c>
    </row>
    <row r="66" spans="1:29" ht="15.6" x14ac:dyDescent="0.3">
      <c r="A66" s="106" t="s">
        <v>278</v>
      </c>
      <c r="B66" s="36"/>
      <c r="C66" s="124"/>
      <c r="D66" s="36"/>
      <c r="E66" s="37"/>
      <c r="F66" s="110">
        <f>V66/O51</f>
        <v>2.5819203531194882E-2</v>
      </c>
      <c r="G66" s="51">
        <f t="shared" ref="G66:H66" si="58">W66/P51</f>
        <v>4.5368716362208454E-2</v>
      </c>
      <c r="H66" s="51">
        <f t="shared" si="58"/>
        <v>7.8586520649797705E-3</v>
      </c>
      <c r="I66" s="51"/>
      <c r="J66" s="51"/>
      <c r="K66" s="51"/>
      <c r="L66" s="51"/>
      <c r="M66" s="37"/>
      <c r="N66" s="110">
        <f>V66/V$66</f>
        <v>1</v>
      </c>
      <c r="O66" s="51">
        <f t="shared" ref="O66:O76" si="59">W66/W$66</f>
        <v>1</v>
      </c>
      <c r="P66" s="51">
        <f t="shared" ref="P66:P76" si="60">X66/X$66</f>
        <v>1</v>
      </c>
      <c r="Q66" s="51"/>
      <c r="R66" s="51"/>
      <c r="S66" s="51"/>
      <c r="T66" s="51"/>
      <c r="U66" s="37"/>
      <c r="V66" s="36">
        <v>364125</v>
      </c>
      <c r="W66" s="36">
        <v>487916</v>
      </c>
      <c r="X66" s="36">
        <v>50446</v>
      </c>
      <c r="Y66" s="36"/>
      <c r="Z66" s="36"/>
      <c r="AA66" s="36"/>
      <c r="AB66" s="36"/>
      <c r="AC66" s="109"/>
    </row>
    <row r="67" spans="1:29" ht="15.6" x14ac:dyDescent="0.3">
      <c r="A67" s="106" t="s">
        <v>274</v>
      </c>
      <c r="B67" s="36"/>
      <c r="C67" s="124"/>
      <c r="D67" s="36"/>
      <c r="E67" s="116"/>
      <c r="F67" s="115">
        <f t="shared" ref="F67:H67" si="61">V67/O52</f>
        <v>0.17486765060332723</v>
      </c>
      <c r="G67" s="56">
        <f t="shared" si="61"/>
        <v>0.14486488429910546</v>
      </c>
      <c r="H67" s="56">
        <f t="shared" si="61"/>
        <v>4.5355310562610537E-2</v>
      </c>
      <c r="I67" s="56"/>
      <c r="J67" s="56"/>
      <c r="K67" s="56"/>
      <c r="L67" s="56"/>
      <c r="M67" s="116"/>
      <c r="N67" s="115">
        <f t="shared" ref="N67:N76" si="62">V67/V$66</f>
        <v>0.14970683144524546</v>
      </c>
      <c r="O67" s="56">
        <f t="shared" si="59"/>
        <v>4.647521294649079E-2</v>
      </c>
      <c r="P67" s="56">
        <f t="shared" si="60"/>
        <v>0.13416326368790391</v>
      </c>
      <c r="Q67" s="56"/>
      <c r="R67" s="56"/>
      <c r="S67" s="56"/>
      <c r="T67" s="56"/>
      <c r="U67" s="116"/>
      <c r="V67" s="36">
        <v>54512</v>
      </c>
      <c r="W67" s="36">
        <v>22676</v>
      </c>
      <c r="X67" s="36">
        <v>6768</v>
      </c>
      <c r="Y67" s="36"/>
      <c r="Z67" s="36"/>
      <c r="AA67" s="36"/>
      <c r="AB67" s="36"/>
      <c r="AC67" s="109"/>
    </row>
    <row r="68" spans="1:29" ht="15.6" x14ac:dyDescent="0.3">
      <c r="A68" s="106" t="s">
        <v>271</v>
      </c>
      <c r="B68" s="36"/>
      <c r="C68" s="124"/>
      <c r="D68" s="36"/>
      <c r="E68" s="116"/>
      <c r="F68" s="110">
        <f t="shared" ref="F68:H68" si="63">V68/O53</f>
        <v>7.9418370347832615E-3</v>
      </c>
      <c r="G68" s="51">
        <f t="shared" si="63"/>
        <v>5.9341336938270789E-2</v>
      </c>
      <c r="H68" s="51">
        <f t="shared" si="63"/>
        <v>3.2621891974778223E-3</v>
      </c>
      <c r="I68" s="51"/>
      <c r="J68" s="51"/>
      <c r="K68" s="51"/>
      <c r="L68" s="51"/>
      <c r="M68" s="37"/>
      <c r="N68" s="110">
        <f t="shared" si="62"/>
        <v>0.188652248541023</v>
      </c>
      <c r="O68" s="51">
        <f t="shared" si="59"/>
        <v>0.7205010698562867</v>
      </c>
      <c r="P68" s="51">
        <f t="shared" si="60"/>
        <v>0.17916187606549577</v>
      </c>
      <c r="Q68" s="51"/>
      <c r="R68" s="51"/>
      <c r="S68" s="51"/>
      <c r="T68" s="51"/>
      <c r="U68" s="37"/>
      <c r="V68" s="36">
        <v>68693</v>
      </c>
      <c r="W68" s="36">
        <v>351544</v>
      </c>
      <c r="X68" s="36">
        <v>9038</v>
      </c>
      <c r="Y68" s="36"/>
      <c r="Z68" s="36"/>
      <c r="AA68" s="36"/>
      <c r="AB68" s="36"/>
      <c r="AC68" s="109"/>
    </row>
    <row r="69" spans="1:29" ht="15.6" x14ac:dyDescent="0.3">
      <c r="A69" s="106" t="s">
        <v>272</v>
      </c>
      <c r="B69" s="36"/>
      <c r="C69" s="124"/>
      <c r="D69" s="36"/>
      <c r="E69" s="116"/>
      <c r="F69" s="110">
        <f t="shared" ref="F69:H69" si="64">V69/O54</f>
        <v>7.7584059317646351E-2</v>
      </c>
      <c r="G69" s="51">
        <f t="shared" si="64"/>
        <v>4.3378581527721144E-2</v>
      </c>
      <c r="H69" s="51">
        <f t="shared" si="64"/>
        <v>1.2887619208097868E-2</v>
      </c>
      <c r="I69" s="51"/>
      <c r="J69" s="51"/>
      <c r="K69" s="51"/>
      <c r="L69" s="51"/>
      <c r="M69" s="37"/>
      <c r="N69" s="110">
        <f t="shared" si="62"/>
        <v>1.6373498111912119E-2</v>
      </c>
      <c r="O69" s="51">
        <f t="shared" si="59"/>
        <v>5.2877954401987226E-3</v>
      </c>
      <c r="P69" s="51">
        <f t="shared" si="60"/>
        <v>1.5144907425762201E-2</v>
      </c>
      <c r="Q69" s="51"/>
      <c r="R69" s="51"/>
      <c r="S69" s="51"/>
      <c r="T69" s="51"/>
      <c r="U69" s="37"/>
      <c r="V69" s="36">
        <f>289+5673</f>
        <v>5962</v>
      </c>
      <c r="W69" s="36">
        <f>214+2366</f>
        <v>2580</v>
      </c>
      <c r="X69" s="36">
        <f>22+742</f>
        <v>764</v>
      </c>
      <c r="Y69" s="36"/>
      <c r="Z69" s="36"/>
      <c r="AA69" s="36"/>
      <c r="AB69" s="36"/>
      <c r="AC69" s="109"/>
    </row>
    <row r="70" spans="1:29" ht="15.6" x14ac:dyDescent="0.3">
      <c r="A70" s="106" t="s">
        <v>265</v>
      </c>
      <c r="B70" s="36"/>
      <c r="C70" s="124"/>
      <c r="D70" s="36"/>
      <c r="E70" s="116"/>
      <c r="F70" s="110">
        <f t="shared" ref="F70:H70" si="65">V70/O55</f>
        <v>0.24205952742286196</v>
      </c>
      <c r="G70" s="51">
        <f t="shared" si="65"/>
        <v>0.14794459864169532</v>
      </c>
      <c r="H70" s="51">
        <f t="shared" si="65"/>
        <v>4.2049025687936475E-2</v>
      </c>
      <c r="I70" s="51"/>
      <c r="J70" s="51"/>
      <c r="K70" s="51"/>
      <c r="L70" s="51"/>
      <c r="M70" s="37"/>
      <c r="N70" s="110">
        <f t="shared" si="62"/>
        <v>2.9163062135255751E-2</v>
      </c>
      <c r="O70" s="51">
        <f t="shared" si="59"/>
        <v>5.8862591101747023E-3</v>
      </c>
      <c r="P70" s="51">
        <f t="shared" si="60"/>
        <v>0.10571700432145265</v>
      </c>
      <c r="Q70" s="51"/>
      <c r="R70" s="51"/>
      <c r="S70" s="51"/>
      <c r="T70" s="51"/>
      <c r="U70" s="37"/>
      <c r="V70" s="36">
        <f>607+10012</f>
        <v>10619</v>
      </c>
      <c r="W70" s="36">
        <f>401+2471</f>
        <v>2872</v>
      </c>
      <c r="X70" s="36">
        <f>37+5296</f>
        <v>5333</v>
      </c>
      <c r="Y70" s="36"/>
      <c r="Z70" s="36"/>
      <c r="AA70" s="36"/>
      <c r="AB70" s="36"/>
      <c r="AC70" s="109"/>
    </row>
    <row r="71" spans="1:29" ht="15.6" x14ac:dyDescent="0.3">
      <c r="A71" s="106" t="s">
        <v>266</v>
      </c>
      <c r="B71" s="36"/>
      <c r="C71" s="124"/>
      <c r="D71" s="36"/>
      <c r="E71" s="116"/>
      <c r="F71" s="115">
        <f t="shared" ref="F71:H71" si="66">V71/O56</f>
        <v>0.39796846527570096</v>
      </c>
      <c r="G71" s="56">
        <f t="shared" si="66"/>
        <v>0.55128479793006679</v>
      </c>
      <c r="H71" s="56">
        <f t="shared" si="66"/>
        <v>0.17265735140059196</v>
      </c>
      <c r="I71" s="56"/>
      <c r="J71" s="56"/>
      <c r="K71" s="56"/>
      <c r="L71" s="56"/>
      <c r="M71" s="116"/>
      <c r="N71" s="115">
        <f t="shared" si="62"/>
        <v>0.29211671815997253</v>
      </c>
      <c r="O71" s="56">
        <f t="shared" si="59"/>
        <v>0.13625296157535313</v>
      </c>
      <c r="P71" s="56">
        <f t="shared" si="60"/>
        <v>0.44520873805653571</v>
      </c>
      <c r="Q71" s="56"/>
      <c r="R71" s="56"/>
      <c r="S71" s="56"/>
      <c r="T71" s="56"/>
      <c r="U71" s="116"/>
      <c r="V71" s="36">
        <f>81438+1906+19389+3634</f>
        <v>106367</v>
      </c>
      <c r="W71" s="36">
        <f>58383+1760+5336+1001</f>
        <v>66480</v>
      </c>
      <c r="X71" s="36">
        <f>9213+9308+3301+637</f>
        <v>22459</v>
      </c>
      <c r="Y71" s="36"/>
      <c r="Z71" s="36"/>
      <c r="AA71" s="36"/>
      <c r="AB71" s="36"/>
      <c r="AC71" s="109"/>
    </row>
    <row r="72" spans="1:29" ht="15.6" x14ac:dyDescent="0.3">
      <c r="A72" s="39" t="s">
        <v>267</v>
      </c>
      <c r="B72" s="36"/>
      <c r="C72" s="124"/>
      <c r="D72" s="36"/>
      <c r="E72" s="37"/>
      <c r="F72" s="110">
        <f t="shared" ref="F72:H72" si="67">V72/O57</f>
        <v>0.65016442022220633</v>
      </c>
      <c r="G72" s="51">
        <f t="shared" si="67"/>
        <v>0.9388571324233288</v>
      </c>
      <c r="H72" s="51">
        <f t="shared" si="67"/>
        <v>0.28568600174371156</v>
      </c>
      <c r="I72" s="51"/>
      <c r="J72" s="51"/>
      <c r="K72" s="51"/>
      <c r="L72" s="51"/>
      <c r="M72" s="37"/>
      <c r="N72" s="110">
        <f t="shared" si="62"/>
        <v>0.2288884311706145</v>
      </c>
      <c r="O72" s="51">
        <f t="shared" si="59"/>
        <v>0.12326507021700457</v>
      </c>
      <c r="P72" s="51">
        <f t="shared" si="60"/>
        <v>0.37309201918883561</v>
      </c>
      <c r="Q72" s="51"/>
      <c r="R72" s="51"/>
      <c r="S72" s="51"/>
      <c r="T72" s="51"/>
      <c r="U72" s="37"/>
      <c r="V72" s="36">
        <f>81438+1906</f>
        <v>83344</v>
      </c>
      <c r="W72" s="36">
        <f>58383+1760</f>
        <v>60143</v>
      </c>
      <c r="X72" s="36">
        <f>9213+9608</f>
        <v>18821</v>
      </c>
      <c r="Y72" s="36"/>
      <c r="Z72" s="36"/>
      <c r="AA72" s="36"/>
      <c r="AB72" s="36"/>
      <c r="AC72" s="109"/>
    </row>
    <row r="73" spans="1:29" ht="15.6" x14ac:dyDescent="0.3">
      <c r="A73" s="129" t="s">
        <v>268</v>
      </c>
      <c r="B73" s="36"/>
      <c r="C73" s="124"/>
      <c r="D73" s="36"/>
      <c r="E73" s="37"/>
      <c r="F73" s="110">
        <f t="shared" ref="F73:H73" si="68">V73/O58</f>
        <v>0.76947611790560477</v>
      </c>
      <c r="G73" s="51"/>
      <c r="H73" s="51">
        <f t="shared" si="68"/>
        <v>0.20678389841010489</v>
      </c>
      <c r="I73" s="51"/>
      <c r="J73" s="51"/>
      <c r="K73" s="51"/>
      <c r="L73" s="51"/>
      <c r="M73" s="37"/>
      <c r="N73" s="110">
        <f t="shared" si="62"/>
        <v>0.22365396498455201</v>
      </c>
      <c r="O73" s="51">
        <f t="shared" si="59"/>
        <v>0.11965789193221785</v>
      </c>
      <c r="P73" s="51">
        <f t="shared" si="60"/>
        <v>0.19046108710304088</v>
      </c>
      <c r="Q73" s="51"/>
      <c r="R73" s="51"/>
      <c r="S73" s="51"/>
      <c r="T73" s="51"/>
      <c r="U73" s="37"/>
      <c r="V73" s="36">
        <v>81438</v>
      </c>
      <c r="W73" s="36">
        <v>58383</v>
      </c>
      <c r="X73" s="36">
        <v>9608</v>
      </c>
      <c r="Y73" s="36"/>
      <c r="Z73" s="36"/>
      <c r="AA73" s="36"/>
      <c r="AB73" s="36"/>
      <c r="AC73" s="109"/>
    </row>
    <row r="74" spans="1:29" ht="15.6" x14ac:dyDescent="0.3">
      <c r="A74" s="39" t="s">
        <v>269</v>
      </c>
      <c r="B74" s="36"/>
      <c r="C74" s="124"/>
      <c r="D74" s="36"/>
      <c r="E74" s="37"/>
      <c r="F74" s="110">
        <f t="shared" ref="F74:H74" si="69">V74/O59</f>
        <v>0.1655308772024458</v>
      </c>
      <c r="G74" s="51">
        <f t="shared" si="69"/>
        <v>0.11209733647741324</v>
      </c>
      <c r="H74" s="51">
        <f t="shared" si="69"/>
        <v>5.6668057322210308E-2</v>
      </c>
      <c r="I74" s="51"/>
      <c r="J74" s="51"/>
      <c r="K74" s="51"/>
      <c r="L74" s="51"/>
      <c r="M74" s="37"/>
      <c r="N74" s="110">
        <f t="shared" si="62"/>
        <v>6.3228286989358048E-2</v>
      </c>
      <c r="O74" s="51">
        <f t="shared" si="59"/>
        <v>1.2987891358348568E-2</v>
      </c>
      <c r="P74" s="51">
        <f t="shared" si="60"/>
        <v>7.2116718867700116E-2</v>
      </c>
      <c r="Q74" s="51"/>
      <c r="R74" s="51"/>
      <c r="S74" s="51"/>
      <c r="T74" s="51"/>
      <c r="U74" s="37"/>
      <c r="V74" s="36">
        <f t="shared" ref="V74:X74" si="70">V71-V72</f>
        <v>23023</v>
      </c>
      <c r="W74" s="36">
        <f t="shared" si="70"/>
        <v>6337</v>
      </c>
      <c r="X74" s="36">
        <f t="shared" si="70"/>
        <v>3638</v>
      </c>
      <c r="Y74" s="36"/>
      <c r="Z74" s="36"/>
      <c r="AA74" s="36"/>
      <c r="AB74" s="36"/>
      <c r="AC74" s="109"/>
    </row>
    <row r="75" spans="1:29" ht="15.6" x14ac:dyDescent="0.3">
      <c r="A75" s="106" t="s">
        <v>270</v>
      </c>
      <c r="B75" s="36"/>
      <c r="C75" s="124"/>
      <c r="D75" s="36"/>
      <c r="E75" s="116"/>
      <c r="F75" s="115">
        <f t="shared" ref="F75:H75" si="71">V75/O60</f>
        <v>0.36061529022071326</v>
      </c>
      <c r="G75" s="56">
        <f t="shared" si="71"/>
        <v>0.2397146745888114</v>
      </c>
      <c r="H75" s="56">
        <f t="shared" si="71"/>
        <v>5.1361511382572479E-2</v>
      </c>
      <c r="I75" s="56"/>
      <c r="J75" s="56"/>
      <c r="K75" s="56"/>
      <c r="L75" s="56"/>
      <c r="M75" s="116"/>
      <c r="N75" s="115">
        <f t="shared" si="62"/>
        <v>1.2948849982835565E-2</v>
      </c>
      <c r="O75" s="56">
        <f t="shared" si="59"/>
        <v>1.1620852769739054E-3</v>
      </c>
      <c r="P75" s="56">
        <f t="shared" si="60"/>
        <v>1.9486183245450581E-2</v>
      </c>
      <c r="Q75" s="56"/>
      <c r="R75" s="56"/>
      <c r="S75" s="56"/>
      <c r="T75" s="56"/>
      <c r="U75" s="116"/>
      <c r="V75" s="36">
        <v>4715</v>
      </c>
      <c r="W75" s="36">
        <v>567</v>
      </c>
      <c r="X75" s="36">
        <v>983</v>
      </c>
      <c r="Y75" s="36"/>
      <c r="Z75" s="36"/>
      <c r="AA75" s="36"/>
      <c r="AB75" s="36"/>
      <c r="AC75" s="109"/>
    </row>
    <row r="76" spans="1:29" ht="16.2" thickBot="1" x14ac:dyDescent="0.35">
      <c r="A76" s="107" t="s">
        <v>295</v>
      </c>
      <c r="B76" s="44"/>
      <c r="C76" s="125"/>
      <c r="D76" s="44"/>
      <c r="E76" s="66"/>
      <c r="F76" s="113">
        <f t="shared" ref="F76:H76" si="72">V76/O61</f>
        <v>2.3891023622137394E-2</v>
      </c>
      <c r="G76" s="54">
        <f t="shared" si="72"/>
        <v>9.2122467905187307E-3</v>
      </c>
      <c r="H76" s="54">
        <f t="shared" si="72"/>
        <v>1.612155953107042E-3</v>
      </c>
      <c r="I76" s="54"/>
      <c r="J76" s="54"/>
      <c r="K76" s="54"/>
      <c r="L76" s="54"/>
      <c r="M76" s="45"/>
      <c r="N76" s="113">
        <f t="shared" si="62"/>
        <v>0.31103879162375558</v>
      </c>
      <c r="O76" s="54">
        <f t="shared" si="59"/>
        <v>8.4434615794522008E-2</v>
      </c>
      <c r="P76" s="54">
        <f t="shared" si="60"/>
        <v>0.10111802719739919</v>
      </c>
      <c r="Q76" s="54"/>
      <c r="R76" s="54"/>
      <c r="S76" s="54"/>
      <c r="T76" s="54"/>
      <c r="U76" s="45"/>
      <c r="V76" s="73">
        <f t="shared" ref="V76" si="73">V66-SUM(V67:V71)-V75</f>
        <v>113257</v>
      </c>
      <c r="W76" s="44">
        <f t="shared" ref="W76" si="74">W66-SUM(W67:W71)-W75</f>
        <v>41197</v>
      </c>
      <c r="X76" s="44">
        <f t="shared" ref="X76" si="75">X66-SUM(X67:X71)-X75</f>
        <v>5101</v>
      </c>
      <c r="Y76" s="44"/>
      <c r="Z76" s="44"/>
      <c r="AA76" s="44"/>
      <c r="AB76" s="44"/>
      <c r="AC76" s="111"/>
    </row>
    <row r="77" spans="1:29" ht="16.2" thickTop="1" x14ac:dyDescent="0.3">
      <c r="A77" s="35" t="s">
        <v>296</v>
      </c>
      <c r="B77" s="36"/>
      <c r="C77" s="124"/>
      <c r="D77" s="36"/>
      <c r="E77" s="56"/>
      <c r="F77" s="51"/>
      <c r="G77" s="51"/>
      <c r="H77" s="51"/>
      <c r="I77" s="51"/>
      <c r="J77" s="51"/>
      <c r="K77" s="51"/>
      <c r="L77" s="51"/>
      <c r="M77" s="51"/>
      <c r="N77" s="51"/>
      <c r="O77" s="51"/>
      <c r="P77" s="51"/>
      <c r="Q77" s="51"/>
      <c r="R77" s="51"/>
      <c r="S77" s="51"/>
      <c r="T77" s="51"/>
      <c r="U77" s="51"/>
      <c r="V77" s="36"/>
      <c r="W77" s="36"/>
      <c r="X77" s="36"/>
      <c r="Y77" s="36"/>
      <c r="Z77" s="36"/>
      <c r="AA77" s="36"/>
      <c r="AB77" s="36"/>
      <c r="AC77" s="36"/>
    </row>
    <row r="78" spans="1:29" ht="15.6" x14ac:dyDescent="0.3">
      <c r="A78" s="35"/>
      <c r="B78" s="36"/>
      <c r="C78" s="124"/>
      <c r="D78" s="36"/>
      <c r="E78" s="56"/>
      <c r="F78" s="51"/>
      <c r="G78" s="51"/>
      <c r="H78" s="51"/>
      <c r="I78" s="51"/>
      <c r="J78" s="51"/>
      <c r="K78" s="51"/>
      <c r="L78" s="51"/>
      <c r="M78" s="51"/>
      <c r="N78" s="51"/>
      <c r="O78" s="51"/>
      <c r="P78" s="51"/>
      <c r="Q78" s="51"/>
      <c r="R78" s="51"/>
      <c r="S78" s="51"/>
      <c r="T78" s="51"/>
      <c r="U78" s="51"/>
      <c r="V78" s="36"/>
      <c r="W78" s="36"/>
      <c r="X78" s="36"/>
      <c r="Y78" s="36"/>
      <c r="Z78" s="36"/>
      <c r="AA78" s="36"/>
      <c r="AB78" s="36"/>
      <c r="AC78" s="36"/>
    </row>
    <row r="79" spans="1:29" ht="16.2" thickBot="1" x14ac:dyDescent="0.35">
      <c r="A79" s="34"/>
      <c r="B79" s="36"/>
      <c r="C79" s="124"/>
      <c r="D79" s="36"/>
      <c r="E79" s="56"/>
      <c r="F79" s="135" t="s">
        <v>283</v>
      </c>
      <c r="G79" s="36"/>
      <c r="H79" s="36"/>
      <c r="I79" s="36"/>
      <c r="J79" s="36"/>
      <c r="K79" s="36"/>
      <c r="L79" s="36"/>
      <c r="M79" s="36"/>
      <c r="N79" s="135" t="s">
        <v>282</v>
      </c>
      <c r="O79" s="36"/>
      <c r="P79" s="36"/>
      <c r="Q79" s="36"/>
      <c r="R79" s="36"/>
      <c r="S79" s="36"/>
      <c r="T79" s="36"/>
      <c r="U79" s="36"/>
    </row>
    <row r="80" spans="1:29" ht="16.2" thickTop="1" x14ac:dyDescent="0.3">
      <c r="A80" s="105"/>
      <c r="B80" s="32"/>
      <c r="C80" s="128"/>
      <c r="D80" s="90"/>
      <c r="E80" s="33"/>
      <c r="F80" s="48" t="s">
        <v>47</v>
      </c>
      <c r="G80" s="48" t="s">
        <v>243</v>
      </c>
      <c r="H80" s="81" t="s">
        <v>192</v>
      </c>
      <c r="I80" s="81" t="s">
        <v>46</v>
      </c>
      <c r="J80" s="81" t="s">
        <v>48</v>
      </c>
      <c r="K80" s="81" t="s">
        <v>203</v>
      </c>
      <c r="L80" s="81" t="s">
        <v>193</v>
      </c>
      <c r="M80" s="82" t="s">
        <v>89</v>
      </c>
      <c r="N80" s="48" t="s">
        <v>47</v>
      </c>
      <c r="O80" s="48" t="s">
        <v>243</v>
      </c>
      <c r="P80" s="79" t="s">
        <v>192</v>
      </c>
      <c r="Q80" s="79" t="s">
        <v>46</v>
      </c>
      <c r="R80" s="79" t="s">
        <v>48</v>
      </c>
      <c r="S80" s="79" t="s">
        <v>203</v>
      </c>
      <c r="T80" s="79" t="s">
        <v>193</v>
      </c>
      <c r="U80" s="80" t="s">
        <v>89</v>
      </c>
      <c r="V80" s="103" t="s">
        <v>47</v>
      </c>
      <c r="W80" s="48" t="s">
        <v>243</v>
      </c>
      <c r="X80" s="79" t="s">
        <v>192</v>
      </c>
      <c r="Y80" s="79" t="s">
        <v>46</v>
      </c>
      <c r="Z80" s="79" t="s">
        <v>48</v>
      </c>
      <c r="AA80" s="79" t="s">
        <v>203</v>
      </c>
      <c r="AB80" s="79" t="s">
        <v>193</v>
      </c>
      <c r="AC80" s="80" t="s">
        <v>89</v>
      </c>
    </row>
    <row r="81" spans="1:29" ht="15.6" x14ac:dyDescent="0.3">
      <c r="A81" s="106" t="s">
        <v>279</v>
      </c>
      <c r="B81" s="36"/>
      <c r="C81" s="124"/>
      <c r="D81" s="36"/>
      <c r="E81" s="37"/>
      <c r="F81" s="110">
        <f t="shared" ref="F81:F91" si="76">V81/O51</f>
        <v>1.9404695851023283E-2</v>
      </c>
      <c r="G81" s="51">
        <f t="shared" ref="G81:G91" si="77">W81/P51</f>
        <v>8.4823420685317605E-3</v>
      </c>
      <c r="H81" s="51"/>
      <c r="I81" s="51"/>
      <c r="J81" s="51"/>
      <c r="K81" s="51"/>
      <c r="L81" s="51"/>
      <c r="M81" s="37"/>
      <c r="N81" s="110">
        <f>V81/V$81</f>
        <v>1</v>
      </c>
      <c r="O81" s="51">
        <f t="shared" ref="O81:O91" si="78">W81/W$81</f>
        <v>1</v>
      </c>
      <c r="P81" s="51" t="e">
        <f t="shared" ref="P81:P91" si="79">X81/X$81</f>
        <v>#DIV/0!</v>
      </c>
      <c r="Q81" s="51" t="e">
        <f t="shared" ref="Q81:Q91" si="80">Y81/Y$81</f>
        <v>#DIV/0!</v>
      </c>
      <c r="R81" s="51" t="e">
        <f t="shared" ref="R81:R91" si="81">Z81/Z$81</f>
        <v>#DIV/0!</v>
      </c>
      <c r="S81" s="51" t="e">
        <f t="shared" ref="S81:S91" si="82">AA81/AA$81</f>
        <v>#DIV/0!</v>
      </c>
      <c r="T81" s="51" t="e">
        <f t="shared" ref="T81:T91" si="83">AB81/AB$81</f>
        <v>#DIV/0!</v>
      </c>
      <c r="U81" s="37"/>
      <c r="V81" s="36">
        <v>273662</v>
      </c>
      <c r="W81" s="36">
        <v>91223</v>
      </c>
      <c r="X81" s="36"/>
      <c r="Y81" s="36"/>
      <c r="Z81" s="36"/>
      <c r="AA81" s="36"/>
      <c r="AB81" s="36"/>
      <c r="AC81" s="109"/>
    </row>
    <row r="82" spans="1:29" ht="15.6" x14ac:dyDescent="0.3">
      <c r="A82" s="106" t="s">
        <v>274</v>
      </c>
      <c r="B82" s="36"/>
      <c r="C82" s="124"/>
      <c r="D82" s="36"/>
      <c r="E82" s="116">
        <f>D82/D$37</f>
        <v>0</v>
      </c>
      <c r="F82" s="115">
        <f t="shared" si="76"/>
        <v>0.12979059919670202</v>
      </c>
      <c r="G82" s="56">
        <f t="shared" si="77"/>
        <v>3.5436828065229228E-2</v>
      </c>
      <c r="H82" s="51"/>
      <c r="I82" s="51"/>
      <c r="J82" s="51"/>
      <c r="K82" s="51"/>
      <c r="L82" s="51"/>
      <c r="M82" s="116"/>
      <c r="N82" s="115">
        <f t="shared" ref="N82:N91" si="84">V82/V$81</f>
        <v>0.14784661370595845</v>
      </c>
      <c r="O82" s="56">
        <f t="shared" si="78"/>
        <v>6.080703331396687E-2</v>
      </c>
      <c r="P82" s="56" t="e">
        <f t="shared" si="79"/>
        <v>#DIV/0!</v>
      </c>
      <c r="Q82" s="56" t="e">
        <f t="shared" si="80"/>
        <v>#DIV/0!</v>
      </c>
      <c r="R82" s="56" t="e">
        <f t="shared" si="81"/>
        <v>#DIV/0!</v>
      </c>
      <c r="S82" s="56" t="e">
        <f t="shared" si="82"/>
        <v>#DIV/0!</v>
      </c>
      <c r="T82" s="56" t="e">
        <f t="shared" si="83"/>
        <v>#DIV/0!</v>
      </c>
      <c r="U82" s="116"/>
      <c r="V82" s="36">
        <v>40460</v>
      </c>
      <c r="W82" s="36">
        <v>5547</v>
      </c>
      <c r="X82" s="36"/>
      <c r="Y82" s="36"/>
      <c r="Z82" s="36"/>
      <c r="AA82" s="36"/>
      <c r="AB82" s="36"/>
      <c r="AC82" s="109"/>
    </row>
    <row r="83" spans="1:29" ht="15.6" x14ac:dyDescent="0.3">
      <c r="A83" s="106" t="s">
        <v>271</v>
      </c>
      <c r="B83" s="36"/>
      <c r="C83" s="124"/>
      <c r="D83" s="36"/>
      <c r="E83" s="116">
        <f>D83/D$37</f>
        <v>0</v>
      </c>
      <c r="F83" s="110">
        <f t="shared" si="76"/>
        <v>1.0505912875952277E-2</v>
      </c>
      <c r="G83" s="51">
        <f t="shared" si="77"/>
        <v>7.1651392969835359E-3</v>
      </c>
      <c r="H83" s="51"/>
      <c r="I83" s="51"/>
      <c r="J83" s="51"/>
      <c r="K83" s="51"/>
      <c r="L83" s="51"/>
      <c r="M83" s="37"/>
      <c r="N83" s="110">
        <f t="shared" si="84"/>
        <v>0.33205560143534724</v>
      </c>
      <c r="O83" s="51">
        <f t="shared" si="78"/>
        <v>0.4653102835907611</v>
      </c>
      <c r="P83" s="51" t="e">
        <f t="shared" si="79"/>
        <v>#DIV/0!</v>
      </c>
      <c r="Q83" s="51" t="e">
        <f t="shared" si="80"/>
        <v>#DIV/0!</v>
      </c>
      <c r="R83" s="51" t="e">
        <f t="shared" si="81"/>
        <v>#DIV/0!</v>
      </c>
      <c r="S83" s="51" t="e">
        <f t="shared" si="82"/>
        <v>#DIV/0!</v>
      </c>
      <c r="T83" s="51" t="e">
        <f t="shared" si="83"/>
        <v>#DIV/0!</v>
      </c>
      <c r="U83" s="37"/>
      <c r="V83" s="36">
        <v>90871</v>
      </c>
      <c r="W83" s="36">
        <v>42447</v>
      </c>
      <c r="X83" s="36"/>
      <c r="Y83" s="36"/>
      <c r="Z83" s="36"/>
      <c r="AA83" s="36"/>
      <c r="AB83" s="36"/>
      <c r="AC83" s="109"/>
    </row>
    <row r="84" spans="1:29" ht="15.6" x14ac:dyDescent="0.3">
      <c r="A84" s="106" t="s">
        <v>272</v>
      </c>
      <c r="B84" s="36"/>
      <c r="C84" s="124"/>
      <c r="D84" s="36"/>
      <c r="E84" s="116">
        <f t="shared" ref="E84:E91" si="85">D84/D$37</f>
        <v>0</v>
      </c>
      <c r="F84" s="110">
        <f t="shared" si="76"/>
        <v>2.5271426231947201E-2</v>
      </c>
      <c r="G84" s="51">
        <f t="shared" si="77"/>
        <v>1.2946320843544683E-2</v>
      </c>
      <c r="H84" s="51"/>
      <c r="I84" s="51"/>
      <c r="J84" s="51"/>
      <c r="K84" s="51"/>
      <c r="L84" s="51"/>
      <c r="M84" s="37"/>
      <c r="N84" s="110">
        <f t="shared" si="84"/>
        <v>7.0963451264698793E-3</v>
      </c>
      <c r="O84" s="51">
        <f t="shared" si="78"/>
        <v>8.440853732063186E-3</v>
      </c>
      <c r="P84" s="51" t="e">
        <f t="shared" si="79"/>
        <v>#DIV/0!</v>
      </c>
      <c r="Q84" s="51" t="e">
        <f t="shared" si="80"/>
        <v>#DIV/0!</v>
      </c>
      <c r="R84" s="51" t="e">
        <f t="shared" si="81"/>
        <v>#DIV/0!</v>
      </c>
      <c r="S84" s="51" t="e">
        <f t="shared" si="82"/>
        <v>#DIV/0!</v>
      </c>
      <c r="T84" s="51" t="e">
        <f t="shared" si="83"/>
        <v>#DIV/0!</v>
      </c>
      <c r="U84" s="37"/>
      <c r="V84" s="36">
        <f>158+1784</f>
        <v>1942</v>
      </c>
      <c r="W84" s="36">
        <f>149+621</f>
        <v>770</v>
      </c>
      <c r="X84" s="36"/>
      <c r="Y84" s="36"/>
      <c r="Z84" s="36"/>
      <c r="AA84" s="36"/>
      <c r="AB84" s="36"/>
      <c r="AC84" s="109"/>
    </row>
    <row r="85" spans="1:29" ht="15.6" x14ac:dyDescent="0.3">
      <c r="A85" s="106" t="s">
        <v>265</v>
      </c>
      <c r="B85" s="36"/>
      <c r="C85" s="124"/>
      <c r="D85" s="36"/>
      <c r="E85" s="116">
        <f t="shared" si="85"/>
        <v>0</v>
      </c>
      <c r="F85" s="110">
        <f t="shared" si="76"/>
        <v>0.11096579522502044</v>
      </c>
      <c r="G85" s="51">
        <f t="shared" si="77"/>
        <v>0.10730104420983683</v>
      </c>
      <c r="H85" s="51"/>
      <c r="I85" s="51"/>
      <c r="J85" s="51"/>
      <c r="K85" s="51"/>
      <c r="L85" s="51"/>
      <c r="M85" s="37"/>
      <c r="N85" s="110">
        <f t="shared" si="84"/>
        <v>1.7788366671295248E-2</v>
      </c>
      <c r="O85" s="51">
        <f t="shared" si="78"/>
        <v>2.2834153667386514E-2</v>
      </c>
      <c r="P85" s="51" t="e">
        <f t="shared" si="79"/>
        <v>#DIV/0!</v>
      </c>
      <c r="Q85" s="51" t="e">
        <f t="shared" si="80"/>
        <v>#DIV/0!</v>
      </c>
      <c r="R85" s="51" t="e">
        <f t="shared" si="81"/>
        <v>#DIV/0!</v>
      </c>
      <c r="S85" s="51" t="e">
        <f t="shared" si="82"/>
        <v>#DIV/0!</v>
      </c>
      <c r="T85" s="51" t="e">
        <f t="shared" si="83"/>
        <v>#DIV/0!</v>
      </c>
      <c r="U85" s="37"/>
      <c r="V85" s="36">
        <f>452+4416</f>
        <v>4868</v>
      </c>
      <c r="W85" s="36">
        <f>442+1641</f>
        <v>2083</v>
      </c>
      <c r="X85" s="36"/>
      <c r="Y85" s="36"/>
      <c r="Z85" s="36"/>
      <c r="AA85" s="36"/>
      <c r="AB85" s="36"/>
      <c r="AC85" s="109"/>
    </row>
    <row r="86" spans="1:29" ht="15.6" x14ac:dyDescent="0.3">
      <c r="A86" s="106" t="s">
        <v>266</v>
      </c>
      <c r="B86" s="36"/>
      <c r="C86" s="124"/>
      <c r="D86" s="36"/>
      <c r="E86" s="116">
        <f t="shared" si="85"/>
        <v>0</v>
      </c>
      <c r="F86" s="115">
        <f t="shared" si="76"/>
        <v>0.18522125164264833</v>
      </c>
      <c r="G86" s="56">
        <f t="shared" si="77"/>
        <v>0.25885010480425746</v>
      </c>
      <c r="H86" s="51"/>
      <c r="I86" s="51"/>
      <c r="J86" s="51"/>
      <c r="K86" s="51"/>
      <c r="L86" s="51"/>
      <c r="M86" s="116"/>
      <c r="N86" s="115">
        <f t="shared" si="84"/>
        <v>0.18089833444175663</v>
      </c>
      <c r="O86" s="56">
        <f t="shared" si="78"/>
        <v>0.34218344057967837</v>
      </c>
      <c r="P86" s="56" t="e">
        <f t="shared" si="79"/>
        <v>#DIV/0!</v>
      </c>
      <c r="Q86" s="56" t="e">
        <f t="shared" si="80"/>
        <v>#DIV/0!</v>
      </c>
      <c r="R86" s="56" t="e">
        <f t="shared" si="81"/>
        <v>#DIV/0!</v>
      </c>
      <c r="S86" s="56" t="e">
        <f t="shared" si="82"/>
        <v>#DIV/0!</v>
      </c>
      <c r="T86" s="56" t="e">
        <f t="shared" si="83"/>
        <v>#DIV/0!</v>
      </c>
      <c r="U86" s="116"/>
      <c r="V86" s="36">
        <f>31956+349+15341+1859</f>
        <v>49505</v>
      </c>
      <c r="W86" s="36">
        <f>27032+107+3720+356</f>
        <v>31215</v>
      </c>
      <c r="X86" s="36"/>
      <c r="Y86" s="36"/>
      <c r="Z86" s="36"/>
      <c r="AA86" s="36"/>
      <c r="AB86" s="36"/>
      <c r="AC86" s="109"/>
    </row>
    <row r="87" spans="1:29" ht="15.6" x14ac:dyDescent="0.3">
      <c r="A87" s="39" t="s">
        <v>267</v>
      </c>
      <c r="B87" s="36"/>
      <c r="C87" s="124"/>
      <c r="D87" s="36"/>
      <c r="E87" s="37">
        <f t="shared" si="85"/>
        <v>0</v>
      </c>
      <c r="F87" s="110">
        <f t="shared" si="76"/>
        <v>2.7225401067569352E-3</v>
      </c>
      <c r="G87" s="51">
        <f t="shared" si="77"/>
        <v>1.670314303731044E-3</v>
      </c>
      <c r="H87" s="51"/>
      <c r="I87" s="51"/>
      <c r="J87" s="51"/>
      <c r="K87" s="51"/>
      <c r="L87" s="51"/>
      <c r="M87" s="37"/>
      <c r="N87" s="110">
        <f t="shared" si="84"/>
        <v>1.275295802851693E-3</v>
      </c>
      <c r="O87" s="51">
        <f t="shared" si="78"/>
        <v>1.1729498043256635E-3</v>
      </c>
      <c r="P87" s="51" t="e">
        <f t="shared" si="79"/>
        <v>#DIV/0!</v>
      </c>
      <c r="Q87" s="51" t="e">
        <f t="shared" si="80"/>
        <v>#DIV/0!</v>
      </c>
      <c r="R87" s="51" t="e">
        <f t="shared" si="81"/>
        <v>#DIV/0!</v>
      </c>
      <c r="S87" s="51" t="e">
        <f t="shared" si="82"/>
        <v>#DIV/0!</v>
      </c>
      <c r="T87" s="51" t="e">
        <f t="shared" si="83"/>
        <v>#DIV/0!</v>
      </c>
      <c r="U87" s="37"/>
      <c r="V87" s="36">
        <v>349</v>
      </c>
      <c r="W87" s="36">
        <v>107</v>
      </c>
      <c r="X87" s="36"/>
      <c r="Y87" s="36"/>
      <c r="Z87" s="36"/>
      <c r="AA87" s="36"/>
      <c r="AB87" s="36"/>
      <c r="AC87" s="109"/>
    </row>
    <row r="88" spans="1:29" ht="15.6" x14ac:dyDescent="0.3">
      <c r="A88" s="129" t="s">
        <v>268</v>
      </c>
      <c r="B88" s="36"/>
      <c r="C88" s="124"/>
      <c r="D88" s="36"/>
      <c r="E88" s="37">
        <f t="shared" si="85"/>
        <v>0</v>
      </c>
      <c r="F88" s="110">
        <f t="shared" si="76"/>
        <v>3.2975658187707957E-3</v>
      </c>
      <c r="G88" s="51">
        <f t="shared" si="77"/>
        <v>2.4982055603061369E-3</v>
      </c>
      <c r="H88" s="51"/>
      <c r="I88" s="51"/>
      <c r="J88" s="51"/>
      <c r="K88" s="51"/>
      <c r="L88" s="51"/>
      <c r="M88" s="37"/>
      <c r="N88" s="110">
        <f t="shared" si="84"/>
        <v>1.275295802851693E-3</v>
      </c>
      <c r="O88" s="51">
        <f t="shared" si="78"/>
        <v>1.1729498043256635E-3</v>
      </c>
      <c r="P88" s="51" t="e">
        <f t="shared" si="79"/>
        <v>#DIV/0!</v>
      </c>
      <c r="Q88" s="51" t="e">
        <f t="shared" si="80"/>
        <v>#DIV/0!</v>
      </c>
      <c r="R88" s="51" t="e">
        <f t="shared" si="81"/>
        <v>#DIV/0!</v>
      </c>
      <c r="S88" s="51" t="e">
        <f t="shared" si="82"/>
        <v>#DIV/0!</v>
      </c>
      <c r="T88" s="51" t="e">
        <f t="shared" si="83"/>
        <v>#DIV/0!</v>
      </c>
      <c r="U88" s="37"/>
      <c r="V88" s="36">
        <v>349</v>
      </c>
      <c r="W88" s="36">
        <v>107</v>
      </c>
      <c r="X88" s="36"/>
      <c r="Y88" s="36"/>
      <c r="Z88" s="36"/>
      <c r="AA88" s="36"/>
      <c r="AB88" s="36"/>
      <c r="AC88" s="109"/>
    </row>
    <row r="89" spans="1:29" ht="15.6" x14ac:dyDescent="0.3">
      <c r="A89" s="39" t="s">
        <v>269</v>
      </c>
      <c r="B89" s="36"/>
      <c r="C89" s="124"/>
      <c r="D89" s="36"/>
      <c r="E89" s="37">
        <f t="shared" si="85"/>
        <v>0</v>
      </c>
      <c r="F89" s="110">
        <f t="shared" si="76"/>
        <v>0.35342204750742412</v>
      </c>
      <c r="G89" s="51">
        <f t="shared" si="77"/>
        <v>0.55027993421798505</v>
      </c>
      <c r="H89" s="51"/>
      <c r="I89" s="51"/>
      <c r="J89" s="51"/>
      <c r="K89" s="51"/>
      <c r="L89" s="51"/>
      <c r="M89" s="37"/>
      <c r="N89" s="110">
        <f t="shared" si="84"/>
        <v>0.17962303863890491</v>
      </c>
      <c r="O89" s="51">
        <f t="shared" si="78"/>
        <v>0.34101049077535273</v>
      </c>
      <c r="P89" s="51" t="e">
        <f t="shared" si="79"/>
        <v>#DIV/0!</v>
      </c>
      <c r="Q89" s="51" t="e">
        <f t="shared" si="80"/>
        <v>#DIV/0!</v>
      </c>
      <c r="R89" s="51" t="e">
        <f t="shared" si="81"/>
        <v>#DIV/0!</v>
      </c>
      <c r="S89" s="51" t="e">
        <f t="shared" si="82"/>
        <v>#DIV/0!</v>
      </c>
      <c r="T89" s="51" t="e">
        <f t="shared" si="83"/>
        <v>#DIV/0!</v>
      </c>
      <c r="U89" s="37"/>
      <c r="V89" s="36">
        <f t="shared" ref="V89:W89" si="86">V86-V87</f>
        <v>49156</v>
      </c>
      <c r="W89" s="36">
        <f t="shared" si="86"/>
        <v>31108</v>
      </c>
      <c r="X89" s="36">
        <f t="shared" ref="X89:AB89" si="87">X86-X87</f>
        <v>0</v>
      </c>
      <c r="Y89" s="36">
        <f t="shared" si="87"/>
        <v>0</v>
      </c>
      <c r="Z89" s="36">
        <f t="shared" si="87"/>
        <v>0</v>
      </c>
      <c r="AA89" s="36">
        <f t="shared" si="87"/>
        <v>0</v>
      </c>
      <c r="AB89" s="36">
        <f t="shared" si="87"/>
        <v>0</v>
      </c>
      <c r="AC89" s="109"/>
    </row>
    <row r="90" spans="1:29" ht="15.6" x14ac:dyDescent="0.3">
      <c r="A90" s="106" t="s">
        <v>270</v>
      </c>
      <c r="B90" s="36"/>
      <c r="C90" s="124"/>
      <c r="D90" s="36"/>
      <c r="E90" s="116">
        <f t="shared" si="85"/>
        <v>0</v>
      </c>
      <c r="F90" s="115">
        <f t="shared" si="76"/>
        <v>0.12757291709186633</v>
      </c>
      <c r="G90" s="56">
        <f t="shared" si="77"/>
        <v>0.12345094352721857</v>
      </c>
      <c r="H90" s="51"/>
      <c r="I90" s="51"/>
      <c r="J90" s="51"/>
      <c r="K90" s="51"/>
      <c r="L90" s="51"/>
      <c r="M90" s="116"/>
      <c r="N90" s="115">
        <f t="shared" si="84"/>
        <v>6.0951100262367445E-3</v>
      </c>
      <c r="O90" s="56">
        <f t="shared" si="78"/>
        <v>3.2009471295616236E-3</v>
      </c>
      <c r="P90" s="56" t="e">
        <f t="shared" si="79"/>
        <v>#DIV/0!</v>
      </c>
      <c r="Q90" s="56" t="e">
        <f t="shared" si="80"/>
        <v>#DIV/0!</v>
      </c>
      <c r="R90" s="56" t="e">
        <f t="shared" si="81"/>
        <v>#DIV/0!</v>
      </c>
      <c r="S90" s="56" t="e">
        <f t="shared" si="82"/>
        <v>#DIV/0!</v>
      </c>
      <c r="T90" s="56" t="e">
        <f t="shared" si="83"/>
        <v>#DIV/0!</v>
      </c>
      <c r="U90" s="116"/>
      <c r="V90" s="36">
        <v>1668</v>
      </c>
      <c r="W90" s="36">
        <v>292</v>
      </c>
      <c r="X90" s="36"/>
      <c r="Y90" s="36"/>
      <c r="Z90" s="36"/>
      <c r="AA90" s="36"/>
      <c r="AB90" s="36"/>
      <c r="AC90" s="109"/>
    </row>
    <row r="91" spans="1:29" ht="16.2" thickBot="1" x14ac:dyDescent="0.35">
      <c r="A91" s="107" t="s">
        <v>273</v>
      </c>
      <c r="B91" s="44"/>
      <c r="C91" s="125"/>
      <c r="D91" s="44"/>
      <c r="E91" s="66">
        <f t="shared" si="85"/>
        <v>0</v>
      </c>
      <c r="F91" s="113">
        <f t="shared" si="76"/>
        <v>1.779280804259379E-2</v>
      </c>
      <c r="G91" s="54">
        <f t="shared" si="77"/>
        <v>1.9832370508801765E-3</v>
      </c>
      <c r="H91" s="54"/>
      <c r="I91" s="54"/>
      <c r="J91" s="54"/>
      <c r="K91" s="54"/>
      <c r="L91" s="54"/>
      <c r="M91" s="45"/>
      <c r="N91" s="113">
        <f t="shared" si="84"/>
        <v>0.30821962859293583</v>
      </c>
      <c r="O91" s="54">
        <f t="shared" si="78"/>
        <v>9.7223287986582335E-2</v>
      </c>
      <c r="P91" s="54" t="e">
        <f t="shared" si="79"/>
        <v>#DIV/0!</v>
      </c>
      <c r="Q91" s="54" t="e">
        <f t="shared" si="80"/>
        <v>#DIV/0!</v>
      </c>
      <c r="R91" s="54" t="e">
        <f t="shared" si="81"/>
        <v>#DIV/0!</v>
      </c>
      <c r="S91" s="54" t="e">
        <f t="shared" si="82"/>
        <v>#DIV/0!</v>
      </c>
      <c r="T91" s="54" t="e">
        <f t="shared" si="83"/>
        <v>#DIV/0!</v>
      </c>
      <c r="U91" s="45"/>
      <c r="V91" s="73">
        <f t="shared" ref="V91" si="88">V81-SUM(V82:V86)-V90</f>
        <v>84348</v>
      </c>
      <c r="W91" s="44">
        <f t="shared" ref="W91" si="89">W81-SUM(W82:W86)-W90</f>
        <v>8869</v>
      </c>
      <c r="X91" s="44">
        <f t="shared" ref="X91" si="90">X81-SUM(X82:X86)-X90</f>
        <v>0</v>
      </c>
      <c r="Y91" s="44">
        <f t="shared" ref="Y91" si="91">Y81-SUM(Y82:Y86)-Y90</f>
        <v>0</v>
      </c>
      <c r="Z91" s="44">
        <f t="shared" ref="Z91" si="92">Z81-SUM(Z82:Z86)-Z90</f>
        <v>0</v>
      </c>
      <c r="AA91" s="44">
        <f t="shared" ref="AA91" si="93">AA81-SUM(AA82:AA86)-AA90</f>
        <v>0</v>
      </c>
      <c r="AB91" s="44">
        <f t="shared" ref="AB91" si="94">AB81-SUM(AB82:AB86)-AB90</f>
        <v>0</v>
      </c>
      <c r="AC91" s="111"/>
    </row>
    <row r="92" spans="1:29" ht="16.2" thickTop="1" x14ac:dyDescent="0.3">
      <c r="A92" s="34"/>
      <c r="B92" s="36"/>
      <c r="C92" s="124"/>
      <c r="D92" s="36"/>
      <c r="E92" s="56"/>
      <c r="F92" s="51"/>
      <c r="G92" s="51"/>
      <c r="H92" s="51"/>
      <c r="I92" s="51"/>
      <c r="J92" s="51"/>
      <c r="K92" s="51"/>
      <c r="L92" s="51"/>
      <c r="M92" s="51"/>
      <c r="N92" s="36"/>
      <c r="O92" s="36"/>
      <c r="P92" s="36"/>
      <c r="Q92" s="36"/>
      <c r="R92" s="36"/>
      <c r="S92" s="36"/>
      <c r="T92" s="36"/>
      <c r="U92" s="36"/>
    </row>
    <row r="93" spans="1:29" ht="15.6" x14ac:dyDescent="0.3">
      <c r="A93" s="34"/>
      <c r="B93" s="36"/>
      <c r="C93" s="124"/>
      <c r="D93" s="36"/>
      <c r="E93" s="56"/>
      <c r="F93" s="51"/>
      <c r="G93" s="51"/>
      <c r="H93" s="51"/>
      <c r="I93" s="51"/>
      <c r="J93" s="51"/>
      <c r="K93" s="51"/>
      <c r="L93" s="51"/>
      <c r="M93" s="51"/>
      <c r="N93" s="51"/>
      <c r="O93" s="51"/>
      <c r="P93" s="51"/>
      <c r="Q93" s="51"/>
      <c r="R93" s="51"/>
      <c r="S93" s="51"/>
      <c r="T93" s="51"/>
      <c r="U93" s="51"/>
      <c r="V93" s="36"/>
      <c r="W93" s="36"/>
      <c r="X93" s="36"/>
      <c r="Y93" s="36"/>
      <c r="Z93" s="36"/>
      <c r="AA93" s="36"/>
      <c r="AB93" s="36"/>
      <c r="AC93" s="36"/>
    </row>
    <row r="94" spans="1:29" ht="15.6" x14ac:dyDescent="0.3">
      <c r="A94" s="19" t="s">
        <v>213</v>
      </c>
    </row>
    <row r="95" spans="1:29" ht="15.6" x14ac:dyDescent="0.3">
      <c r="A95" s="19" t="s">
        <v>284</v>
      </c>
    </row>
    <row r="96" spans="1:29" ht="15.6" x14ac:dyDescent="0.3">
      <c r="A96" s="19" t="s">
        <v>285</v>
      </c>
    </row>
    <row r="97" spans="1:1" ht="15.6" x14ac:dyDescent="0.3">
      <c r="A97" s="19" t="s">
        <v>258</v>
      </c>
    </row>
    <row r="98" spans="1:1" ht="15.6" x14ac:dyDescent="0.3">
      <c r="A98" s="98" t="s">
        <v>255</v>
      </c>
    </row>
    <row r="99" spans="1:1" ht="15.6" x14ac:dyDescent="0.3">
      <c r="A99" s="98" t="s">
        <v>257</v>
      </c>
    </row>
    <row r="100" spans="1:1" ht="15.6" x14ac:dyDescent="0.3">
      <c r="A100" s="99" t="s">
        <v>256</v>
      </c>
    </row>
    <row r="101" spans="1:1" ht="15.6" x14ac:dyDescent="0.3">
      <c r="A101" s="99" t="s">
        <v>247</v>
      </c>
    </row>
    <row r="102" spans="1:1" ht="15.6" x14ac:dyDescent="0.3">
      <c r="A102" s="99" t="s">
        <v>246</v>
      </c>
    </row>
    <row r="103" spans="1:1" ht="15.6" x14ac:dyDescent="0.3">
      <c r="A103" s="98" t="s">
        <v>259</v>
      </c>
    </row>
    <row r="104" spans="1:1" ht="15.6" x14ac:dyDescent="0.3">
      <c r="A104" s="99" t="s">
        <v>460</v>
      </c>
    </row>
    <row r="105" spans="1:1" ht="15.6" x14ac:dyDescent="0.3">
      <c r="A105" s="99"/>
    </row>
    <row r="106" spans="1:1" ht="15.6" x14ac:dyDescent="0.3">
      <c r="A106" s="19" t="s">
        <v>214</v>
      </c>
    </row>
    <row r="107" spans="1:1" ht="15.6" x14ac:dyDescent="0.3">
      <c r="A107" s="19" t="s">
        <v>244</v>
      </c>
    </row>
    <row r="108" spans="1:1" ht="15.6" x14ac:dyDescent="0.3">
      <c r="A108" s="1" t="s">
        <v>260</v>
      </c>
    </row>
    <row r="109" spans="1:1" ht="15.6" x14ac:dyDescent="0.3">
      <c r="A109" s="1" t="s">
        <v>261</v>
      </c>
    </row>
    <row r="110" spans="1:1" ht="15.6" x14ac:dyDescent="0.3">
      <c r="A110" s="1" t="s">
        <v>262</v>
      </c>
    </row>
    <row r="111" spans="1:1" ht="15.6" x14ac:dyDescent="0.3">
      <c r="A111" s="1" t="s">
        <v>263</v>
      </c>
    </row>
    <row r="112" spans="1:1" ht="15.6" x14ac:dyDescent="0.3">
      <c r="A112" s="19" t="s">
        <v>286</v>
      </c>
    </row>
    <row r="113" spans="1:1" ht="15.6" x14ac:dyDescent="0.3">
      <c r="A113" s="19" t="s">
        <v>287</v>
      </c>
    </row>
    <row r="114" spans="1:1" ht="15.6" x14ac:dyDescent="0.3">
      <c r="A114" s="19" t="s">
        <v>245</v>
      </c>
    </row>
    <row r="115" spans="1:1" ht="15.6" x14ac:dyDescent="0.3">
      <c r="A115" s="19" t="s">
        <v>288</v>
      </c>
    </row>
    <row r="116" spans="1:1" ht="15.6" x14ac:dyDescent="0.3">
      <c r="A116" s="19" t="s">
        <v>289</v>
      </c>
    </row>
    <row r="117" spans="1:1" ht="15.6" x14ac:dyDescent="0.3">
      <c r="A117" s="35" t="s">
        <v>290</v>
      </c>
    </row>
    <row r="118" spans="1:1" ht="15.6" x14ac:dyDescent="0.3">
      <c r="A118" s="1" t="s">
        <v>291</v>
      </c>
    </row>
    <row r="119" spans="1:1" ht="15.6" x14ac:dyDescent="0.3">
      <c r="A119" s="1" t="s">
        <v>293</v>
      </c>
    </row>
    <row r="120" spans="1:1" ht="15.6" x14ac:dyDescent="0.3">
      <c r="A120" s="1" t="s">
        <v>294</v>
      </c>
    </row>
    <row r="121" spans="1:1" ht="15.6" x14ac:dyDescent="0.3">
      <c r="A121" s="19" t="s">
        <v>292</v>
      </c>
    </row>
    <row r="123" spans="1:1" ht="15.6" x14ac:dyDescent="0.3">
      <c r="A123" s="19" t="s">
        <v>297</v>
      </c>
    </row>
    <row r="124" spans="1:1" ht="15.6" x14ac:dyDescent="0.3">
      <c r="A124" s="1" t="s">
        <v>298</v>
      </c>
    </row>
    <row r="125" spans="1:1" ht="15.6" x14ac:dyDescent="0.3">
      <c r="A125" s="19" t="s">
        <v>299</v>
      </c>
    </row>
  </sheetData>
  <mergeCells count="3">
    <mergeCell ref="B3:C3"/>
    <mergeCell ref="D3:E3"/>
    <mergeCell ref="F3:G3"/>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pane xSplit="1" topLeftCell="B1" activePane="topRight" state="frozen"/>
      <selection pane="topRight"/>
    </sheetView>
  </sheetViews>
  <sheetFormatPr baseColWidth="10" defaultRowHeight="14.4" x14ac:dyDescent="0.3"/>
  <cols>
    <col min="1" max="1" width="23.44140625" customWidth="1"/>
    <col min="2" max="2" width="14.33203125" customWidth="1"/>
    <col min="3" max="3" width="9.109375" customWidth="1"/>
    <col min="4" max="4" width="13.44140625" customWidth="1"/>
    <col min="5" max="5" width="9.77734375" customWidth="1"/>
    <col min="6" max="6" width="18.109375" customWidth="1"/>
    <col min="7" max="7" width="13.77734375" customWidth="1"/>
    <col min="8" max="8" width="13.44140625" customWidth="1"/>
    <col min="9" max="10" width="12.109375" bestFit="1" customWidth="1"/>
    <col min="11" max="11" width="14.44140625" customWidth="1"/>
    <col min="12" max="12" width="13.6640625" customWidth="1"/>
    <col min="13" max="13" width="14.109375" customWidth="1"/>
    <col min="14" max="20" width="12.77734375" customWidth="1"/>
    <col min="21" max="21" width="14.77734375" customWidth="1"/>
    <col min="22" max="28" width="12.77734375" customWidth="1"/>
    <col min="29" max="29" width="12.109375" bestFit="1" customWidth="1"/>
  </cols>
  <sheetData>
    <row r="1" spans="1:8" ht="15.6" x14ac:dyDescent="0.3">
      <c r="A1" s="1" t="s">
        <v>473</v>
      </c>
      <c r="B1" s="19" t="s">
        <v>475</v>
      </c>
      <c r="C1" s="19"/>
      <c r="D1" s="19"/>
      <c r="E1" s="19"/>
      <c r="F1" s="19"/>
      <c r="G1" s="19"/>
      <c r="H1" s="1"/>
    </row>
    <row r="2" spans="1:8" ht="18.45" customHeight="1" thickBot="1" x14ac:dyDescent="0.35">
      <c r="A2" s="1" t="s">
        <v>301</v>
      </c>
      <c r="F2" s="1"/>
      <c r="G2" s="1"/>
    </row>
    <row r="3" spans="1:8" ht="34.950000000000003" customHeight="1" thickTop="1" x14ac:dyDescent="0.3">
      <c r="A3" s="29"/>
      <c r="B3" s="394" t="s">
        <v>40</v>
      </c>
      <c r="C3" s="394"/>
      <c r="D3" s="395" t="s">
        <v>36</v>
      </c>
      <c r="E3" s="395"/>
      <c r="F3" s="391" t="s">
        <v>35</v>
      </c>
      <c r="G3" s="393"/>
    </row>
    <row r="4" spans="1:8" ht="15.6" x14ac:dyDescent="0.3">
      <c r="A4" s="50" t="s">
        <v>37</v>
      </c>
      <c r="B4" s="58">
        <v>316128721</v>
      </c>
      <c r="C4" s="58"/>
      <c r="D4" s="58">
        <v>69168521</v>
      </c>
      <c r="E4" s="58"/>
      <c r="F4" s="100">
        <v>246960200</v>
      </c>
      <c r="G4" s="37"/>
    </row>
    <row r="5" spans="1:8" ht="16.2" thickBot="1" x14ac:dyDescent="0.35">
      <c r="A5" s="65"/>
      <c r="B5" s="57">
        <f>B4/$B4</f>
        <v>1</v>
      </c>
      <c r="C5" s="57"/>
      <c r="D5" s="57">
        <f>D4/$B4</f>
        <v>0.2187985981824157</v>
      </c>
      <c r="E5" s="57"/>
      <c r="F5" s="101">
        <f>F4/$B4</f>
        <v>0.78120140181758435</v>
      </c>
      <c r="G5" s="86"/>
    </row>
    <row r="6" spans="1:8" ht="16.2" thickTop="1" x14ac:dyDescent="0.3">
      <c r="A6" s="30" t="s">
        <v>41</v>
      </c>
      <c r="B6" s="32">
        <v>216734586</v>
      </c>
      <c r="C6" s="33">
        <f t="shared" ref="C6:C11" si="0">B6/B$4</f>
        <v>0.68558967155660622</v>
      </c>
      <c r="D6" s="32"/>
      <c r="E6" s="33"/>
      <c r="F6" s="32"/>
      <c r="G6" s="33"/>
      <c r="H6" s="1"/>
    </row>
    <row r="7" spans="1:8" ht="15.6" x14ac:dyDescent="0.3">
      <c r="A7" s="34" t="s">
        <v>42</v>
      </c>
      <c r="B7" s="36">
        <v>68735233</v>
      </c>
      <c r="C7" s="37">
        <f t="shared" si="0"/>
        <v>0.21742799193496878</v>
      </c>
      <c r="D7" s="36"/>
      <c r="E7" s="37"/>
      <c r="F7" s="36"/>
      <c r="G7" s="37"/>
      <c r="H7" s="1"/>
    </row>
    <row r="8" spans="1:8" ht="15.6" x14ac:dyDescent="0.3">
      <c r="A8" s="34" t="s">
        <v>43</v>
      </c>
      <c r="B8" s="36">
        <f>1178596+11571568</f>
        <v>12750164</v>
      </c>
      <c r="C8" s="37">
        <f t="shared" si="0"/>
        <v>4.0332191139317582E-2</v>
      </c>
      <c r="D8" s="36"/>
      <c r="E8" s="37"/>
      <c r="F8" s="36"/>
      <c r="G8" s="37"/>
      <c r="H8" s="1"/>
    </row>
    <row r="9" spans="1:8" ht="15.6" x14ac:dyDescent="0.3">
      <c r="A9" s="34" t="s">
        <v>56</v>
      </c>
      <c r="B9" s="36">
        <v>3238803</v>
      </c>
      <c r="C9" s="37">
        <f t="shared" si="0"/>
        <v>1.0245203250608792E-2</v>
      </c>
      <c r="D9" s="36"/>
      <c r="E9" s="37"/>
      <c r="F9" s="36"/>
      <c r="G9" s="37"/>
    </row>
    <row r="10" spans="1:8" ht="15.6" x14ac:dyDescent="0.3">
      <c r="A10" s="34" t="s">
        <v>44</v>
      </c>
      <c r="B10" s="36">
        <v>4754064</v>
      </c>
      <c r="C10" s="37">
        <f t="shared" si="0"/>
        <v>1.5038380520952414E-2</v>
      </c>
      <c r="D10" s="36"/>
      <c r="E10" s="37"/>
      <c r="F10" s="36"/>
      <c r="G10" s="37"/>
    </row>
    <row r="11" spans="1:8" ht="16.2" thickBot="1" x14ac:dyDescent="0.35">
      <c r="A11" s="42" t="s">
        <v>162</v>
      </c>
      <c r="B11" s="44">
        <f>B4-B6-B7-B8-B9-B10</f>
        <v>9915871</v>
      </c>
      <c r="C11" s="45">
        <f t="shared" si="0"/>
        <v>3.1366561597546208E-2</v>
      </c>
      <c r="D11" s="44"/>
      <c r="E11" s="45"/>
      <c r="F11" s="44"/>
      <c r="G11" s="45"/>
    </row>
    <row r="12" spans="1:8" ht="16.8" thickTop="1" thickBot="1" x14ac:dyDescent="0.35">
      <c r="A12" s="1"/>
      <c r="B12" s="83"/>
      <c r="C12" s="1"/>
    </row>
    <row r="13" spans="1:8" ht="16.2" thickTop="1" x14ac:dyDescent="0.3">
      <c r="A13" s="67"/>
      <c r="B13" s="48" t="s">
        <v>40</v>
      </c>
      <c r="C13" s="89"/>
      <c r="D13" s="84"/>
    </row>
    <row r="14" spans="1:8" ht="15.6" x14ac:dyDescent="0.3">
      <c r="A14" s="39"/>
      <c r="B14" s="58">
        <f>B4</f>
        <v>316128721</v>
      </c>
      <c r="C14" s="35"/>
      <c r="D14" s="69"/>
    </row>
    <row r="15" spans="1:8" ht="16.2" thickBot="1" x14ac:dyDescent="0.35">
      <c r="A15" s="127"/>
      <c r="B15" s="54">
        <f>B14/$B14</f>
        <v>1</v>
      </c>
      <c r="C15" s="59"/>
      <c r="D15" s="86"/>
    </row>
    <row r="16" spans="1:8" ht="16.2" thickTop="1" x14ac:dyDescent="0.3">
      <c r="A16" s="105" t="s">
        <v>164</v>
      </c>
      <c r="B16" s="48">
        <f>B6+B8+B9+B10+B11-B21</f>
        <v>247208054</v>
      </c>
      <c r="C16" s="49">
        <f t="shared" ref="C16:C21" si="1">B16/B$4</f>
        <v>0.78198543054871628</v>
      </c>
      <c r="D16" s="33">
        <f>B16/B$16</f>
        <v>1</v>
      </c>
    </row>
    <row r="17" spans="1:7" ht="15.6" x14ac:dyDescent="0.3">
      <c r="A17" s="35" t="s">
        <v>61</v>
      </c>
      <c r="B17" s="36">
        <v>14254991</v>
      </c>
      <c r="C17" s="51">
        <f t="shared" si="1"/>
        <v>4.5092362866960133E-2</v>
      </c>
      <c r="D17" s="37">
        <f t="shared" ref="D17:D19" si="2">B17/B$16</f>
        <v>5.7663942453913736E-2</v>
      </c>
    </row>
    <row r="18" spans="1:7" ht="15.6" x14ac:dyDescent="0.3">
      <c r="A18" s="35" t="s">
        <v>62</v>
      </c>
      <c r="B18" s="36">
        <v>9772518</v>
      </c>
      <c r="C18" s="51">
        <f t="shared" si="1"/>
        <v>3.0913097579640669E-2</v>
      </c>
      <c r="D18" s="37">
        <f t="shared" si="2"/>
        <v>3.9531551832045084E-2</v>
      </c>
    </row>
    <row r="19" spans="1:7" ht="15.6" x14ac:dyDescent="0.3">
      <c r="A19" s="35" t="s">
        <v>63</v>
      </c>
      <c r="B19" s="36">
        <f>B16-B17-B18</f>
        <v>223180545</v>
      </c>
      <c r="C19" s="51">
        <f t="shared" si="1"/>
        <v>0.70597997010211544</v>
      </c>
      <c r="D19" s="37">
        <f t="shared" si="2"/>
        <v>0.90280450571404114</v>
      </c>
    </row>
    <row r="20" spans="1:7" ht="15.6" x14ac:dyDescent="0.3">
      <c r="A20" s="106" t="s">
        <v>42</v>
      </c>
      <c r="B20" s="58">
        <f>B7</f>
        <v>68735233</v>
      </c>
      <c r="C20" s="56">
        <f t="shared" si="1"/>
        <v>0.21742799193496878</v>
      </c>
      <c r="D20" s="69"/>
    </row>
    <row r="21" spans="1:7" ht="16.2" thickBot="1" x14ac:dyDescent="0.35">
      <c r="A21" s="107" t="s">
        <v>166</v>
      </c>
      <c r="B21" s="59">
        <v>185434</v>
      </c>
      <c r="C21" s="57">
        <f t="shared" si="1"/>
        <v>5.8657751631494438E-4</v>
      </c>
      <c r="D21" s="86"/>
    </row>
    <row r="22" spans="1:7" ht="16.8" thickTop="1" thickBot="1" x14ac:dyDescent="0.35">
      <c r="A22" s="34"/>
      <c r="B22" s="36"/>
      <c r="C22" s="51"/>
    </row>
    <row r="23" spans="1:7" ht="16.2" thickTop="1" x14ac:dyDescent="0.3">
      <c r="A23" s="67" t="s">
        <v>204</v>
      </c>
      <c r="B23" s="32"/>
      <c r="C23" s="90"/>
      <c r="D23" s="108"/>
    </row>
    <row r="24" spans="1:7" ht="15.6" x14ac:dyDescent="0.3">
      <c r="A24" s="39" t="s">
        <v>167</v>
      </c>
      <c r="B24" s="36">
        <v>6506334</v>
      </c>
      <c r="C24" s="51">
        <f t="shared" ref="C24:C27" si="3">B24/B$4</f>
        <v>2.0581280876406038E-2</v>
      </c>
      <c r="D24" s="37">
        <f t="shared" ref="D24:D27" si="4">B24/B$16</f>
        <v>2.6319263853757775E-2</v>
      </c>
    </row>
    <row r="25" spans="1:7" ht="15.6" x14ac:dyDescent="0.3">
      <c r="A25" s="39" t="s">
        <v>194</v>
      </c>
      <c r="B25" s="36">
        <v>2804464</v>
      </c>
      <c r="C25" s="51">
        <f t="shared" si="3"/>
        <v>8.8712724080517828E-3</v>
      </c>
      <c r="D25" s="37">
        <f t="shared" si="4"/>
        <v>1.1344549478149285E-2</v>
      </c>
    </row>
    <row r="26" spans="1:7" ht="15.6" x14ac:dyDescent="0.3">
      <c r="A26" s="39" t="s">
        <v>195</v>
      </c>
      <c r="B26" s="36">
        <v>532355</v>
      </c>
      <c r="C26" s="51">
        <f t="shared" si="3"/>
        <v>1.6839817600755105E-3</v>
      </c>
      <c r="D26" s="37">
        <f t="shared" si="4"/>
        <v>2.1534694820258566E-3</v>
      </c>
    </row>
    <row r="27" spans="1:7" ht="16.2" thickBot="1" x14ac:dyDescent="0.35">
      <c r="A27" s="85" t="s">
        <v>170</v>
      </c>
      <c r="B27" s="44">
        <v>2312235</v>
      </c>
      <c r="C27" s="54">
        <f t="shared" si="3"/>
        <v>7.3142199566233026E-3</v>
      </c>
      <c r="D27" s="45">
        <f t="shared" si="4"/>
        <v>9.3533967141701622E-3</v>
      </c>
    </row>
    <row r="28" spans="1:7" ht="16.2" thickTop="1" x14ac:dyDescent="0.3">
      <c r="A28" s="34"/>
      <c r="B28" s="36"/>
      <c r="C28" s="51"/>
      <c r="F28" s="21"/>
      <c r="G28" s="24"/>
    </row>
    <row r="29" spans="1:7" ht="15.6" x14ac:dyDescent="0.3">
      <c r="A29" s="99"/>
    </row>
    <row r="30" spans="1:7" ht="15.6" x14ac:dyDescent="0.3">
      <c r="A30" s="19" t="s">
        <v>477</v>
      </c>
    </row>
    <row r="31" spans="1:7" ht="15.6" x14ac:dyDescent="0.3">
      <c r="A31" s="19" t="s">
        <v>478</v>
      </c>
    </row>
    <row r="32" spans="1:7" ht="15.6" x14ac:dyDescent="0.3">
      <c r="A32" s="19" t="s">
        <v>476</v>
      </c>
    </row>
  </sheetData>
  <mergeCells count="3">
    <mergeCell ref="B3:C3"/>
    <mergeCell ref="D3:E3"/>
    <mergeCell ref="F3:G3"/>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pane xSplit="1" topLeftCell="B1" activePane="topRight" state="frozen"/>
      <selection pane="topRight"/>
    </sheetView>
  </sheetViews>
  <sheetFormatPr baseColWidth="10" defaultRowHeight="14.4" x14ac:dyDescent="0.3"/>
  <cols>
    <col min="1" max="1" width="23.44140625" customWidth="1"/>
    <col min="2" max="2" width="14.33203125" customWidth="1"/>
    <col min="3" max="3" width="9.109375" customWidth="1"/>
    <col min="4" max="4" width="13.44140625" customWidth="1"/>
    <col min="5" max="5" width="9.77734375" customWidth="1"/>
    <col min="6" max="6" width="18.109375" customWidth="1"/>
    <col min="7" max="7" width="13.77734375" customWidth="1"/>
    <col min="8" max="8" width="13.44140625" customWidth="1"/>
    <col min="9" max="10" width="12.109375" bestFit="1" customWidth="1"/>
    <col min="11" max="11" width="14.44140625" customWidth="1"/>
    <col min="12" max="12" width="13.6640625" customWidth="1"/>
    <col min="13" max="13" width="14.109375" customWidth="1"/>
    <col min="14" max="20" width="12.77734375" customWidth="1"/>
    <col min="21" max="21" width="14.77734375" customWidth="1"/>
    <col min="22" max="28" width="12.77734375" customWidth="1"/>
    <col min="29" max="29" width="12.109375" bestFit="1" customWidth="1"/>
  </cols>
  <sheetData>
    <row r="1" spans="1:8" ht="15.6" x14ac:dyDescent="0.3">
      <c r="A1" s="1" t="s">
        <v>473</v>
      </c>
      <c r="B1" s="19" t="s">
        <v>479</v>
      </c>
      <c r="C1" s="19"/>
      <c r="D1" s="19"/>
      <c r="E1" s="19"/>
      <c r="F1" s="19"/>
      <c r="G1" s="19"/>
      <c r="H1" s="1"/>
    </row>
    <row r="2" spans="1:8" ht="18.45" customHeight="1" thickBot="1" x14ac:dyDescent="0.35">
      <c r="A2" s="1" t="s">
        <v>301</v>
      </c>
      <c r="F2" s="1"/>
      <c r="G2" s="1"/>
    </row>
    <row r="3" spans="1:8" ht="34.950000000000003" customHeight="1" thickTop="1" x14ac:dyDescent="0.3">
      <c r="A3" s="29"/>
      <c r="B3" s="394" t="s">
        <v>40</v>
      </c>
      <c r="C3" s="394"/>
      <c r="D3" s="395" t="s">
        <v>36</v>
      </c>
      <c r="E3" s="395"/>
      <c r="F3" s="391" t="s">
        <v>35</v>
      </c>
      <c r="G3" s="393"/>
    </row>
    <row r="4" spans="1:8" ht="15.6" x14ac:dyDescent="0.3">
      <c r="A4" s="50" t="s">
        <v>37</v>
      </c>
      <c r="B4" s="58">
        <v>350529557</v>
      </c>
      <c r="C4" s="58"/>
      <c r="D4" s="58">
        <v>79088008</v>
      </c>
      <c r="E4" s="58"/>
      <c r="F4" s="100">
        <v>271431549</v>
      </c>
      <c r="G4" s="37"/>
    </row>
    <row r="5" spans="1:8" ht="16.2" thickBot="1" x14ac:dyDescent="0.35">
      <c r="A5" s="65"/>
      <c r="B5" s="57">
        <f>B4/$B4</f>
        <v>1</v>
      </c>
      <c r="C5" s="57"/>
      <c r="D5" s="57">
        <f>D4/$B4</f>
        <v>0.2256243629691975</v>
      </c>
      <c r="E5" s="57"/>
      <c r="F5" s="101">
        <f>F4/$B4</f>
        <v>0.77434710876606616</v>
      </c>
      <c r="G5" s="86"/>
    </row>
    <row r="6" spans="1:8" ht="16.2" thickTop="1" x14ac:dyDescent="0.3">
      <c r="A6" s="30" t="s">
        <v>41</v>
      </c>
      <c r="B6" s="32">
        <v>229195140</v>
      </c>
      <c r="C6" s="33">
        <f t="shared" ref="C6:C11" si="0">B6/B$4</f>
        <v>0.65385396301972898</v>
      </c>
      <c r="D6" s="32"/>
      <c r="E6" s="33"/>
      <c r="F6" s="32"/>
      <c r="G6" s="33"/>
      <c r="H6" s="1"/>
    </row>
    <row r="7" spans="1:8" ht="15.6" x14ac:dyDescent="0.3">
      <c r="A7" s="34" t="s">
        <v>42</v>
      </c>
      <c r="B7" s="36">
        <v>77677545</v>
      </c>
      <c r="C7" s="37">
        <f t="shared" si="0"/>
        <v>0.22160055678271948</v>
      </c>
      <c r="D7" s="36"/>
      <c r="E7" s="37"/>
      <c r="F7" s="36"/>
      <c r="G7" s="37"/>
      <c r="H7" s="1"/>
    </row>
    <row r="8" spans="1:8" ht="15.6" x14ac:dyDescent="0.3">
      <c r="A8" s="34" t="s">
        <v>43</v>
      </c>
      <c r="B8" s="36">
        <f>1252105+12786806</f>
        <v>14038911</v>
      </c>
      <c r="C8" s="37">
        <f t="shared" si="0"/>
        <v>4.0050576961759607E-2</v>
      </c>
      <c r="D8" s="36"/>
      <c r="E8" s="37"/>
      <c r="F8" s="36"/>
      <c r="G8" s="37"/>
      <c r="H8" s="1"/>
    </row>
    <row r="9" spans="1:8" ht="15.6" x14ac:dyDescent="0.3">
      <c r="A9" s="34" t="s">
        <v>56</v>
      </c>
      <c r="B9" s="36">
        <v>4335771</v>
      </c>
      <c r="C9" s="37">
        <f t="shared" si="0"/>
        <v>1.2369202292404688E-2</v>
      </c>
      <c r="D9" s="36"/>
      <c r="E9" s="37"/>
      <c r="F9" s="36"/>
      <c r="G9" s="37"/>
    </row>
    <row r="10" spans="1:8" ht="15.6" x14ac:dyDescent="0.3">
      <c r="A10" s="34" t="s">
        <v>44</v>
      </c>
      <c r="B10" s="36">
        <v>6296763</v>
      </c>
      <c r="C10" s="37">
        <f t="shared" si="0"/>
        <v>1.7963572184584709E-2</v>
      </c>
      <c r="D10" s="36"/>
      <c r="E10" s="37"/>
      <c r="F10" s="36"/>
      <c r="G10" s="37"/>
    </row>
    <row r="11" spans="1:8" ht="16.2" thickBot="1" x14ac:dyDescent="0.35">
      <c r="A11" s="42" t="s">
        <v>162</v>
      </c>
      <c r="B11" s="44">
        <f>B4-B6-B7-B8-B9-B10</f>
        <v>18985427</v>
      </c>
      <c r="C11" s="45">
        <f t="shared" si="0"/>
        <v>5.4162128758802497E-2</v>
      </c>
      <c r="D11" s="44"/>
      <c r="E11" s="45"/>
      <c r="F11" s="44"/>
      <c r="G11" s="45"/>
    </row>
    <row r="12" spans="1:8" ht="16.8" thickTop="1" thickBot="1" x14ac:dyDescent="0.35">
      <c r="A12" s="1"/>
      <c r="B12" s="83"/>
      <c r="C12" s="1"/>
    </row>
    <row r="13" spans="1:8" ht="16.2" thickTop="1" x14ac:dyDescent="0.3">
      <c r="A13" s="67"/>
      <c r="B13" s="48" t="s">
        <v>40</v>
      </c>
      <c r="C13" s="89"/>
      <c r="D13" s="84"/>
    </row>
    <row r="14" spans="1:8" ht="15.6" x14ac:dyDescent="0.3">
      <c r="A14" s="39"/>
      <c r="B14" s="58">
        <f>B4</f>
        <v>350529557</v>
      </c>
      <c r="C14" s="35"/>
      <c r="D14" s="69"/>
    </row>
    <row r="15" spans="1:8" ht="16.2" thickBot="1" x14ac:dyDescent="0.35">
      <c r="A15" s="127"/>
      <c r="B15" s="54">
        <f>B14/$B14</f>
        <v>1</v>
      </c>
      <c r="C15" s="59"/>
      <c r="D15" s="86"/>
    </row>
    <row r="16" spans="1:8" ht="16.2" thickTop="1" x14ac:dyDescent="0.3">
      <c r="A16" s="105" t="s">
        <v>164</v>
      </c>
      <c r="B16" s="48">
        <f>B6+B8+B9+B10+B11-B21</f>
        <v>272666578</v>
      </c>
      <c r="C16" s="49">
        <f t="shared" ref="C16:C21" si="1">B16/B$4</f>
        <v>0.77787043219296914</v>
      </c>
      <c r="D16" s="33">
        <f>B16/B$16</f>
        <v>1</v>
      </c>
    </row>
    <row r="17" spans="1:7" ht="15.6" x14ac:dyDescent="0.3">
      <c r="A17" s="35" t="s">
        <v>61</v>
      </c>
      <c r="B17" s="36">
        <v>15207277</v>
      </c>
      <c r="C17" s="51">
        <f t="shared" si="1"/>
        <v>4.3383722417450803E-2</v>
      </c>
      <c r="D17" s="37">
        <f t="shared" ref="D17:D19" si="2">B17/B$16</f>
        <v>5.5772427671718534E-2</v>
      </c>
    </row>
    <row r="18" spans="1:7" ht="15.6" x14ac:dyDescent="0.3">
      <c r="A18" s="35" t="s">
        <v>62</v>
      </c>
      <c r="B18" s="36">
        <v>10743091</v>
      </c>
      <c r="C18" s="51">
        <f t="shared" si="1"/>
        <v>3.06481744134347E-2</v>
      </c>
      <c r="D18" s="37">
        <f t="shared" si="2"/>
        <v>3.9400102054311915E-2</v>
      </c>
    </row>
    <row r="19" spans="1:7" ht="15.6" x14ac:dyDescent="0.3">
      <c r="A19" s="35" t="s">
        <v>63</v>
      </c>
      <c r="B19" s="36">
        <f>B16-B17-B18</f>
        <v>246716210</v>
      </c>
      <c r="C19" s="51">
        <f t="shared" si="1"/>
        <v>0.70383853536208363</v>
      </c>
      <c r="D19" s="37">
        <f t="shared" si="2"/>
        <v>0.90482747027396959</v>
      </c>
    </row>
    <row r="20" spans="1:7" ht="15.6" x14ac:dyDescent="0.3">
      <c r="A20" s="106" t="s">
        <v>42</v>
      </c>
      <c r="B20" s="58">
        <f>B7</f>
        <v>77677545</v>
      </c>
      <c r="C20" s="56">
        <f t="shared" si="1"/>
        <v>0.22160055678271948</v>
      </c>
      <c r="D20" s="69"/>
    </row>
    <row r="21" spans="1:7" ht="16.2" thickBot="1" x14ac:dyDescent="0.35">
      <c r="A21" s="107" t="s">
        <v>166</v>
      </c>
      <c r="B21" s="59">
        <v>185434</v>
      </c>
      <c r="C21" s="57">
        <f t="shared" si="1"/>
        <v>5.2901102431142486E-4</v>
      </c>
      <c r="D21" s="86"/>
    </row>
    <row r="22" spans="1:7" ht="16.8" thickTop="1" thickBot="1" x14ac:dyDescent="0.35">
      <c r="A22" s="34"/>
      <c r="B22" s="36"/>
      <c r="C22" s="51"/>
    </row>
    <row r="23" spans="1:7" ht="16.2" thickTop="1" x14ac:dyDescent="0.3">
      <c r="A23" s="67" t="s">
        <v>204</v>
      </c>
      <c r="B23" s="32"/>
      <c r="C23" s="90"/>
      <c r="D23" s="108"/>
    </row>
    <row r="24" spans="1:7" ht="15.6" x14ac:dyDescent="0.3">
      <c r="A24" s="39" t="s">
        <v>167</v>
      </c>
      <c r="B24" s="36">
        <v>6113061</v>
      </c>
      <c r="C24" s="51">
        <f t="shared" ref="C24:C27" si="3">B24/B$4</f>
        <v>1.7439502255725613E-2</v>
      </c>
      <c r="D24" s="37">
        <f t="shared" ref="D24:D27" si="4">B24/B$16</f>
        <v>2.2419546410268148E-2</v>
      </c>
    </row>
    <row r="25" spans="1:7" ht="15.6" x14ac:dyDescent="0.3">
      <c r="A25" s="39" t="s">
        <v>194</v>
      </c>
      <c r="B25" s="36">
        <v>5176353</v>
      </c>
      <c r="C25" s="51">
        <f t="shared" si="3"/>
        <v>1.476723687526299E-2</v>
      </c>
      <c r="D25" s="37">
        <f t="shared" si="4"/>
        <v>1.8984185879943084E-2</v>
      </c>
    </row>
    <row r="26" spans="1:7" ht="15.6" x14ac:dyDescent="0.3">
      <c r="A26" s="39" t="s">
        <v>195</v>
      </c>
      <c r="B26" s="36">
        <v>532355</v>
      </c>
      <c r="C26" s="51">
        <f t="shared" si="3"/>
        <v>1.5187164373702158E-3</v>
      </c>
      <c r="D26" s="37">
        <f t="shared" si="4"/>
        <v>1.9524028353779391E-3</v>
      </c>
    </row>
    <row r="27" spans="1:7" ht="16.2" thickBot="1" x14ac:dyDescent="0.35">
      <c r="A27" s="85" t="s">
        <v>170</v>
      </c>
      <c r="B27" s="44">
        <v>2946228</v>
      </c>
      <c r="C27" s="54">
        <f t="shared" si="3"/>
        <v>8.4050772357550443E-3</v>
      </c>
      <c r="D27" s="45">
        <f t="shared" si="4"/>
        <v>1.0805240677498803E-2</v>
      </c>
    </row>
    <row r="28" spans="1:7" ht="16.2" thickTop="1" x14ac:dyDescent="0.3">
      <c r="A28" s="34"/>
      <c r="B28" s="36"/>
      <c r="C28" s="51"/>
      <c r="F28" s="21"/>
      <c r="G28" s="24"/>
    </row>
    <row r="29" spans="1:7" ht="15.6" x14ac:dyDescent="0.3">
      <c r="A29" s="99"/>
    </row>
    <row r="30" spans="1:7" ht="15.6" x14ac:dyDescent="0.3">
      <c r="A30" s="19" t="s">
        <v>480</v>
      </c>
    </row>
    <row r="31" spans="1:7" ht="15.6" x14ac:dyDescent="0.3">
      <c r="A31" s="19" t="s">
        <v>481</v>
      </c>
    </row>
    <row r="32" spans="1:7" ht="15.6" x14ac:dyDescent="0.3">
      <c r="A32" s="19" t="s">
        <v>482</v>
      </c>
    </row>
  </sheetData>
  <mergeCells count="3">
    <mergeCell ref="B3:C3"/>
    <mergeCell ref="D3:E3"/>
    <mergeCell ref="F3:G3"/>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U158"/>
  <sheetViews>
    <sheetView workbookViewId="0">
      <pane ySplit="4" topLeftCell="A5" activePane="bottomLeft" state="frozen"/>
      <selection pane="bottomLeft"/>
    </sheetView>
  </sheetViews>
  <sheetFormatPr baseColWidth="10" defaultColWidth="8.77734375" defaultRowHeight="14.4" x14ac:dyDescent="0.3"/>
  <cols>
    <col min="1" max="1" width="27.109375" customWidth="1"/>
    <col min="3" max="11" width="8.77734375" style="22"/>
    <col min="12" max="12" width="11.44140625" style="22" bestFit="1" customWidth="1"/>
  </cols>
  <sheetData>
    <row r="1" spans="1:21" ht="15.6" x14ac:dyDescent="0.3">
      <c r="A1" s="19" t="s">
        <v>473</v>
      </c>
      <c r="B1" s="19" t="s">
        <v>526</v>
      </c>
    </row>
    <row r="2" spans="1:21" ht="15.6" x14ac:dyDescent="0.3">
      <c r="A2" s="1" t="s">
        <v>301</v>
      </c>
    </row>
    <row r="3" spans="1:21" ht="15" thickBot="1" x14ac:dyDescent="0.35">
      <c r="L3" s="373" t="s">
        <v>523</v>
      </c>
    </row>
    <row r="4" spans="1:21" s="316" customFormat="1" ht="28.5" customHeight="1" thickBot="1" x14ac:dyDescent="0.35">
      <c r="A4" s="360"/>
      <c r="B4" s="334" t="s">
        <v>483</v>
      </c>
      <c r="C4" s="334" t="s">
        <v>484</v>
      </c>
      <c r="D4" s="334" t="s">
        <v>485</v>
      </c>
      <c r="E4" s="334" t="s">
        <v>486</v>
      </c>
      <c r="F4" s="334" t="s">
        <v>487</v>
      </c>
      <c r="G4" s="334" t="s">
        <v>488</v>
      </c>
      <c r="H4" s="334" t="s">
        <v>489</v>
      </c>
      <c r="I4" s="334" t="s">
        <v>490</v>
      </c>
      <c r="J4" s="334" t="s">
        <v>491</v>
      </c>
      <c r="K4" s="335" t="s">
        <v>492</v>
      </c>
      <c r="L4" s="334" t="s">
        <v>483</v>
      </c>
      <c r="M4" s="334" t="s">
        <v>484</v>
      </c>
      <c r="N4" s="334" t="s">
        <v>485</v>
      </c>
      <c r="O4" s="334" t="s">
        <v>486</v>
      </c>
      <c r="P4" s="334" t="s">
        <v>487</v>
      </c>
      <c r="Q4" s="334" t="s">
        <v>488</v>
      </c>
      <c r="R4" s="334" t="s">
        <v>489</v>
      </c>
      <c r="S4" s="334" t="s">
        <v>490</v>
      </c>
      <c r="T4" s="334" t="s">
        <v>491</v>
      </c>
      <c r="U4" s="335" t="s">
        <v>492</v>
      </c>
    </row>
    <row r="5" spans="1:21" s="22" customFormat="1" ht="15.6" x14ac:dyDescent="0.3">
      <c r="A5" s="361" t="s">
        <v>493</v>
      </c>
      <c r="B5" s="362">
        <v>0.15223192652112635</v>
      </c>
      <c r="C5" s="363">
        <v>0.18110443582973168</v>
      </c>
      <c r="D5" s="363">
        <v>0.22076707049213301</v>
      </c>
      <c r="E5" s="363">
        <v>3.0584804889228077E-2</v>
      </c>
      <c r="F5" s="363">
        <v>0.23468071402307672</v>
      </c>
      <c r="G5" s="363">
        <v>0.29160502007861228</v>
      </c>
      <c r="H5" s="363">
        <v>0.26437171657847475</v>
      </c>
      <c r="I5" s="363">
        <v>0.26164678139124636</v>
      </c>
      <c r="J5" s="363">
        <v>0.23011115448628774</v>
      </c>
      <c r="K5" s="364">
        <v>0.38276042149314543</v>
      </c>
      <c r="L5" s="23"/>
    </row>
    <row r="6" spans="1:21" s="22" customFormat="1" ht="15.6" x14ac:dyDescent="0.3">
      <c r="A6" s="365" t="s">
        <v>494</v>
      </c>
      <c r="B6" s="366">
        <v>0.44724824559827109</v>
      </c>
      <c r="C6" s="367">
        <v>0.4109822809910591</v>
      </c>
      <c r="D6" s="367">
        <v>0.44350846913178721</v>
      </c>
      <c r="E6" s="367">
        <v>0.35236604121128839</v>
      </c>
      <c r="F6" s="367">
        <v>0.30856158289468377</v>
      </c>
      <c r="G6" s="367">
        <v>0.2612076550987098</v>
      </c>
      <c r="H6" s="367">
        <v>0.33512849812782342</v>
      </c>
      <c r="I6" s="367">
        <v>0.30567236403771492</v>
      </c>
      <c r="J6" s="367">
        <v>0.35775307267881801</v>
      </c>
      <c r="K6" s="368">
        <v>0.24712601088961705</v>
      </c>
      <c r="L6" s="23"/>
    </row>
    <row r="7" spans="1:21" s="22" customFormat="1" ht="15.6" x14ac:dyDescent="0.3">
      <c r="A7" s="365" t="s">
        <v>495</v>
      </c>
      <c r="B7" s="366">
        <v>0.23995760487054762</v>
      </c>
      <c r="C7" s="367">
        <v>0.21823070970849939</v>
      </c>
      <c r="D7" s="367">
        <v>0.1543024679916932</v>
      </c>
      <c r="E7" s="367">
        <v>8.5886731808609243E-2</v>
      </c>
      <c r="F7" s="367">
        <v>0.29441286591576105</v>
      </c>
      <c r="G7" s="367">
        <v>0.27006712965285934</v>
      </c>
      <c r="H7" s="367">
        <v>0.23509035000132944</v>
      </c>
      <c r="I7" s="367">
        <v>0.2458099339089484</v>
      </c>
      <c r="J7" s="367">
        <v>0.21826656860865418</v>
      </c>
      <c r="K7" s="368">
        <v>0.17483065038150108</v>
      </c>
      <c r="L7" s="23"/>
    </row>
    <row r="8" spans="1:21" s="22" customFormat="1" ht="15.6" x14ac:dyDescent="0.3">
      <c r="A8" s="365" t="s">
        <v>496</v>
      </c>
      <c r="B8" s="366">
        <v>0.13325676751768425</v>
      </c>
      <c r="C8" s="367">
        <v>0.15177527727235993</v>
      </c>
      <c r="D8" s="367">
        <v>0.14306816764563096</v>
      </c>
      <c r="E8" s="367">
        <v>0.4845616687800316</v>
      </c>
      <c r="F8" s="367">
        <v>9.5149935716767081E-2</v>
      </c>
      <c r="G8" s="367">
        <v>9.4076023266397718E-2</v>
      </c>
      <c r="H8" s="367">
        <v>6.097431675035641E-2</v>
      </c>
      <c r="I8" s="367">
        <v>8.4279561400861625E-2</v>
      </c>
      <c r="J8" s="367">
        <v>9.0592601823690527E-2</v>
      </c>
      <c r="K8" s="368">
        <v>0.11837296101616883</v>
      </c>
      <c r="L8" s="23"/>
    </row>
    <row r="9" spans="1:21" s="22" customFormat="1" ht="16.2" thickBot="1" x14ac:dyDescent="0.35">
      <c r="A9" s="369" t="s">
        <v>497</v>
      </c>
      <c r="B9" s="370">
        <v>2.7305455492363843E-2</v>
      </c>
      <c r="C9" s="371">
        <v>3.7907296198423909E-2</v>
      </c>
      <c r="D9" s="371">
        <v>3.8353824738708804E-2</v>
      </c>
      <c r="E9" s="371">
        <v>4.660075331082042E-2</v>
      </c>
      <c r="F9" s="371">
        <v>6.7194901449786362E-2</v>
      </c>
      <c r="G9" s="371">
        <v>8.3044171903378233E-2</v>
      </c>
      <c r="H9" s="371">
        <v>0.10443511854195058</v>
      </c>
      <c r="I9" s="371">
        <v>0.10259135926099032</v>
      </c>
      <c r="J9" s="371">
        <v>0.10327660240232793</v>
      </c>
      <c r="K9" s="372">
        <v>7.6909956219748166E-2</v>
      </c>
      <c r="L9" s="23"/>
    </row>
    <row r="10" spans="1:21" s="22" customFormat="1" ht="15.6" x14ac:dyDescent="0.3">
      <c r="A10" s="361" t="s">
        <v>498</v>
      </c>
      <c r="B10" s="362">
        <v>0.11659856749360738</v>
      </c>
      <c r="C10" s="363">
        <v>0.10936090802985479</v>
      </c>
      <c r="D10" s="363">
        <v>0.1047098445285744</v>
      </c>
      <c r="E10" s="363">
        <v>9.7087398053741253E-2</v>
      </c>
      <c r="F10" s="363">
        <v>9.67327556419698E-2</v>
      </c>
      <c r="G10" s="363">
        <v>8.52929385763639E-2</v>
      </c>
      <c r="H10" s="363">
        <v>0.11229853143236208</v>
      </c>
      <c r="I10" s="363">
        <v>0.11900957137569831</v>
      </c>
      <c r="J10" s="363">
        <v>0.1159083289823879</v>
      </c>
      <c r="K10" s="364">
        <v>0.12845693524081811</v>
      </c>
      <c r="L10" s="23"/>
    </row>
    <row r="11" spans="1:21" s="22" customFormat="1" ht="15.6" x14ac:dyDescent="0.3">
      <c r="A11" s="365" t="s">
        <v>499</v>
      </c>
      <c r="B11" s="366">
        <v>0.21991736736413664</v>
      </c>
      <c r="C11" s="367">
        <v>0.1926089905147447</v>
      </c>
      <c r="D11" s="367">
        <v>0.21612000709165388</v>
      </c>
      <c r="E11" s="367">
        <v>0.16073558374978222</v>
      </c>
      <c r="F11" s="367">
        <v>0.25376142445346556</v>
      </c>
      <c r="G11" s="367">
        <v>0.24968144848669963</v>
      </c>
      <c r="H11" s="367">
        <v>0.26226460830438603</v>
      </c>
      <c r="I11" s="367">
        <v>0.30861001164330398</v>
      </c>
      <c r="J11" s="367">
        <v>0.32501477756445479</v>
      </c>
      <c r="K11" s="368">
        <v>0.29188797316992976</v>
      </c>
      <c r="L11" s="23"/>
    </row>
    <row r="12" spans="1:21" s="22" customFormat="1" ht="15.6" x14ac:dyDescent="0.3">
      <c r="A12" s="365" t="s">
        <v>500</v>
      </c>
      <c r="B12" s="366">
        <v>0.48252020054381251</v>
      </c>
      <c r="C12" s="367">
        <v>0.48588041643711183</v>
      </c>
      <c r="D12" s="367">
        <v>0.48678791749485861</v>
      </c>
      <c r="E12" s="367">
        <v>0.55780224076690677</v>
      </c>
      <c r="F12" s="367">
        <v>0.33813325391568677</v>
      </c>
      <c r="G12" s="367">
        <v>0.38380116904023764</v>
      </c>
      <c r="H12" s="367">
        <v>0.36555531187223395</v>
      </c>
      <c r="I12" s="367">
        <v>0.3005166535973175</v>
      </c>
      <c r="J12" s="367">
        <v>0.3157490483241116</v>
      </c>
      <c r="K12" s="368">
        <v>0.33291276907106104</v>
      </c>
      <c r="L12" s="23"/>
    </row>
    <row r="13" spans="1:21" s="22" customFormat="1" ht="15.6" x14ac:dyDescent="0.3">
      <c r="A13" s="365" t="s">
        <v>501</v>
      </c>
      <c r="B13" s="366">
        <v>0.11631481235831385</v>
      </c>
      <c r="C13" s="367">
        <v>0.14580921550276957</v>
      </c>
      <c r="D13" s="367">
        <v>0.12140809849480257</v>
      </c>
      <c r="E13" s="367">
        <v>0.11875586515889293</v>
      </c>
      <c r="F13" s="367">
        <v>0.26064630258527788</v>
      </c>
      <c r="G13" s="367">
        <v>0.24561672128469261</v>
      </c>
      <c r="H13" s="367">
        <v>0.20548408633939627</v>
      </c>
      <c r="I13" s="367">
        <v>0.21800131908844819</v>
      </c>
      <c r="J13" s="367">
        <v>0.1926757420683213</v>
      </c>
      <c r="K13" s="368">
        <v>0.19065924899092734</v>
      </c>
      <c r="L13" s="23"/>
    </row>
    <row r="14" spans="1:21" s="22" customFormat="1" ht="16.2" thickBot="1" x14ac:dyDescent="0.35">
      <c r="A14" s="369" t="s">
        <v>502</v>
      </c>
      <c r="B14" s="370">
        <v>6.4649052240163041E-2</v>
      </c>
      <c r="C14" s="371">
        <v>6.6340469515456177E-2</v>
      </c>
      <c r="D14" s="371">
        <v>7.0974132390111078E-2</v>
      </c>
      <c r="E14" s="371">
        <v>6.5618912270674554E-2</v>
      </c>
      <c r="F14" s="371">
        <v>5.072626340362222E-2</v>
      </c>
      <c r="G14" s="371">
        <v>3.5607722611958409E-2</v>
      </c>
      <c r="H14" s="371">
        <v>5.4397462051576445E-2</v>
      </c>
      <c r="I14" s="371">
        <v>5.3862444294952884E-2</v>
      </c>
      <c r="J14" s="371">
        <v>5.0652103060600605E-2</v>
      </c>
      <c r="K14" s="372">
        <v>5.6083073527483651E-2</v>
      </c>
      <c r="L14" s="24">
        <f>0.9*B14/(1-B$10)</f>
        <v>6.5863768016615365E-2</v>
      </c>
      <c r="M14" s="24">
        <f>0.9*C14/(1-C$10)</f>
        <v>6.7037729538500831E-2</v>
      </c>
      <c r="N14" s="24">
        <f>0.9*D14/(1-D$10)</f>
        <v>7.1347505343074991E-2</v>
      </c>
      <c r="O14" s="24">
        <f>0.9*E14/(1-E$10)</f>
        <v>6.5407239766404501E-2</v>
      </c>
      <c r="P14" s="24">
        <f t="shared" ref="P14" si="0">F14/(1-F$10)</f>
        <v>5.6158643768461206E-2</v>
      </c>
      <c r="Q14" s="24">
        <f t="shared" ref="Q14" si="1">G14/(1-G$10)</f>
        <v>3.892800669597881E-2</v>
      </c>
      <c r="R14" s="24">
        <f t="shared" ref="R14" si="2">H14/(1-H$10)</f>
        <v>6.1279004234779708E-2</v>
      </c>
      <c r="S14" s="24">
        <f t="shared" ref="S14" si="3">I14/(1-I$10)</f>
        <v>6.113851245700936E-2</v>
      </c>
      <c r="T14" s="24">
        <f t="shared" ref="T14" si="4">J14/(1-J$10)</f>
        <v>5.7292817839012938E-2</v>
      </c>
      <c r="U14" s="24">
        <f>0.97*K14/(1-K$10)</f>
        <v>6.2418695669032367E-2</v>
      </c>
    </row>
    <row r="15" spans="1:21" s="22" customFormat="1" ht="15.6" x14ac:dyDescent="0.3">
      <c r="A15" s="361" t="s">
        <v>503</v>
      </c>
      <c r="B15" s="362" t="s">
        <v>504</v>
      </c>
      <c r="C15" s="363" t="s">
        <v>504</v>
      </c>
      <c r="D15" s="363" t="s">
        <v>504</v>
      </c>
      <c r="E15" s="363" t="s">
        <v>504</v>
      </c>
      <c r="F15" s="363">
        <v>9.67327556419698E-2</v>
      </c>
      <c r="G15" s="363">
        <v>8.52929385763639E-2</v>
      </c>
      <c r="H15" s="363">
        <v>0.11229853143236208</v>
      </c>
      <c r="I15" s="363">
        <v>0.11900957137569831</v>
      </c>
      <c r="J15" s="363">
        <v>0.1159083289823879</v>
      </c>
      <c r="K15" s="364">
        <v>0.12845693524081811</v>
      </c>
      <c r="L15" s="24"/>
      <c r="M15" s="123"/>
      <c r="N15" s="123"/>
      <c r="O15" s="123"/>
      <c r="P15" s="123"/>
      <c r="Q15" s="123"/>
      <c r="R15" s="123"/>
      <c r="S15" s="123"/>
      <c r="T15" s="123"/>
      <c r="U15" s="123"/>
    </row>
    <row r="16" spans="1:21" s="22" customFormat="1" ht="15.6" x14ac:dyDescent="0.3">
      <c r="A16" s="365" t="s">
        <v>505</v>
      </c>
      <c r="B16" s="366" t="s">
        <v>504</v>
      </c>
      <c r="C16" s="367" t="s">
        <v>504</v>
      </c>
      <c r="D16" s="367" t="s">
        <v>504</v>
      </c>
      <c r="E16" s="367" t="s">
        <v>504</v>
      </c>
      <c r="F16" s="367">
        <v>0.15926635332369346</v>
      </c>
      <c r="G16" s="367">
        <v>0.16355366674296198</v>
      </c>
      <c r="H16" s="367">
        <v>0.18019535773596437</v>
      </c>
      <c r="I16" s="367">
        <v>0.15370842784962993</v>
      </c>
      <c r="J16" s="367">
        <v>0.15600973116364544</v>
      </c>
      <c r="K16" s="368">
        <v>0.18399994022493504</v>
      </c>
      <c r="L16" s="24"/>
      <c r="M16" s="123"/>
      <c r="N16" s="123"/>
      <c r="O16" s="123"/>
      <c r="P16" s="123"/>
      <c r="Q16" s="123"/>
      <c r="R16" s="123"/>
      <c r="S16" s="123"/>
      <c r="T16" s="123"/>
      <c r="U16" s="123"/>
    </row>
    <row r="17" spans="1:21" s="22" customFormat="1" ht="15.6" x14ac:dyDescent="0.3">
      <c r="A17" s="365" t="s">
        <v>506</v>
      </c>
      <c r="B17" s="366" t="s">
        <v>504</v>
      </c>
      <c r="C17" s="367" t="s">
        <v>504</v>
      </c>
      <c r="D17" s="367" t="s">
        <v>504</v>
      </c>
      <c r="E17" s="367" t="s">
        <v>504</v>
      </c>
      <c r="F17" s="367">
        <v>9.4495071129773053E-2</v>
      </c>
      <c r="G17" s="367">
        <v>8.6127781743739626E-2</v>
      </c>
      <c r="H17" s="367">
        <v>8.2069250568422195E-2</v>
      </c>
      <c r="I17" s="367">
        <v>0.15490158379367364</v>
      </c>
      <c r="J17" s="367">
        <v>0.16900504640080768</v>
      </c>
      <c r="K17" s="368">
        <v>0.1078880329449954</v>
      </c>
      <c r="L17" s="24"/>
      <c r="M17" s="123"/>
      <c r="N17" s="123"/>
      <c r="O17" s="123"/>
      <c r="P17" s="123"/>
      <c r="Q17" s="123"/>
      <c r="R17" s="123"/>
      <c r="S17" s="123"/>
      <c r="T17" s="123"/>
      <c r="U17" s="123"/>
    </row>
    <row r="18" spans="1:21" s="22" customFormat="1" ht="15.6" x14ac:dyDescent="0.3">
      <c r="A18" s="365" t="s">
        <v>507</v>
      </c>
      <c r="B18" s="366" t="s">
        <v>504</v>
      </c>
      <c r="C18" s="367" t="s">
        <v>504</v>
      </c>
      <c r="D18" s="367" t="s">
        <v>504</v>
      </c>
      <c r="E18" s="367" t="s">
        <v>504</v>
      </c>
      <c r="F18" s="367">
        <v>0.33813325391568677</v>
      </c>
      <c r="G18" s="367">
        <v>0.38380116904023764</v>
      </c>
      <c r="H18" s="367">
        <v>0.36555531187223395</v>
      </c>
      <c r="I18" s="367">
        <v>0.3005166535973175</v>
      </c>
      <c r="J18" s="367">
        <v>0.3157490483241116</v>
      </c>
      <c r="K18" s="368">
        <v>0.33291276907106104</v>
      </c>
      <c r="L18" s="24"/>
      <c r="M18" s="123"/>
      <c r="N18" s="123"/>
      <c r="O18" s="123"/>
      <c r="P18" s="123"/>
      <c r="Q18" s="123"/>
      <c r="R18" s="123"/>
      <c r="S18" s="123"/>
      <c r="T18" s="123"/>
      <c r="U18" s="123"/>
    </row>
    <row r="19" spans="1:21" s="22" customFormat="1" ht="15.6" x14ac:dyDescent="0.3">
      <c r="A19" s="365" t="s">
        <v>508</v>
      </c>
      <c r="B19" s="366" t="s">
        <v>504</v>
      </c>
      <c r="C19" s="367" t="s">
        <v>504</v>
      </c>
      <c r="D19" s="367" t="s">
        <v>504</v>
      </c>
      <c r="E19" s="367" t="s">
        <v>504</v>
      </c>
      <c r="F19" s="367">
        <v>5.5916298606098008E-2</v>
      </c>
      <c r="G19" s="367">
        <v>0.13740315425446201</v>
      </c>
      <c r="H19" s="367">
        <v>5.1691637240766225E-2</v>
      </c>
      <c r="I19" s="367">
        <v>9.9548471830028976E-2</v>
      </c>
      <c r="J19" s="367">
        <v>8.3161782441651427E-2</v>
      </c>
      <c r="K19" s="368">
        <v>7.2310016484630188E-2</v>
      </c>
      <c r="L19" s="24"/>
      <c r="M19" s="123"/>
      <c r="N19" s="123"/>
      <c r="O19" s="123"/>
      <c r="P19" s="24">
        <f>F19/(1-F$10)</f>
        <v>6.1904490565069505E-2</v>
      </c>
      <c r="Q19" s="24">
        <f t="shared" ref="Q19:U23" si="5">G19/(1-G$10)</f>
        <v>0.15021547340042377</v>
      </c>
      <c r="R19" s="24">
        <f t="shared" si="5"/>
        <v>5.8230879491698861E-2</v>
      </c>
      <c r="S19" s="24">
        <f t="shared" si="5"/>
        <v>0.11299608780708038</v>
      </c>
      <c r="T19" s="24">
        <f t="shared" si="5"/>
        <v>9.4064659998357517E-2</v>
      </c>
      <c r="U19" s="24">
        <f t="shared" si="5"/>
        <v>8.2967806650621839E-2</v>
      </c>
    </row>
    <row r="20" spans="1:21" s="22" customFormat="1" ht="15.6" x14ac:dyDescent="0.3">
      <c r="A20" s="365" t="s">
        <v>509</v>
      </c>
      <c r="B20" s="366" t="s">
        <v>504</v>
      </c>
      <c r="C20" s="367" t="s">
        <v>504</v>
      </c>
      <c r="D20" s="367" t="s">
        <v>504</v>
      </c>
      <c r="E20" s="367" t="s">
        <v>504</v>
      </c>
      <c r="F20" s="367">
        <v>4.48424778409484E-2</v>
      </c>
      <c r="G20" s="367">
        <v>2.8909794378370986E-2</v>
      </c>
      <c r="H20" s="367">
        <v>3.8512341497050247E-2</v>
      </c>
      <c r="I20" s="367">
        <v>2.5715820830643128E-2</v>
      </c>
      <c r="J20" s="367">
        <v>1.8661880138485857E-2</v>
      </c>
      <c r="K20" s="368">
        <v>2.9074723821314121E-2</v>
      </c>
      <c r="L20" s="374">
        <f t="shared" ref="L20:N20" si="6">AVERAGE(M20:R20)</f>
        <v>3.1339147541472857E-2</v>
      </c>
      <c r="M20" s="374">
        <f t="shared" si="6"/>
        <v>3.1032079474651694E-2</v>
      </c>
      <c r="N20" s="374">
        <f t="shared" si="6"/>
        <v>3.0217531294546782E-2</v>
      </c>
      <c r="O20" s="374">
        <f>AVERAGE(P20:U20)</f>
        <v>3.0189890926963361E-2</v>
      </c>
      <c r="P20" s="24">
        <f>Q20</f>
        <v>3.1605522245970449E-2</v>
      </c>
      <c r="Q20" s="24">
        <f t="shared" si="5"/>
        <v>3.1605522245970449E-2</v>
      </c>
      <c r="R20" s="24">
        <f>H20/(1-H$10)-0.01</f>
        <v>3.3384339060734382E-2</v>
      </c>
      <c r="S20" s="24">
        <f t="shared" si="5"/>
        <v>2.9189671073724728E-2</v>
      </c>
      <c r="T20" s="24">
        <f>1.2*J20/(1-J$10)</f>
        <v>2.5330242213917328E-2</v>
      </c>
      <c r="U20" s="24">
        <f>0.9*K20/(1-K$10)</f>
        <v>3.0024048721462828E-2</v>
      </c>
    </row>
    <row r="21" spans="1:21" s="22" customFormat="1" ht="15.6" x14ac:dyDescent="0.3">
      <c r="A21" s="365" t="s">
        <v>510</v>
      </c>
      <c r="B21" s="366" t="s">
        <v>504</v>
      </c>
      <c r="C21" s="367" t="s">
        <v>504</v>
      </c>
      <c r="D21" s="367" t="s">
        <v>504</v>
      </c>
      <c r="E21" s="367" t="s">
        <v>504</v>
      </c>
      <c r="F21" s="367">
        <v>0.1236439284622108</v>
      </c>
      <c r="G21" s="367">
        <v>5.3643765777080119E-2</v>
      </c>
      <c r="H21" s="367">
        <v>7.8027282770252587E-2</v>
      </c>
      <c r="I21" s="367">
        <v>5.1406369762955775E-2</v>
      </c>
      <c r="J21" s="367">
        <v>4.994392506318017E-2</v>
      </c>
      <c r="K21" s="368">
        <v>4.6099343918877725E-2</v>
      </c>
      <c r="L21" s="374"/>
      <c r="M21" s="374"/>
      <c r="N21" s="374"/>
      <c r="O21" s="374"/>
      <c r="P21" s="24">
        <f t="shared" ref="P21:P23" si="7">F21/(1-F$10)</f>
        <v>0.13688521224976666</v>
      </c>
      <c r="Q21" s="24">
        <f t="shared" si="5"/>
        <v>5.8645841974358195E-2</v>
      </c>
      <c r="R21" s="24">
        <f t="shared" si="5"/>
        <v>8.7898111620964781E-2</v>
      </c>
      <c r="S21" s="24">
        <f t="shared" si="5"/>
        <v>5.8350656366640302E-2</v>
      </c>
      <c r="T21" s="24">
        <f t="shared" si="5"/>
        <v>5.6491794573399201E-2</v>
      </c>
      <c r="U21" s="24">
        <f t="shared" si="5"/>
        <v>5.2893936952634169E-2</v>
      </c>
    </row>
    <row r="22" spans="1:21" s="22" customFormat="1" ht="15.6" x14ac:dyDescent="0.3">
      <c r="A22" s="365" t="s">
        <v>511</v>
      </c>
      <c r="B22" s="366" t="s">
        <v>504</v>
      </c>
      <c r="C22" s="367" t="s">
        <v>504</v>
      </c>
      <c r="D22" s="367" t="s">
        <v>504</v>
      </c>
      <c r="E22" s="367" t="s">
        <v>504</v>
      </c>
      <c r="F22" s="367">
        <v>3.6243597676026043E-2</v>
      </c>
      <c r="G22" s="367">
        <v>2.5660006874783901E-2</v>
      </c>
      <c r="H22" s="367">
        <v>3.7252824831328725E-2</v>
      </c>
      <c r="I22" s="367">
        <v>4.1330656664825015E-2</v>
      </c>
      <c r="J22" s="367">
        <v>4.090815442500418E-2</v>
      </c>
      <c r="K22" s="368">
        <v>4.3175164766109317E-2</v>
      </c>
      <c r="L22" s="374">
        <f t="shared" ref="L22:N22" si="8">AVERAGE(M22:R22)</f>
        <v>3.881361759904018E-2</v>
      </c>
      <c r="M22" s="374">
        <f t="shared" si="8"/>
        <v>3.9970794279791957E-2</v>
      </c>
      <c r="N22" s="374">
        <f t="shared" si="8"/>
        <v>4.0870880016032105E-2</v>
      </c>
      <c r="O22" s="374">
        <f>AVERAGE(P22:U22)</f>
        <v>4.1896839939895604E-2</v>
      </c>
      <c r="P22" s="24">
        <f t="shared" si="7"/>
        <v>4.0124999442202824E-2</v>
      </c>
      <c r="Q22" s="24">
        <f t="shared" si="5"/>
        <v>2.8052704474421632E-2</v>
      </c>
      <c r="R22" s="24">
        <f t="shared" si="5"/>
        <v>4.1965487441896994E-2</v>
      </c>
      <c r="S22" s="24">
        <f t="shared" si="5"/>
        <v>4.69138543643026E-2</v>
      </c>
      <c r="T22" s="24">
        <f t="shared" si="5"/>
        <v>4.6271394433473001E-2</v>
      </c>
      <c r="U22" s="24">
        <f>0.97*K22/(1-K$10)</f>
        <v>4.805259948307658E-2</v>
      </c>
    </row>
    <row r="23" spans="1:21" s="22" customFormat="1" ht="16.2" thickBot="1" x14ac:dyDescent="0.35">
      <c r="A23" s="369" t="s">
        <v>512</v>
      </c>
      <c r="B23" s="370" t="s">
        <v>504</v>
      </c>
      <c r="C23" s="371" t="s">
        <v>504</v>
      </c>
      <c r="D23" s="371" t="s">
        <v>504</v>
      </c>
      <c r="E23" s="371" t="s">
        <v>504</v>
      </c>
      <c r="F23" s="371">
        <v>5.072626340362222E-2</v>
      </c>
      <c r="G23" s="371">
        <v>3.5607722611958409E-2</v>
      </c>
      <c r="H23" s="371">
        <v>5.4397462051576445E-2</v>
      </c>
      <c r="I23" s="371">
        <v>5.3862444294952884E-2</v>
      </c>
      <c r="J23" s="371">
        <v>5.0652103060600605E-2</v>
      </c>
      <c r="K23" s="372">
        <v>5.6083073527483651E-2</v>
      </c>
      <c r="L23" s="374">
        <f t="shared" ref="L23:N23" si="9">L14</f>
        <v>6.5863768016615365E-2</v>
      </c>
      <c r="M23" s="374">
        <f t="shared" si="9"/>
        <v>6.7037729538500831E-2</v>
      </c>
      <c r="N23" s="374">
        <f t="shared" si="9"/>
        <v>7.1347505343074991E-2</v>
      </c>
      <c r="O23" s="374">
        <f>O14</f>
        <v>6.5407239766404501E-2</v>
      </c>
      <c r="P23" s="24">
        <f t="shared" si="7"/>
        <v>5.6158643768461206E-2</v>
      </c>
      <c r="Q23" s="24">
        <f t="shared" si="5"/>
        <v>3.892800669597881E-2</v>
      </c>
      <c r="R23" s="24">
        <f t="shared" si="5"/>
        <v>6.1279004234779708E-2</v>
      </c>
      <c r="S23" s="24">
        <f t="shared" si="5"/>
        <v>6.113851245700936E-2</v>
      </c>
      <c r="T23" s="24">
        <f t="shared" si="5"/>
        <v>5.7292817839012938E-2</v>
      </c>
      <c r="U23" s="24">
        <f t="shared" si="5"/>
        <v>6.4349170792816879E-2</v>
      </c>
    </row>
    <row r="24" spans="1:21" s="22" customFormat="1" ht="15.6" x14ac:dyDescent="0.3">
      <c r="A24" s="361" t="s">
        <v>513</v>
      </c>
      <c r="B24" s="362">
        <v>0.71096938135090615</v>
      </c>
      <c r="C24" s="363">
        <v>0.69927943929497294</v>
      </c>
      <c r="D24" s="363">
        <v>0.70359014560959565</v>
      </c>
      <c r="E24" s="363">
        <v>0.53050117616856862</v>
      </c>
      <c r="F24" s="363">
        <v>0.48425822527742446</v>
      </c>
      <c r="G24" s="363">
        <v>0.47572811629803086</v>
      </c>
      <c r="H24" s="363">
        <v>0.51850662045124318</v>
      </c>
      <c r="I24" s="363">
        <v>0.40696463335743788</v>
      </c>
      <c r="J24" s="363">
        <v>0.37274642790239115</v>
      </c>
      <c r="K24" s="364">
        <v>0.32983717246258548</v>
      </c>
      <c r="L24" s="23"/>
    </row>
    <row r="25" spans="1:21" s="22" customFormat="1" ht="15.6" x14ac:dyDescent="0.3">
      <c r="A25" s="365" t="s">
        <v>514</v>
      </c>
      <c r="B25" s="366">
        <v>0.18613503480742849</v>
      </c>
      <c r="C25" s="367">
        <v>0.19412897965313217</v>
      </c>
      <c r="D25" s="367">
        <v>0.18453713399697746</v>
      </c>
      <c r="E25" s="367">
        <v>0.36514333181578851</v>
      </c>
      <c r="F25" s="367">
        <v>0.26298515556906871</v>
      </c>
      <c r="G25" s="367">
        <v>0.27150067554439861</v>
      </c>
      <c r="H25" s="367">
        <v>0.25328119590045067</v>
      </c>
      <c r="I25" s="367">
        <v>0.26375648860129497</v>
      </c>
      <c r="J25" s="367">
        <v>0.26341151894287979</v>
      </c>
      <c r="K25" s="368">
        <v>0.26336874732457793</v>
      </c>
      <c r="L25" s="23"/>
    </row>
    <row r="26" spans="1:21" s="22" customFormat="1" ht="15.6" x14ac:dyDescent="0.3">
      <c r="A26" s="365" t="s">
        <v>515</v>
      </c>
      <c r="B26" s="366">
        <v>5.1283774959514611E-2</v>
      </c>
      <c r="C26" s="367">
        <v>4.9960828702380125E-2</v>
      </c>
      <c r="D26" s="367">
        <v>5.6164360298987741E-2</v>
      </c>
      <c r="E26" s="367">
        <v>7.0306428361126785E-2</v>
      </c>
      <c r="F26" s="367">
        <v>0.19594902772271036</v>
      </c>
      <c r="G26" s="367">
        <v>0.19027734883012817</v>
      </c>
      <c r="H26" s="367">
        <v>0.16094867161287399</v>
      </c>
      <c r="I26" s="367">
        <v>0.22041049481863198</v>
      </c>
      <c r="J26" s="367">
        <v>0.24684452926913139</v>
      </c>
      <c r="K26" s="368">
        <v>0.27195443414452486</v>
      </c>
      <c r="L26" s="23"/>
    </row>
    <row r="27" spans="1:21" s="22" customFormat="1" ht="16.2" thickBot="1" x14ac:dyDescent="0.35">
      <c r="A27" s="369" t="s">
        <v>516</v>
      </c>
      <c r="B27" s="370">
        <v>5.1611808882168368E-2</v>
      </c>
      <c r="C27" s="371">
        <v>5.663075234946309E-2</v>
      </c>
      <c r="D27" s="371">
        <v>5.5708360094457884E-2</v>
      </c>
      <c r="E27" s="371">
        <v>3.4049063654509069E-2</v>
      </c>
      <c r="F27" s="371">
        <v>5.6807591430809865E-2</v>
      </c>
      <c r="G27" s="371">
        <v>6.249385932738441E-2</v>
      </c>
      <c r="H27" s="371">
        <v>6.7263512035389453E-2</v>
      </c>
      <c r="I27" s="371">
        <v>0.10886838322237929</v>
      </c>
      <c r="J27" s="371">
        <v>0.11699752388546028</v>
      </c>
      <c r="K27" s="372">
        <v>0.13483964606852752</v>
      </c>
      <c r="L27" s="23"/>
    </row>
    <row r="28" spans="1:21" s="22" customFormat="1" ht="15.6" x14ac:dyDescent="0.3">
      <c r="A28" s="361" t="s">
        <v>517</v>
      </c>
      <c r="B28" s="362">
        <v>9.0090372061481391E-2</v>
      </c>
      <c r="C28" s="363">
        <v>0.12031070625191544</v>
      </c>
      <c r="D28" s="363">
        <v>9.1092131146403063E-2</v>
      </c>
      <c r="E28" s="363">
        <v>9.6180240889391144E-2</v>
      </c>
      <c r="F28" s="363">
        <v>0.1880579757525033</v>
      </c>
      <c r="G28" s="363">
        <v>0.17256321156521021</v>
      </c>
      <c r="H28" s="363">
        <v>0.12239709947094697</v>
      </c>
      <c r="I28" s="363">
        <v>0.16410958463880432</v>
      </c>
      <c r="J28" s="363">
        <v>0.13504813007138716</v>
      </c>
      <c r="K28" s="364">
        <v>0.12617748641935128</v>
      </c>
      <c r="L28" s="23"/>
    </row>
    <row r="29" spans="1:21" s="22" customFormat="1" ht="15.6" x14ac:dyDescent="0.3">
      <c r="A29" s="365" t="s">
        <v>518</v>
      </c>
      <c r="B29" s="366">
        <v>0.30744805424089638</v>
      </c>
      <c r="C29" s="367">
        <v>0.31442176041861014</v>
      </c>
      <c r="D29" s="367">
        <v>0.30511689173879736</v>
      </c>
      <c r="E29" s="367">
        <v>0.28829430504872738</v>
      </c>
      <c r="F29" s="367">
        <v>0.28182792505516191</v>
      </c>
      <c r="G29" s="367">
        <v>0.2808017383998625</v>
      </c>
      <c r="H29" s="367">
        <v>0.28892434238103715</v>
      </c>
      <c r="I29" s="367">
        <v>0.27783501318436171</v>
      </c>
      <c r="J29" s="367">
        <v>0.26710871158611033</v>
      </c>
      <c r="K29" s="368">
        <v>0.26400854468514945</v>
      </c>
      <c r="L29" s="23"/>
    </row>
    <row r="30" spans="1:21" s="22" customFormat="1" ht="15.6" x14ac:dyDescent="0.3">
      <c r="A30" s="365" t="s">
        <v>519</v>
      </c>
      <c r="B30" s="366">
        <v>0.34773055969717104</v>
      </c>
      <c r="C30" s="367">
        <v>0.33423879387789507</v>
      </c>
      <c r="D30" s="367">
        <v>0.34810261051286617</v>
      </c>
      <c r="E30" s="367">
        <v>0.35386030479686903</v>
      </c>
      <c r="F30" s="367">
        <v>0.28939727513471097</v>
      </c>
      <c r="G30" s="367">
        <v>0.29544782207482129</v>
      </c>
      <c r="H30" s="367">
        <v>0.32467439043840957</v>
      </c>
      <c r="I30" s="367">
        <v>0.30779941586941312</v>
      </c>
      <c r="J30" s="367">
        <v>0.32244325339847885</v>
      </c>
      <c r="K30" s="368">
        <v>0.31818669146492734</v>
      </c>
      <c r="L30" s="23"/>
    </row>
    <row r="31" spans="1:21" s="22" customFormat="1" ht="15.6" x14ac:dyDescent="0.3">
      <c r="A31" s="365" t="s">
        <v>520</v>
      </c>
      <c r="B31" s="366">
        <v>0.181646786631908</v>
      </c>
      <c r="C31" s="367">
        <v>0.18330189637886213</v>
      </c>
      <c r="D31" s="367">
        <v>0.18361093991892655</v>
      </c>
      <c r="E31" s="367">
        <v>0.1940282419103686</v>
      </c>
      <c r="F31" s="367">
        <v>0.16400890585476205</v>
      </c>
      <c r="G31" s="367">
        <v>0.17716459260098616</v>
      </c>
      <c r="H31" s="367">
        <v>0.17761211378380032</v>
      </c>
      <c r="I31" s="367">
        <v>0.16307261800934522</v>
      </c>
      <c r="J31" s="367">
        <v>0.18124330605635877</v>
      </c>
      <c r="K31" s="368">
        <v>0.19745527839903179</v>
      </c>
      <c r="L31" s="23"/>
    </row>
    <row r="32" spans="1:21" s="22" customFormat="1" ht="16.2" thickBot="1" x14ac:dyDescent="0.35">
      <c r="A32" s="369" t="s">
        <v>521</v>
      </c>
      <c r="B32" s="370">
        <v>7.3084227368580695E-2</v>
      </c>
      <c r="C32" s="371">
        <v>4.7726843072670236E-2</v>
      </c>
      <c r="D32" s="371">
        <v>7.2077426683000018E-2</v>
      </c>
      <c r="E32" s="371">
        <v>6.7636907354642103E-2</v>
      </c>
      <c r="F32" s="371">
        <v>7.6707918202886735E-2</v>
      </c>
      <c r="G32" s="371">
        <v>7.4022635359074829E-2</v>
      </c>
      <c r="H32" s="371">
        <v>8.6392053925762033E-2</v>
      </c>
      <c r="I32" s="371">
        <v>8.7183368297790581E-2</v>
      </c>
      <c r="J32" s="371">
        <v>9.4156598887542714E-2</v>
      </c>
      <c r="K32" s="372">
        <v>9.4171999031759573E-2</v>
      </c>
      <c r="L32" s="23"/>
    </row>
    <row r="33" spans="1:12" s="22" customFormat="1" ht="15.6" x14ac:dyDescent="0.3">
      <c r="A33" s="365" t="s">
        <v>504</v>
      </c>
      <c r="B33" s="367" t="s">
        <v>504</v>
      </c>
      <c r="C33" s="367" t="s">
        <v>504</v>
      </c>
      <c r="D33" s="367" t="s">
        <v>504</v>
      </c>
      <c r="E33" s="367" t="s">
        <v>504</v>
      </c>
      <c r="F33" s="367" t="s">
        <v>504</v>
      </c>
      <c r="G33" s="367" t="s">
        <v>504</v>
      </c>
      <c r="H33" s="367" t="s">
        <v>504</v>
      </c>
      <c r="I33" s="367" t="s">
        <v>504</v>
      </c>
      <c r="J33" s="367" t="s">
        <v>504</v>
      </c>
      <c r="K33" s="368" t="s">
        <v>504</v>
      </c>
      <c r="L33" s="23"/>
    </row>
    <row r="34" spans="1:12" s="22" customFormat="1" ht="15.6" x14ac:dyDescent="0.3">
      <c r="A34" s="365" t="s">
        <v>504</v>
      </c>
      <c r="B34" s="367" t="s">
        <v>504</v>
      </c>
      <c r="C34" s="367" t="s">
        <v>504</v>
      </c>
      <c r="D34" s="367" t="s">
        <v>504</v>
      </c>
      <c r="E34" s="367" t="s">
        <v>504</v>
      </c>
      <c r="F34" s="367" t="s">
        <v>504</v>
      </c>
      <c r="G34" s="367" t="s">
        <v>504</v>
      </c>
      <c r="H34" s="367" t="s">
        <v>504</v>
      </c>
      <c r="I34" s="367" t="s">
        <v>504</v>
      </c>
      <c r="J34" s="367" t="s">
        <v>504</v>
      </c>
      <c r="K34" s="368" t="s">
        <v>504</v>
      </c>
      <c r="L34" s="23"/>
    </row>
    <row r="35" spans="1:12" s="22" customFormat="1" ht="15.6" x14ac:dyDescent="0.3">
      <c r="A35" s="365" t="s">
        <v>504</v>
      </c>
      <c r="B35" s="367" t="s">
        <v>504</v>
      </c>
      <c r="C35" s="367" t="s">
        <v>504</v>
      </c>
      <c r="D35" s="367" t="s">
        <v>504</v>
      </c>
      <c r="E35" s="367" t="s">
        <v>504</v>
      </c>
      <c r="F35" s="367" t="s">
        <v>504</v>
      </c>
      <c r="G35" s="367" t="s">
        <v>504</v>
      </c>
      <c r="H35" s="367" t="s">
        <v>504</v>
      </c>
      <c r="I35" s="367" t="s">
        <v>504</v>
      </c>
      <c r="J35" s="367" t="s">
        <v>504</v>
      </c>
      <c r="K35" s="368" t="s">
        <v>504</v>
      </c>
      <c r="L35" s="23"/>
    </row>
    <row r="36" spans="1:12" s="22" customFormat="1" ht="15.6" x14ac:dyDescent="0.3">
      <c r="A36" s="365" t="s">
        <v>504</v>
      </c>
      <c r="B36" s="367" t="s">
        <v>504</v>
      </c>
      <c r="C36" s="367" t="s">
        <v>504</v>
      </c>
      <c r="D36" s="367" t="s">
        <v>504</v>
      </c>
      <c r="E36" s="367" t="s">
        <v>504</v>
      </c>
      <c r="F36" s="367" t="s">
        <v>504</v>
      </c>
      <c r="G36" s="367" t="s">
        <v>504</v>
      </c>
      <c r="H36" s="367" t="s">
        <v>504</v>
      </c>
      <c r="I36" s="367" t="s">
        <v>504</v>
      </c>
      <c r="J36" s="367" t="s">
        <v>504</v>
      </c>
      <c r="K36" s="368" t="s">
        <v>504</v>
      </c>
      <c r="L36" s="23"/>
    </row>
    <row r="37" spans="1:12" s="22" customFormat="1" ht="15.6" x14ac:dyDescent="0.3">
      <c r="A37" s="365" t="s">
        <v>504</v>
      </c>
      <c r="B37" s="367" t="s">
        <v>504</v>
      </c>
      <c r="C37" s="367" t="s">
        <v>504</v>
      </c>
      <c r="D37" s="367" t="s">
        <v>504</v>
      </c>
      <c r="E37" s="367" t="s">
        <v>504</v>
      </c>
      <c r="F37" s="367" t="s">
        <v>504</v>
      </c>
      <c r="G37" s="367" t="s">
        <v>504</v>
      </c>
      <c r="H37" s="367" t="s">
        <v>504</v>
      </c>
      <c r="I37" s="367" t="s">
        <v>504</v>
      </c>
      <c r="J37" s="367" t="s">
        <v>504</v>
      </c>
      <c r="K37" s="368" t="s">
        <v>504</v>
      </c>
      <c r="L37" s="23"/>
    </row>
    <row r="38" spans="1:12" s="22" customFormat="1" ht="15.6" x14ac:dyDescent="0.3">
      <c r="A38" s="365" t="s">
        <v>504</v>
      </c>
      <c r="B38" s="367" t="s">
        <v>504</v>
      </c>
      <c r="C38" s="367" t="s">
        <v>504</v>
      </c>
      <c r="D38" s="367" t="s">
        <v>504</v>
      </c>
      <c r="E38" s="367" t="s">
        <v>504</v>
      </c>
      <c r="F38" s="367" t="s">
        <v>504</v>
      </c>
      <c r="G38" s="367" t="s">
        <v>504</v>
      </c>
      <c r="H38" s="367" t="s">
        <v>504</v>
      </c>
      <c r="I38" s="367" t="s">
        <v>504</v>
      </c>
      <c r="J38" s="367" t="s">
        <v>504</v>
      </c>
      <c r="K38" s="368" t="s">
        <v>504</v>
      </c>
      <c r="L38" s="23"/>
    </row>
    <row r="39" spans="1:12" s="22" customFormat="1" ht="15.6" x14ac:dyDescent="0.3">
      <c r="A39" s="365" t="s">
        <v>504</v>
      </c>
      <c r="B39" s="367" t="s">
        <v>504</v>
      </c>
      <c r="C39" s="367" t="s">
        <v>504</v>
      </c>
      <c r="D39" s="367" t="s">
        <v>504</v>
      </c>
      <c r="E39" s="367" t="s">
        <v>504</v>
      </c>
      <c r="F39" s="367" t="s">
        <v>504</v>
      </c>
      <c r="G39" s="367" t="s">
        <v>504</v>
      </c>
      <c r="H39" s="367" t="s">
        <v>504</v>
      </c>
      <c r="I39" s="367" t="s">
        <v>504</v>
      </c>
      <c r="J39" s="367" t="s">
        <v>504</v>
      </c>
      <c r="K39" s="368" t="s">
        <v>504</v>
      </c>
      <c r="L39" s="23"/>
    </row>
    <row r="40" spans="1:12" s="22" customFormat="1" ht="15.6" x14ac:dyDescent="0.3">
      <c r="A40" s="365" t="s">
        <v>504</v>
      </c>
      <c r="B40" s="367" t="s">
        <v>504</v>
      </c>
      <c r="C40" s="367" t="s">
        <v>504</v>
      </c>
      <c r="D40" s="367" t="s">
        <v>504</v>
      </c>
      <c r="E40" s="367" t="s">
        <v>504</v>
      </c>
      <c r="F40" s="367" t="s">
        <v>504</v>
      </c>
      <c r="G40" s="367" t="s">
        <v>504</v>
      </c>
      <c r="H40" s="367" t="s">
        <v>504</v>
      </c>
      <c r="I40" s="367" t="s">
        <v>504</v>
      </c>
      <c r="J40" s="367" t="s">
        <v>504</v>
      </c>
      <c r="K40" s="368" t="s">
        <v>504</v>
      </c>
      <c r="L40" s="23"/>
    </row>
    <row r="41" spans="1:12" s="22" customFormat="1" ht="15.6" x14ac:dyDescent="0.3">
      <c r="A41" s="365" t="s">
        <v>504</v>
      </c>
      <c r="B41" s="367" t="s">
        <v>504</v>
      </c>
      <c r="C41" s="367" t="s">
        <v>504</v>
      </c>
      <c r="D41" s="367" t="s">
        <v>504</v>
      </c>
      <c r="E41" s="367" t="s">
        <v>504</v>
      </c>
      <c r="F41" s="367" t="s">
        <v>504</v>
      </c>
      <c r="G41" s="367" t="s">
        <v>504</v>
      </c>
      <c r="H41" s="367" t="s">
        <v>504</v>
      </c>
      <c r="I41" s="367" t="s">
        <v>504</v>
      </c>
      <c r="J41" s="367" t="s">
        <v>504</v>
      </c>
      <c r="K41" s="368" t="s">
        <v>504</v>
      </c>
      <c r="L41" s="23"/>
    </row>
    <row r="42" spans="1:12" s="22" customFormat="1" ht="15.6" x14ac:dyDescent="0.3">
      <c r="A42" s="365" t="s">
        <v>504</v>
      </c>
      <c r="B42" s="367" t="s">
        <v>504</v>
      </c>
      <c r="C42" s="367" t="s">
        <v>504</v>
      </c>
      <c r="D42" s="367" t="s">
        <v>504</v>
      </c>
      <c r="E42" s="367" t="s">
        <v>504</v>
      </c>
      <c r="F42" s="367" t="s">
        <v>504</v>
      </c>
      <c r="G42" s="367" t="s">
        <v>504</v>
      </c>
      <c r="H42" s="367" t="s">
        <v>504</v>
      </c>
      <c r="I42" s="367" t="s">
        <v>504</v>
      </c>
      <c r="J42" s="367" t="s">
        <v>504</v>
      </c>
      <c r="K42" s="368" t="s">
        <v>504</v>
      </c>
      <c r="L42" s="23"/>
    </row>
    <row r="43" spans="1:12" s="22" customFormat="1" ht="15.6" x14ac:dyDescent="0.3">
      <c r="A43" s="365" t="s">
        <v>504</v>
      </c>
      <c r="B43" s="367" t="s">
        <v>504</v>
      </c>
      <c r="C43" s="367" t="s">
        <v>504</v>
      </c>
      <c r="D43" s="367" t="s">
        <v>504</v>
      </c>
      <c r="E43" s="367" t="s">
        <v>504</v>
      </c>
      <c r="F43" s="367" t="s">
        <v>504</v>
      </c>
      <c r="G43" s="367" t="s">
        <v>504</v>
      </c>
      <c r="H43" s="367" t="s">
        <v>504</v>
      </c>
      <c r="I43" s="367" t="s">
        <v>504</v>
      </c>
      <c r="J43" s="367" t="s">
        <v>504</v>
      </c>
      <c r="K43" s="368" t="s">
        <v>504</v>
      </c>
      <c r="L43" s="23"/>
    </row>
    <row r="44" spans="1:12" s="22" customFormat="1" ht="15.6" x14ac:dyDescent="0.3">
      <c r="A44" s="365" t="s">
        <v>504</v>
      </c>
      <c r="B44" s="367" t="s">
        <v>504</v>
      </c>
      <c r="C44" s="367" t="s">
        <v>504</v>
      </c>
      <c r="D44" s="367" t="s">
        <v>504</v>
      </c>
      <c r="E44" s="367" t="s">
        <v>504</v>
      </c>
      <c r="F44" s="367" t="s">
        <v>504</v>
      </c>
      <c r="G44" s="367" t="s">
        <v>504</v>
      </c>
      <c r="H44" s="367" t="s">
        <v>504</v>
      </c>
      <c r="I44" s="367" t="s">
        <v>504</v>
      </c>
      <c r="J44" s="367" t="s">
        <v>504</v>
      </c>
      <c r="K44" s="368" t="s">
        <v>504</v>
      </c>
      <c r="L44" s="23"/>
    </row>
    <row r="45" spans="1:12" s="22" customFormat="1" ht="15.6" x14ac:dyDescent="0.3">
      <c r="A45" s="365" t="s">
        <v>504</v>
      </c>
      <c r="B45" s="367" t="s">
        <v>504</v>
      </c>
      <c r="C45" s="367" t="s">
        <v>504</v>
      </c>
      <c r="D45" s="367" t="s">
        <v>504</v>
      </c>
      <c r="E45" s="367" t="s">
        <v>504</v>
      </c>
      <c r="F45" s="367" t="s">
        <v>504</v>
      </c>
      <c r="G45" s="367" t="s">
        <v>504</v>
      </c>
      <c r="H45" s="367" t="s">
        <v>504</v>
      </c>
      <c r="I45" s="367" t="s">
        <v>504</v>
      </c>
      <c r="J45" s="367" t="s">
        <v>504</v>
      </c>
      <c r="K45" s="368" t="s">
        <v>504</v>
      </c>
      <c r="L45" s="23"/>
    </row>
    <row r="46" spans="1:12" s="22" customFormat="1" ht="15.6" x14ac:dyDescent="0.3">
      <c r="A46" s="365" t="s">
        <v>504</v>
      </c>
      <c r="B46" s="367" t="s">
        <v>504</v>
      </c>
      <c r="C46" s="367" t="s">
        <v>504</v>
      </c>
      <c r="D46" s="367" t="s">
        <v>504</v>
      </c>
      <c r="E46" s="367" t="s">
        <v>504</v>
      </c>
      <c r="F46" s="367" t="s">
        <v>504</v>
      </c>
      <c r="G46" s="367" t="s">
        <v>504</v>
      </c>
      <c r="H46" s="367" t="s">
        <v>504</v>
      </c>
      <c r="I46" s="367" t="s">
        <v>504</v>
      </c>
      <c r="J46" s="367" t="s">
        <v>504</v>
      </c>
      <c r="K46" s="368" t="s">
        <v>504</v>
      </c>
      <c r="L46" s="23"/>
    </row>
    <row r="47" spans="1:12" s="22" customFormat="1" ht="15.6" x14ac:dyDescent="0.3">
      <c r="A47" s="365" t="s">
        <v>504</v>
      </c>
      <c r="B47" s="367" t="s">
        <v>504</v>
      </c>
      <c r="C47" s="367" t="s">
        <v>504</v>
      </c>
      <c r="D47" s="367" t="s">
        <v>504</v>
      </c>
      <c r="E47" s="367" t="s">
        <v>504</v>
      </c>
      <c r="F47" s="367" t="s">
        <v>504</v>
      </c>
      <c r="G47" s="367" t="s">
        <v>504</v>
      </c>
      <c r="H47" s="367" t="s">
        <v>504</v>
      </c>
      <c r="I47" s="367" t="s">
        <v>504</v>
      </c>
      <c r="J47" s="367" t="s">
        <v>504</v>
      </c>
      <c r="K47" s="368" t="s">
        <v>504</v>
      </c>
      <c r="L47" s="23"/>
    </row>
    <row r="48" spans="1:12" s="22" customFormat="1" ht="15.6" x14ac:dyDescent="0.3">
      <c r="A48" s="365" t="s">
        <v>504</v>
      </c>
      <c r="B48" s="367" t="s">
        <v>504</v>
      </c>
      <c r="C48" s="367" t="s">
        <v>504</v>
      </c>
      <c r="D48" s="367" t="s">
        <v>504</v>
      </c>
      <c r="E48" s="367" t="s">
        <v>504</v>
      </c>
      <c r="F48" s="367" t="s">
        <v>504</v>
      </c>
      <c r="G48" s="367" t="s">
        <v>504</v>
      </c>
      <c r="H48" s="367" t="s">
        <v>504</v>
      </c>
      <c r="I48" s="367" t="s">
        <v>504</v>
      </c>
      <c r="J48" s="367" t="s">
        <v>504</v>
      </c>
      <c r="K48" s="368" t="s">
        <v>504</v>
      </c>
      <c r="L48" s="23"/>
    </row>
    <row r="49" spans="1:12" s="22" customFormat="1" ht="15.6" x14ac:dyDescent="0.3">
      <c r="A49" s="365" t="s">
        <v>504</v>
      </c>
      <c r="B49" s="367" t="s">
        <v>504</v>
      </c>
      <c r="C49" s="367" t="s">
        <v>504</v>
      </c>
      <c r="D49" s="367" t="s">
        <v>504</v>
      </c>
      <c r="E49" s="367" t="s">
        <v>504</v>
      </c>
      <c r="F49" s="367" t="s">
        <v>504</v>
      </c>
      <c r="G49" s="367" t="s">
        <v>504</v>
      </c>
      <c r="H49" s="367" t="s">
        <v>504</v>
      </c>
      <c r="I49" s="367" t="s">
        <v>504</v>
      </c>
      <c r="J49" s="367" t="s">
        <v>504</v>
      </c>
      <c r="K49" s="368" t="s">
        <v>504</v>
      </c>
      <c r="L49" s="23"/>
    </row>
    <row r="50" spans="1:12" s="22" customFormat="1" ht="15.6" x14ac:dyDescent="0.3">
      <c r="A50" s="365" t="s">
        <v>504</v>
      </c>
      <c r="B50" s="367" t="s">
        <v>504</v>
      </c>
      <c r="C50" s="367" t="s">
        <v>504</v>
      </c>
      <c r="D50" s="367" t="s">
        <v>504</v>
      </c>
      <c r="E50" s="367" t="s">
        <v>504</v>
      </c>
      <c r="F50" s="367" t="s">
        <v>504</v>
      </c>
      <c r="G50" s="367" t="s">
        <v>504</v>
      </c>
      <c r="H50" s="367" t="s">
        <v>504</v>
      </c>
      <c r="I50" s="367" t="s">
        <v>504</v>
      </c>
      <c r="J50" s="367" t="s">
        <v>504</v>
      </c>
      <c r="K50" s="368" t="s">
        <v>504</v>
      </c>
      <c r="L50" s="23"/>
    </row>
    <row r="51" spans="1:12" s="22" customFormat="1" ht="15.6" x14ac:dyDescent="0.3">
      <c r="A51" s="365" t="s">
        <v>504</v>
      </c>
      <c r="B51" s="367" t="s">
        <v>504</v>
      </c>
      <c r="C51" s="367" t="s">
        <v>504</v>
      </c>
      <c r="D51" s="367" t="s">
        <v>504</v>
      </c>
      <c r="E51" s="367" t="s">
        <v>504</v>
      </c>
      <c r="F51" s="367" t="s">
        <v>504</v>
      </c>
      <c r="G51" s="367" t="s">
        <v>504</v>
      </c>
      <c r="H51" s="367" t="s">
        <v>504</v>
      </c>
      <c r="I51" s="367" t="s">
        <v>504</v>
      </c>
      <c r="J51" s="367" t="s">
        <v>504</v>
      </c>
      <c r="K51" s="368" t="s">
        <v>504</v>
      </c>
      <c r="L51" s="23"/>
    </row>
    <row r="52" spans="1:12" s="22" customFormat="1" ht="15.6" x14ac:dyDescent="0.3">
      <c r="A52" s="365" t="s">
        <v>504</v>
      </c>
      <c r="B52" s="367" t="s">
        <v>504</v>
      </c>
      <c r="C52" s="367" t="s">
        <v>504</v>
      </c>
      <c r="D52" s="367" t="s">
        <v>504</v>
      </c>
      <c r="E52" s="367" t="s">
        <v>504</v>
      </c>
      <c r="F52" s="367" t="s">
        <v>504</v>
      </c>
      <c r="G52" s="367" t="s">
        <v>504</v>
      </c>
      <c r="H52" s="367" t="s">
        <v>504</v>
      </c>
      <c r="I52" s="367" t="s">
        <v>504</v>
      </c>
      <c r="J52" s="367" t="s">
        <v>504</v>
      </c>
      <c r="K52" s="368" t="s">
        <v>504</v>
      </c>
      <c r="L52" s="23"/>
    </row>
    <row r="53" spans="1:12" s="22" customFormat="1" ht="15.6" x14ac:dyDescent="0.3">
      <c r="A53" s="365" t="s">
        <v>504</v>
      </c>
      <c r="B53" s="367" t="s">
        <v>504</v>
      </c>
      <c r="C53" s="367" t="s">
        <v>504</v>
      </c>
      <c r="D53" s="367" t="s">
        <v>504</v>
      </c>
      <c r="E53" s="367" t="s">
        <v>504</v>
      </c>
      <c r="F53" s="367" t="s">
        <v>504</v>
      </c>
      <c r="G53" s="367" t="s">
        <v>504</v>
      </c>
      <c r="H53" s="367" t="s">
        <v>504</v>
      </c>
      <c r="I53" s="367" t="s">
        <v>504</v>
      </c>
      <c r="J53" s="367" t="s">
        <v>504</v>
      </c>
      <c r="K53" s="368" t="s">
        <v>504</v>
      </c>
      <c r="L53" s="23"/>
    </row>
    <row r="54" spans="1:12" s="22" customFormat="1" ht="15.6" x14ac:dyDescent="0.3">
      <c r="A54" s="365" t="s">
        <v>504</v>
      </c>
      <c r="B54" s="367" t="s">
        <v>504</v>
      </c>
      <c r="C54" s="367" t="s">
        <v>504</v>
      </c>
      <c r="D54" s="367" t="s">
        <v>504</v>
      </c>
      <c r="E54" s="367" t="s">
        <v>504</v>
      </c>
      <c r="F54" s="367" t="s">
        <v>504</v>
      </c>
      <c r="G54" s="367" t="s">
        <v>504</v>
      </c>
      <c r="H54" s="367" t="s">
        <v>504</v>
      </c>
      <c r="I54" s="367" t="s">
        <v>504</v>
      </c>
      <c r="J54" s="367" t="s">
        <v>504</v>
      </c>
      <c r="K54" s="368" t="s">
        <v>504</v>
      </c>
      <c r="L54" s="23"/>
    </row>
    <row r="55" spans="1:12" s="22" customFormat="1" ht="15.6" x14ac:dyDescent="0.3">
      <c r="A55" s="365" t="s">
        <v>504</v>
      </c>
      <c r="B55" s="367" t="s">
        <v>504</v>
      </c>
      <c r="C55" s="367" t="s">
        <v>504</v>
      </c>
      <c r="D55" s="367" t="s">
        <v>504</v>
      </c>
      <c r="E55" s="367" t="s">
        <v>504</v>
      </c>
      <c r="F55" s="367" t="s">
        <v>504</v>
      </c>
      <c r="G55" s="367" t="s">
        <v>504</v>
      </c>
      <c r="H55" s="367" t="s">
        <v>504</v>
      </c>
      <c r="I55" s="367" t="s">
        <v>504</v>
      </c>
      <c r="J55" s="367" t="s">
        <v>504</v>
      </c>
      <c r="K55" s="368" t="s">
        <v>504</v>
      </c>
      <c r="L55" s="23"/>
    </row>
    <row r="56" spans="1:12" s="22" customFormat="1" ht="15.6" x14ac:dyDescent="0.3">
      <c r="A56" s="365" t="s">
        <v>504</v>
      </c>
      <c r="B56" s="367" t="s">
        <v>504</v>
      </c>
      <c r="C56" s="367" t="s">
        <v>504</v>
      </c>
      <c r="D56" s="367" t="s">
        <v>504</v>
      </c>
      <c r="E56" s="367" t="s">
        <v>504</v>
      </c>
      <c r="F56" s="367" t="s">
        <v>504</v>
      </c>
      <c r="G56" s="367" t="s">
        <v>504</v>
      </c>
      <c r="H56" s="367" t="s">
        <v>504</v>
      </c>
      <c r="I56" s="367" t="s">
        <v>504</v>
      </c>
      <c r="J56" s="367" t="s">
        <v>504</v>
      </c>
      <c r="K56" s="368" t="s">
        <v>504</v>
      </c>
      <c r="L56" s="23"/>
    </row>
    <row r="57" spans="1:12" s="22" customFormat="1" ht="15.6" x14ac:dyDescent="0.3">
      <c r="A57" s="365" t="s">
        <v>504</v>
      </c>
      <c r="B57" s="367" t="s">
        <v>504</v>
      </c>
      <c r="C57" s="367" t="s">
        <v>504</v>
      </c>
      <c r="D57" s="367" t="s">
        <v>504</v>
      </c>
      <c r="E57" s="367" t="s">
        <v>504</v>
      </c>
      <c r="F57" s="367" t="s">
        <v>504</v>
      </c>
      <c r="G57" s="367" t="s">
        <v>504</v>
      </c>
      <c r="H57" s="367" t="s">
        <v>504</v>
      </c>
      <c r="I57" s="367" t="s">
        <v>504</v>
      </c>
      <c r="J57" s="367" t="s">
        <v>504</v>
      </c>
      <c r="K57" s="368" t="s">
        <v>504</v>
      </c>
      <c r="L57" s="23"/>
    </row>
    <row r="58" spans="1:12" s="22" customFormat="1" ht="15.6" x14ac:dyDescent="0.3">
      <c r="A58" s="365" t="s">
        <v>504</v>
      </c>
      <c r="B58" s="367" t="s">
        <v>504</v>
      </c>
      <c r="C58" s="367" t="s">
        <v>504</v>
      </c>
      <c r="D58" s="367" t="s">
        <v>504</v>
      </c>
      <c r="E58" s="367" t="s">
        <v>504</v>
      </c>
      <c r="F58" s="367" t="s">
        <v>504</v>
      </c>
      <c r="G58" s="367" t="s">
        <v>504</v>
      </c>
      <c r="H58" s="367" t="s">
        <v>504</v>
      </c>
      <c r="I58" s="367" t="s">
        <v>504</v>
      </c>
      <c r="J58" s="367" t="s">
        <v>504</v>
      </c>
      <c r="K58" s="368" t="s">
        <v>504</v>
      </c>
      <c r="L58" s="23"/>
    </row>
    <row r="59" spans="1:12" s="22" customFormat="1" ht="15.6" x14ac:dyDescent="0.3">
      <c r="A59" s="365" t="s">
        <v>504</v>
      </c>
      <c r="B59" s="367" t="s">
        <v>504</v>
      </c>
      <c r="C59" s="367" t="s">
        <v>504</v>
      </c>
      <c r="D59" s="367" t="s">
        <v>504</v>
      </c>
      <c r="E59" s="367" t="s">
        <v>504</v>
      </c>
      <c r="F59" s="367" t="s">
        <v>504</v>
      </c>
      <c r="G59" s="367" t="s">
        <v>504</v>
      </c>
      <c r="H59" s="367" t="s">
        <v>504</v>
      </c>
      <c r="I59" s="367" t="s">
        <v>504</v>
      </c>
      <c r="J59" s="367" t="s">
        <v>504</v>
      </c>
      <c r="K59" s="368" t="s">
        <v>504</v>
      </c>
      <c r="L59" s="23"/>
    </row>
    <row r="60" spans="1:12" s="22" customFormat="1" ht="15.6" x14ac:dyDescent="0.3">
      <c r="A60" s="365" t="s">
        <v>504</v>
      </c>
      <c r="B60" s="367" t="s">
        <v>504</v>
      </c>
      <c r="C60" s="367" t="s">
        <v>504</v>
      </c>
      <c r="D60" s="367" t="s">
        <v>504</v>
      </c>
      <c r="E60" s="367" t="s">
        <v>504</v>
      </c>
      <c r="F60" s="367" t="s">
        <v>504</v>
      </c>
      <c r="G60" s="367" t="s">
        <v>504</v>
      </c>
      <c r="H60" s="367" t="s">
        <v>504</v>
      </c>
      <c r="I60" s="367" t="s">
        <v>504</v>
      </c>
      <c r="J60" s="367" t="s">
        <v>504</v>
      </c>
      <c r="K60" s="368" t="s">
        <v>504</v>
      </c>
      <c r="L60" s="23"/>
    </row>
    <row r="61" spans="1:12" s="22" customFormat="1" ht="15.6" x14ac:dyDescent="0.3">
      <c r="A61" s="365" t="s">
        <v>504</v>
      </c>
      <c r="B61" s="367" t="s">
        <v>504</v>
      </c>
      <c r="C61" s="367" t="s">
        <v>504</v>
      </c>
      <c r="D61" s="367" t="s">
        <v>504</v>
      </c>
      <c r="E61" s="367" t="s">
        <v>504</v>
      </c>
      <c r="F61" s="367" t="s">
        <v>504</v>
      </c>
      <c r="G61" s="367" t="s">
        <v>504</v>
      </c>
      <c r="H61" s="367" t="s">
        <v>504</v>
      </c>
      <c r="I61" s="367" t="s">
        <v>504</v>
      </c>
      <c r="J61" s="367" t="s">
        <v>504</v>
      </c>
      <c r="K61" s="368" t="s">
        <v>504</v>
      </c>
      <c r="L61" s="23"/>
    </row>
    <row r="62" spans="1:12" s="22" customFormat="1" ht="15.6" x14ac:dyDescent="0.3">
      <c r="A62" s="365" t="s">
        <v>504</v>
      </c>
      <c r="B62" s="367" t="s">
        <v>504</v>
      </c>
      <c r="C62" s="367" t="s">
        <v>504</v>
      </c>
      <c r="D62" s="367" t="s">
        <v>504</v>
      </c>
      <c r="E62" s="367" t="s">
        <v>504</v>
      </c>
      <c r="F62" s="367" t="s">
        <v>504</v>
      </c>
      <c r="G62" s="367" t="s">
        <v>504</v>
      </c>
      <c r="H62" s="367" t="s">
        <v>504</v>
      </c>
      <c r="I62" s="367" t="s">
        <v>504</v>
      </c>
      <c r="J62" s="367" t="s">
        <v>504</v>
      </c>
      <c r="K62" s="368" t="s">
        <v>504</v>
      </c>
      <c r="L62" s="23"/>
    </row>
    <row r="63" spans="1:12" s="22" customFormat="1" ht="15.6" x14ac:dyDescent="0.3">
      <c r="A63" s="365" t="s">
        <v>504</v>
      </c>
      <c r="B63" s="367" t="s">
        <v>504</v>
      </c>
      <c r="C63" s="367" t="s">
        <v>504</v>
      </c>
      <c r="D63" s="367" t="s">
        <v>504</v>
      </c>
      <c r="E63" s="367" t="s">
        <v>504</v>
      </c>
      <c r="F63" s="367" t="s">
        <v>504</v>
      </c>
      <c r="G63" s="367" t="s">
        <v>504</v>
      </c>
      <c r="H63" s="367" t="s">
        <v>504</v>
      </c>
      <c r="I63" s="367" t="s">
        <v>504</v>
      </c>
      <c r="J63" s="367" t="s">
        <v>504</v>
      </c>
      <c r="K63" s="368" t="s">
        <v>504</v>
      </c>
      <c r="L63" s="23"/>
    </row>
    <row r="64" spans="1:12" s="22" customFormat="1" ht="15.6" x14ac:dyDescent="0.3">
      <c r="A64" s="365" t="s">
        <v>504</v>
      </c>
      <c r="B64" s="367" t="s">
        <v>504</v>
      </c>
      <c r="C64" s="367" t="s">
        <v>504</v>
      </c>
      <c r="D64" s="367" t="s">
        <v>504</v>
      </c>
      <c r="E64" s="367" t="s">
        <v>504</v>
      </c>
      <c r="F64" s="367" t="s">
        <v>504</v>
      </c>
      <c r="G64" s="367" t="s">
        <v>504</v>
      </c>
      <c r="H64" s="367" t="s">
        <v>504</v>
      </c>
      <c r="I64" s="367" t="s">
        <v>504</v>
      </c>
      <c r="J64" s="367" t="s">
        <v>504</v>
      </c>
      <c r="K64" s="368" t="s">
        <v>504</v>
      </c>
      <c r="L64" s="23"/>
    </row>
    <row r="65" spans="1:12" s="22" customFormat="1" ht="15.6" x14ac:dyDescent="0.3">
      <c r="A65" s="365" t="s">
        <v>504</v>
      </c>
      <c r="B65" s="367" t="s">
        <v>504</v>
      </c>
      <c r="C65" s="367" t="s">
        <v>504</v>
      </c>
      <c r="D65" s="367" t="s">
        <v>504</v>
      </c>
      <c r="E65" s="367" t="s">
        <v>504</v>
      </c>
      <c r="F65" s="367" t="s">
        <v>504</v>
      </c>
      <c r="G65" s="367" t="s">
        <v>504</v>
      </c>
      <c r="H65" s="367" t="s">
        <v>504</v>
      </c>
      <c r="I65" s="367" t="s">
        <v>504</v>
      </c>
      <c r="J65" s="367" t="s">
        <v>504</v>
      </c>
      <c r="K65" s="368" t="s">
        <v>504</v>
      </c>
      <c r="L65" s="23"/>
    </row>
    <row r="66" spans="1:12" s="22" customFormat="1" ht="15.6" x14ac:dyDescent="0.3">
      <c r="A66" s="365" t="s">
        <v>504</v>
      </c>
      <c r="B66" s="367" t="s">
        <v>504</v>
      </c>
      <c r="C66" s="367" t="s">
        <v>504</v>
      </c>
      <c r="D66" s="367" t="s">
        <v>504</v>
      </c>
      <c r="E66" s="367" t="s">
        <v>504</v>
      </c>
      <c r="F66" s="367" t="s">
        <v>504</v>
      </c>
      <c r="G66" s="367" t="s">
        <v>504</v>
      </c>
      <c r="H66" s="367" t="s">
        <v>504</v>
      </c>
      <c r="I66" s="367" t="s">
        <v>504</v>
      </c>
      <c r="J66" s="367" t="s">
        <v>504</v>
      </c>
      <c r="K66" s="368" t="s">
        <v>504</v>
      </c>
      <c r="L66" s="23"/>
    </row>
    <row r="67" spans="1:12" s="22" customFormat="1" ht="15.6" x14ac:dyDescent="0.3">
      <c r="A67" s="365" t="s">
        <v>504</v>
      </c>
      <c r="B67" s="367" t="s">
        <v>504</v>
      </c>
      <c r="C67" s="367" t="s">
        <v>504</v>
      </c>
      <c r="D67" s="367" t="s">
        <v>504</v>
      </c>
      <c r="E67" s="367" t="s">
        <v>504</v>
      </c>
      <c r="F67" s="367" t="s">
        <v>504</v>
      </c>
      <c r="G67" s="367" t="s">
        <v>504</v>
      </c>
      <c r="H67" s="367" t="s">
        <v>504</v>
      </c>
      <c r="I67" s="367" t="s">
        <v>504</v>
      </c>
      <c r="J67" s="367" t="s">
        <v>504</v>
      </c>
      <c r="K67" s="368" t="s">
        <v>504</v>
      </c>
      <c r="L67" s="23"/>
    </row>
    <row r="68" spans="1:12" s="22" customFormat="1" ht="15.6" x14ac:dyDescent="0.3">
      <c r="A68" s="365" t="s">
        <v>504</v>
      </c>
      <c r="B68" s="367" t="s">
        <v>504</v>
      </c>
      <c r="C68" s="367" t="s">
        <v>504</v>
      </c>
      <c r="D68" s="367" t="s">
        <v>504</v>
      </c>
      <c r="E68" s="367" t="s">
        <v>504</v>
      </c>
      <c r="F68" s="367" t="s">
        <v>504</v>
      </c>
      <c r="G68" s="367" t="s">
        <v>504</v>
      </c>
      <c r="H68" s="367" t="s">
        <v>504</v>
      </c>
      <c r="I68" s="367" t="s">
        <v>504</v>
      </c>
      <c r="J68" s="367" t="s">
        <v>504</v>
      </c>
      <c r="K68" s="368" t="s">
        <v>504</v>
      </c>
      <c r="L68" s="23"/>
    </row>
    <row r="69" spans="1:12" s="22" customFormat="1" ht="15.6" x14ac:dyDescent="0.3">
      <c r="A69" s="365" t="s">
        <v>504</v>
      </c>
      <c r="B69" s="367" t="s">
        <v>504</v>
      </c>
      <c r="C69" s="367" t="s">
        <v>504</v>
      </c>
      <c r="D69" s="367" t="s">
        <v>504</v>
      </c>
      <c r="E69" s="367" t="s">
        <v>504</v>
      </c>
      <c r="F69" s="367" t="s">
        <v>504</v>
      </c>
      <c r="G69" s="367" t="s">
        <v>504</v>
      </c>
      <c r="H69" s="367" t="s">
        <v>504</v>
      </c>
      <c r="I69" s="367" t="s">
        <v>504</v>
      </c>
      <c r="J69" s="367" t="s">
        <v>504</v>
      </c>
      <c r="K69" s="368" t="s">
        <v>504</v>
      </c>
      <c r="L69" s="23"/>
    </row>
    <row r="70" spans="1:12" s="22" customFormat="1" ht="15.6" x14ac:dyDescent="0.3">
      <c r="A70" s="365" t="s">
        <v>504</v>
      </c>
      <c r="B70" s="367" t="s">
        <v>504</v>
      </c>
      <c r="C70" s="367" t="s">
        <v>504</v>
      </c>
      <c r="D70" s="367" t="s">
        <v>504</v>
      </c>
      <c r="E70" s="367" t="s">
        <v>504</v>
      </c>
      <c r="F70" s="367" t="s">
        <v>504</v>
      </c>
      <c r="G70" s="367" t="s">
        <v>504</v>
      </c>
      <c r="H70" s="367" t="s">
        <v>504</v>
      </c>
      <c r="I70" s="367" t="s">
        <v>504</v>
      </c>
      <c r="J70" s="367" t="s">
        <v>504</v>
      </c>
      <c r="K70" s="368" t="s">
        <v>504</v>
      </c>
      <c r="L70" s="23"/>
    </row>
    <row r="71" spans="1:12" s="22" customFormat="1" ht="15.6" x14ac:dyDescent="0.3">
      <c r="A71" s="365" t="s">
        <v>504</v>
      </c>
      <c r="B71" s="367" t="s">
        <v>504</v>
      </c>
      <c r="C71" s="367" t="s">
        <v>504</v>
      </c>
      <c r="D71" s="367" t="s">
        <v>504</v>
      </c>
      <c r="E71" s="367" t="s">
        <v>504</v>
      </c>
      <c r="F71" s="367" t="s">
        <v>504</v>
      </c>
      <c r="G71" s="367" t="s">
        <v>504</v>
      </c>
      <c r="H71" s="367" t="s">
        <v>504</v>
      </c>
      <c r="I71" s="367" t="s">
        <v>504</v>
      </c>
      <c r="J71" s="367" t="s">
        <v>504</v>
      </c>
      <c r="K71" s="368" t="s">
        <v>504</v>
      </c>
      <c r="L71" s="23"/>
    </row>
    <row r="72" spans="1:12" s="22" customFormat="1" ht="15.6" x14ac:dyDescent="0.3">
      <c r="A72" s="365" t="s">
        <v>504</v>
      </c>
      <c r="B72" s="367" t="s">
        <v>504</v>
      </c>
      <c r="C72" s="367" t="s">
        <v>504</v>
      </c>
      <c r="D72" s="367" t="s">
        <v>504</v>
      </c>
      <c r="E72" s="367" t="s">
        <v>504</v>
      </c>
      <c r="F72" s="367" t="s">
        <v>504</v>
      </c>
      <c r="G72" s="367" t="s">
        <v>504</v>
      </c>
      <c r="H72" s="367" t="s">
        <v>504</v>
      </c>
      <c r="I72" s="367" t="s">
        <v>504</v>
      </c>
      <c r="J72" s="367" t="s">
        <v>504</v>
      </c>
      <c r="K72" s="368" t="s">
        <v>504</v>
      </c>
      <c r="L72" s="23"/>
    </row>
    <row r="73" spans="1:12" s="22" customFormat="1" ht="15.6" x14ac:dyDescent="0.3">
      <c r="A73" s="365" t="s">
        <v>504</v>
      </c>
      <c r="B73" s="367" t="s">
        <v>504</v>
      </c>
      <c r="C73" s="367" t="s">
        <v>504</v>
      </c>
      <c r="D73" s="367" t="s">
        <v>504</v>
      </c>
      <c r="E73" s="367" t="s">
        <v>504</v>
      </c>
      <c r="F73" s="367" t="s">
        <v>504</v>
      </c>
      <c r="G73" s="367" t="s">
        <v>504</v>
      </c>
      <c r="H73" s="367" t="s">
        <v>504</v>
      </c>
      <c r="I73" s="367" t="s">
        <v>504</v>
      </c>
      <c r="J73" s="367" t="s">
        <v>504</v>
      </c>
      <c r="K73" s="368" t="s">
        <v>504</v>
      </c>
      <c r="L73" s="23"/>
    </row>
    <row r="74" spans="1:12" s="22" customFormat="1" ht="15.6" x14ac:dyDescent="0.3">
      <c r="A74" s="365" t="s">
        <v>504</v>
      </c>
      <c r="B74" s="367" t="s">
        <v>504</v>
      </c>
      <c r="C74" s="367" t="s">
        <v>504</v>
      </c>
      <c r="D74" s="367" t="s">
        <v>504</v>
      </c>
      <c r="E74" s="367" t="s">
        <v>504</v>
      </c>
      <c r="F74" s="367" t="s">
        <v>504</v>
      </c>
      <c r="G74" s="367" t="s">
        <v>504</v>
      </c>
      <c r="H74" s="367" t="s">
        <v>504</v>
      </c>
      <c r="I74" s="367" t="s">
        <v>504</v>
      </c>
      <c r="J74" s="367" t="s">
        <v>504</v>
      </c>
      <c r="K74" s="368" t="s">
        <v>504</v>
      </c>
      <c r="L74" s="23"/>
    </row>
    <row r="75" spans="1:12" s="22" customFormat="1" ht="15.6" x14ac:dyDescent="0.3">
      <c r="A75" s="365" t="s">
        <v>504</v>
      </c>
      <c r="B75" s="367" t="s">
        <v>504</v>
      </c>
      <c r="C75" s="367" t="s">
        <v>504</v>
      </c>
      <c r="D75" s="367" t="s">
        <v>504</v>
      </c>
      <c r="E75" s="367" t="s">
        <v>504</v>
      </c>
      <c r="F75" s="367" t="s">
        <v>504</v>
      </c>
      <c r="G75" s="367" t="s">
        <v>504</v>
      </c>
      <c r="H75" s="367" t="s">
        <v>504</v>
      </c>
      <c r="I75" s="367" t="s">
        <v>504</v>
      </c>
      <c r="J75" s="367" t="s">
        <v>504</v>
      </c>
      <c r="K75" s="368" t="s">
        <v>504</v>
      </c>
      <c r="L75" s="23"/>
    </row>
    <row r="76" spans="1:12" s="22" customFormat="1" ht="15.6" x14ac:dyDescent="0.3">
      <c r="A76" s="365" t="s">
        <v>504</v>
      </c>
      <c r="B76" s="367" t="s">
        <v>504</v>
      </c>
      <c r="C76" s="367" t="s">
        <v>504</v>
      </c>
      <c r="D76" s="367" t="s">
        <v>504</v>
      </c>
      <c r="E76" s="367" t="s">
        <v>504</v>
      </c>
      <c r="F76" s="367" t="s">
        <v>504</v>
      </c>
      <c r="G76" s="367" t="s">
        <v>504</v>
      </c>
      <c r="H76" s="367" t="s">
        <v>504</v>
      </c>
      <c r="I76" s="367" t="s">
        <v>504</v>
      </c>
      <c r="J76" s="367" t="s">
        <v>504</v>
      </c>
      <c r="K76" s="368" t="s">
        <v>504</v>
      </c>
      <c r="L76" s="23"/>
    </row>
    <row r="77" spans="1:12" s="22" customFormat="1" ht="15.6" x14ac:dyDescent="0.3">
      <c r="A77" s="365" t="s">
        <v>504</v>
      </c>
      <c r="B77" s="367" t="s">
        <v>504</v>
      </c>
      <c r="C77" s="367" t="s">
        <v>504</v>
      </c>
      <c r="D77" s="367" t="s">
        <v>504</v>
      </c>
      <c r="E77" s="367" t="s">
        <v>504</v>
      </c>
      <c r="F77" s="367" t="s">
        <v>504</v>
      </c>
      <c r="G77" s="367" t="s">
        <v>504</v>
      </c>
      <c r="H77" s="367" t="s">
        <v>504</v>
      </c>
      <c r="I77" s="367" t="s">
        <v>504</v>
      </c>
      <c r="J77" s="367" t="s">
        <v>504</v>
      </c>
      <c r="K77" s="368" t="s">
        <v>504</v>
      </c>
      <c r="L77" s="23"/>
    </row>
    <row r="78" spans="1:12" s="22" customFormat="1" ht="15.6" x14ac:dyDescent="0.3">
      <c r="A78" s="365" t="s">
        <v>504</v>
      </c>
      <c r="B78" s="367" t="s">
        <v>504</v>
      </c>
      <c r="C78" s="367" t="s">
        <v>504</v>
      </c>
      <c r="D78" s="367" t="s">
        <v>504</v>
      </c>
      <c r="E78" s="367" t="s">
        <v>504</v>
      </c>
      <c r="F78" s="367" t="s">
        <v>504</v>
      </c>
      <c r="G78" s="367" t="s">
        <v>504</v>
      </c>
      <c r="H78" s="367" t="s">
        <v>504</v>
      </c>
      <c r="I78" s="367" t="s">
        <v>504</v>
      </c>
      <c r="J78" s="367" t="s">
        <v>504</v>
      </c>
      <c r="K78" s="368" t="s">
        <v>504</v>
      </c>
      <c r="L78" s="23"/>
    </row>
    <row r="79" spans="1:12" s="22" customFormat="1" ht="15.6" x14ac:dyDescent="0.3">
      <c r="A79" s="365" t="s">
        <v>504</v>
      </c>
      <c r="B79" s="367" t="s">
        <v>504</v>
      </c>
      <c r="C79" s="367" t="s">
        <v>504</v>
      </c>
      <c r="D79" s="367" t="s">
        <v>504</v>
      </c>
      <c r="E79" s="367" t="s">
        <v>504</v>
      </c>
      <c r="F79" s="367" t="s">
        <v>504</v>
      </c>
      <c r="G79" s="367" t="s">
        <v>504</v>
      </c>
      <c r="H79" s="367" t="s">
        <v>504</v>
      </c>
      <c r="I79" s="367" t="s">
        <v>504</v>
      </c>
      <c r="J79" s="367" t="s">
        <v>504</v>
      </c>
      <c r="K79" s="368" t="s">
        <v>504</v>
      </c>
      <c r="L79" s="23"/>
    </row>
    <row r="80" spans="1:12" s="22" customFormat="1" ht="15.6" x14ac:dyDescent="0.3">
      <c r="A80" s="365" t="s">
        <v>504</v>
      </c>
      <c r="B80" s="367" t="s">
        <v>504</v>
      </c>
      <c r="C80" s="367" t="s">
        <v>504</v>
      </c>
      <c r="D80" s="367" t="s">
        <v>504</v>
      </c>
      <c r="E80" s="367" t="s">
        <v>504</v>
      </c>
      <c r="F80" s="367" t="s">
        <v>504</v>
      </c>
      <c r="G80" s="367" t="s">
        <v>504</v>
      </c>
      <c r="H80" s="367" t="s">
        <v>504</v>
      </c>
      <c r="I80" s="367" t="s">
        <v>504</v>
      </c>
      <c r="J80" s="367" t="s">
        <v>504</v>
      </c>
      <c r="K80" s="368" t="s">
        <v>504</v>
      </c>
      <c r="L80" s="23"/>
    </row>
    <row r="81" spans="1:12" s="22" customFormat="1" ht="15.6" x14ac:dyDescent="0.3">
      <c r="A81" s="365" t="s">
        <v>504</v>
      </c>
      <c r="B81" s="367" t="s">
        <v>504</v>
      </c>
      <c r="C81" s="367" t="s">
        <v>504</v>
      </c>
      <c r="D81" s="367" t="s">
        <v>504</v>
      </c>
      <c r="E81" s="367" t="s">
        <v>504</v>
      </c>
      <c r="F81" s="367" t="s">
        <v>504</v>
      </c>
      <c r="G81" s="367" t="s">
        <v>504</v>
      </c>
      <c r="H81" s="367" t="s">
        <v>504</v>
      </c>
      <c r="I81" s="367" t="s">
        <v>504</v>
      </c>
      <c r="J81" s="367" t="s">
        <v>504</v>
      </c>
      <c r="K81" s="368" t="s">
        <v>504</v>
      </c>
      <c r="L81" s="23"/>
    </row>
    <row r="82" spans="1:12" s="22" customFormat="1" ht="15.6" x14ac:dyDescent="0.3">
      <c r="A82" s="365" t="s">
        <v>504</v>
      </c>
      <c r="B82" s="367" t="s">
        <v>504</v>
      </c>
      <c r="C82" s="367" t="s">
        <v>504</v>
      </c>
      <c r="D82" s="367" t="s">
        <v>504</v>
      </c>
      <c r="E82" s="367" t="s">
        <v>504</v>
      </c>
      <c r="F82" s="367" t="s">
        <v>504</v>
      </c>
      <c r="G82" s="367" t="s">
        <v>504</v>
      </c>
      <c r="H82" s="367" t="s">
        <v>504</v>
      </c>
      <c r="I82" s="367" t="s">
        <v>504</v>
      </c>
      <c r="J82" s="367" t="s">
        <v>504</v>
      </c>
      <c r="K82" s="368" t="s">
        <v>504</v>
      </c>
      <c r="L82" s="23"/>
    </row>
    <row r="83" spans="1:12" s="22" customFormat="1" x14ac:dyDescent="0.3">
      <c r="A83" s="354" t="s">
        <v>504</v>
      </c>
      <c r="B83" s="355" t="s">
        <v>504</v>
      </c>
      <c r="C83" s="355" t="s">
        <v>504</v>
      </c>
      <c r="D83" s="355" t="s">
        <v>504</v>
      </c>
      <c r="E83" s="355" t="s">
        <v>504</v>
      </c>
      <c r="F83" s="355" t="s">
        <v>504</v>
      </c>
      <c r="G83" s="355" t="s">
        <v>504</v>
      </c>
      <c r="H83" s="355" t="s">
        <v>504</v>
      </c>
      <c r="I83" s="355" t="s">
        <v>504</v>
      </c>
      <c r="J83" s="355" t="s">
        <v>504</v>
      </c>
      <c r="K83" s="356" t="s">
        <v>504</v>
      </c>
    </row>
    <row r="84" spans="1:12" s="22" customFormat="1" x14ac:dyDescent="0.3">
      <c r="A84" s="354" t="s">
        <v>504</v>
      </c>
      <c r="B84" s="355" t="s">
        <v>504</v>
      </c>
      <c r="C84" s="355" t="s">
        <v>504</v>
      </c>
      <c r="D84" s="355" t="s">
        <v>504</v>
      </c>
      <c r="E84" s="355" t="s">
        <v>504</v>
      </c>
      <c r="F84" s="355" t="s">
        <v>504</v>
      </c>
      <c r="G84" s="355" t="s">
        <v>504</v>
      </c>
      <c r="H84" s="355" t="s">
        <v>504</v>
      </c>
      <c r="I84" s="355" t="s">
        <v>504</v>
      </c>
      <c r="J84" s="355" t="s">
        <v>504</v>
      </c>
      <c r="K84" s="356" t="s">
        <v>504</v>
      </c>
    </row>
    <row r="85" spans="1:12" s="22" customFormat="1" x14ac:dyDescent="0.3">
      <c r="A85" s="354" t="s">
        <v>504</v>
      </c>
      <c r="B85" s="355" t="s">
        <v>504</v>
      </c>
      <c r="C85" s="355" t="s">
        <v>504</v>
      </c>
      <c r="D85" s="355" t="s">
        <v>504</v>
      </c>
      <c r="E85" s="355" t="s">
        <v>504</v>
      </c>
      <c r="F85" s="355" t="s">
        <v>504</v>
      </c>
      <c r="G85" s="355" t="s">
        <v>504</v>
      </c>
      <c r="H85" s="355" t="s">
        <v>504</v>
      </c>
      <c r="I85" s="355" t="s">
        <v>504</v>
      </c>
      <c r="J85" s="355" t="s">
        <v>504</v>
      </c>
      <c r="K85" s="356" t="s">
        <v>504</v>
      </c>
    </row>
    <row r="86" spans="1:12" s="22" customFormat="1" x14ac:dyDescent="0.3">
      <c r="A86" s="354" t="s">
        <v>504</v>
      </c>
      <c r="B86" s="355" t="s">
        <v>504</v>
      </c>
      <c r="C86" s="355" t="s">
        <v>504</v>
      </c>
      <c r="D86" s="355" t="s">
        <v>504</v>
      </c>
      <c r="E86" s="355" t="s">
        <v>504</v>
      </c>
      <c r="F86" s="355" t="s">
        <v>504</v>
      </c>
      <c r="G86" s="355" t="s">
        <v>504</v>
      </c>
      <c r="H86" s="355" t="s">
        <v>504</v>
      </c>
      <c r="I86" s="355" t="s">
        <v>504</v>
      </c>
      <c r="J86" s="355" t="s">
        <v>504</v>
      </c>
      <c r="K86" s="356" t="s">
        <v>504</v>
      </c>
    </row>
    <row r="87" spans="1:12" s="22" customFormat="1" x14ac:dyDescent="0.3">
      <c r="A87" s="354" t="s">
        <v>504</v>
      </c>
      <c r="B87" s="355" t="s">
        <v>504</v>
      </c>
      <c r="C87" s="355" t="s">
        <v>504</v>
      </c>
      <c r="D87" s="355" t="s">
        <v>504</v>
      </c>
      <c r="E87" s="355" t="s">
        <v>504</v>
      </c>
      <c r="F87" s="355" t="s">
        <v>504</v>
      </c>
      <c r="G87" s="355" t="s">
        <v>504</v>
      </c>
      <c r="H87" s="355" t="s">
        <v>504</v>
      </c>
      <c r="I87" s="355" t="s">
        <v>504</v>
      </c>
      <c r="J87" s="355" t="s">
        <v>504</v>
      </c>
      <c r="K87" s="356" t="s">
        <v>504</v>
      </c>
    </row>
    <row r="88" spans="1:12" s="22" customFormat="1" x14ac:dyDescent="0.3">
      <c r="A88" s="354" t="s">
        <v>504</v>
      </c>
      <c r="B88" s="355" t="s">
        <v>504</v>
      </c>
      <c r="C88" s="355" t="s">
        <v>504</v>
      </c>
      <c r="D88" s="355" t="s">
        <v>504</v>
      </c>
      <c r="E88" s="355" t="s">
        <v>504</v>
      </c>
      <c r="F88" s="355" t="s">
        <v>504</v>
      </c>
      <c r="G88" s="355" t="s">
        <v>504</v>
      </c>
      <c r="H88" s="355" t="s">
        <v>504</v>
      </c>
      <c r="I88" s="355" t="s">
        <v>504</v>
      </c>
      <c r="J88" s="355" t="s">
        <v>504</v>
      </c>
      <c r="K88" s="356" t="s">
        <v>504</v>
      </c>
    </row>
    <row r="89" spans="1:12" s="22" customFormat="1" x14ac:dyDescent="0.3">
      <c r="A89" s="354" t="s">
        <v>504</v>
      </c>
      <c r="B89" s="355" t="s">
        <v>504</v>
      </c>
      <c r="C89" s="355" t="s">
        <v>504</v>
      </c>
      <c r="D89" s="355" t="s">
        <v>504</v>
      </c>
      <c r="E89" s="355" t="s">
        <v>504</v>
      </c>
      <c r="F89" s="355" t="s">
        <v>504</v>
      </c>
      <c r="G89" s="355" t="s">
        <v>504</v>
      </c>
      <c r="H89" s="355" t="s">
        <v>504</v>
      </c>
      <c r="I89" s="355" t="s">
        <v>504</v>
      </c>
      <c r="J89" s="355" t="s">
        <v>504</v>
      </c>
      <c r="K89" s="356" t="s">
        <v>504</v>
      </c>
    </row>
    <row r="90" spans="1:12" s="22" customFormat="1" x14ac:dyDescent="0.3">
      <c r="A90" s="354" t="s">
        <v>504</v>
      </c>
      <c r="B90" s="355" t="s">
        <v>504</v>
      </c>
      <c r="C90" s="355" t="s">
        <v>504</v>
      </c>
      <c r="D90" s="355" t="s">
        <v>504</v>
      </c>
      <c r="E90" s="355" t="s">
        <v>504</v>
      </c>
      <c r="F90" s="355" t="s">
        <v>504</v>
      </c>
      <c r="G90" s="355" t="s">
        <v>504</v>
      </c>
      <c r="H90" s="355" t="s">
        <v>504</v>
      </c>
      <c r="I90" s="355" t="s">
        <v>504</v>
      </c>
      <c r="J90" s="355" t="s">
        <v>504</v>
      </c>
      <c r="K90" s="356" t="s">
        <v>504</v>
      </c>
    </row>
    <row r="91" spans="1:12" s="22" customFormat="1" x14ac:dyDescent="0.3">
      <c r="A91" s="354" t="s">
        <v>504</v>
      </c>
      <c r="B91" s="355" t="s">
        <v>504</v>
      </c>
      <c r="C91" s="355" t="s">
        <v>504</v>
      </c>
      <c r="D91" s="355" t="s">
        <v>504</v>
      </c>
      <c r="E91" s="355" t="s">
        <v>504</v>
      </c>
      <c r="F91" s="355" t="s">
        <v>504</v>
      </c>
      <c r="G91" s="355" t="s">
        <v>504</v>
      </c>
      <c r="H91" s="355" t="s">
        <v>504</v>
      </c>
      <c r="I91" s="355" t="s">
        <v>504</v>
      </c>
      <c r="J91" s="355" t="s">
        <v>504</v>
      </c>
      <c r="K91" s="356" t="s">
        <v>504</v>
      </c>
    </row>
    <row r="92" spans="1:12" s="22" customFormat="1" x14ac:dyDescent="0.3">
      <c r="A92" s="354" t="s">
        <v>504</v>
      </c>
      <c r="B92" s="355" t="s">
        <v>504</v>
      </c>
      <c r="C92" s="355" t="s">
        <v>504</v>
      </c>
      <c r="D92" s="355" t="s">
        <v>504</v>
      </c>
      <c r="E92" s="355" t="s">
        <v>504</v>
      </c>
      <c r="F92" s="355" t="s">
        <v>504</v>
      </c>
      <c r="G92" s="355" t="s">
        <v>504</v>
      </c>
      <c r="H92" s="355" t="s">
        <v>504</v>
      </c>
      <c r="I92" s="355" t="s">
        <v>504</v>
      </c>
      <c r="J92" s="355" t="s">
        <v>504</v>
      </c>
      <c r="K92" s="356" t="s">
        <v>504</v>
      </c>
    </row>
    <row r="93" spans="1:12" s="22" customFormat="1" x14ac:dyDescent="0.3">
      <c r="A93" s="354" t="s">
        <v>504</v>
      </c>
      <c r="B93" s="355" t="s">
        <v>504</v>
      </c>
      <c r="C93" s="355" t="s">
        <v>504</v>
      </c>
      <c r="D93" s="355" t="s">
        <v>504</v>
      </c>
      <c r="E93" s="355" t="s">
        <v>504</v>
      </c>
      <c r="F93" s="355" t="s">
        <v>504</v>
      </c>
      <c r="G93" s="355" t="s">
        <v>504</v>
      </c>
      <c r="H93" s="355" t="s">
        <v>504</v>
      </c>
      <c r="I93" s="355" t="s">
        <v>504</v>
      </c>
      <c r="J93" s="355" t="s">
        <v>504</v>
      </c>
      <c r="K93" s="356" t="s">
        <v>504</v>
      </c>
    </row>
    <row r="94" spans="1:12" s="22" customFormat="1" x14ac:dyDescent="0.3">
      <c r="A94" s="354" t="s">
        <v>504</v>
      </c>
      <c r="B94" s="355" t="s">
        <v>504</v>
      </c>
      <c r="C94" s="355" t="s">
        <v>504</v>
      </c>
      <c r="D94" s="355" t="s">
        <v>504</v>
      </c>
      <c r="E94" s="355" t="s">
        <v>504</v>
      </c>
      <c r="F94" s="355" t="s">
        <v>504</v>
      </c>
      <c r="G94" s="355" t="s">
        <v>504</v>
      </c>
      <c r="H94" s="355" t="s">
        <v>504</v>
      </c>
      <c r="I94" s="355" t="s">
        <v>504</v>
      </c>
      <c r="J94" s="355" t="s">
        <v>504</v>
      </c>
      <c r="K94" s="356" t="s">
        <v>504</v>
      </c>
    </row>
    <row r="95" spans="1:12" s="22" customFormat="1" x14ac:dyDescent="0.3">
      <c r="A95" s="354" t="s">
        <v>504</v>
      </c>
      <c r="B95" s="355" t="s">
        <v>504</v>
      </c>
      <c r="C95" s="355" t="s">
        <v>504</v>
      </c>
      <c r="D95" s="355" t="s">
        <v>504</v>
      </c>
      <c r="E95" s="355" t="s">
        <v>504</v>
      </c>
      <c r="F95" s="355" t="s">
        <v>504</v>
      </c>
      <c r="G95" s="355" t="s">
        <v>504</v>
      </c>
      <c r="H95" s="355" t="s">
        <v>504</v>
      </c>
      <c r="I95" s="355" t="s">
        <v>504</v>
      </c>
      <c r="J95" s="355" t="s">
        <v>504</v>
      </c>
      <c r="K95" s="356" t="s">
        <v>504</v>
      </c>
    </row>
    <row r="96" spans="1:12" s="22" customFormat="1" x14ac:dyDescent="0.3">
      <c r="A96" s="354" t="s">
        <v>504</v>
      </c>
      <c r="B96" s="355" t="s">
        <v>504</v>
      </c>
      <c r="C96" s="355" t="s">
        <v>504</v>
      </c>
      <c r="D96" s="355" t="s">
        <v>504</v>
      </c>
      <c r="E96" s="355" t="s">
        <v>504</v>
      </c>
      <c r="F96" s="355" t="s">
        <v>504</v>
      </c>
      <c r="G96" s="355" t="s">
        <v>504</v>
      </c>
      <c r="H96" s="355" t="s">
        <v>504</v>
      </c>
      <c r="I96" s="355" t="s">
        <v>504</v>
      </c>
      <c r="J96" s="355" t="s">
        <v>504</v>
      </c>
      <c r="K96" s="356" t="s">
        <v>504</v>
      </c>
    </row>
    <row r="97" spans="1:11" s="22" customFormat="1" x14ac:dyDescent="0.3">
      <c r="A97" s="354" t="s">
        <v>504</v>
      </c>
      <c r="B97" s="355" t="s">
        <v>504</v>
      </c>
      <c r="C97" s="355" t="s">
        <v>504</v>
      </c>
      <c r="D97" s="355" t="s">
        <v>504</v>
      </c>
      <c r="E97" s="355" t="s">
        <v>504</v>
      </c>
      <c r="F97" s="355" t="s">
        <v>504</v>
      </c>
      <c r="G97" s="355" t="s">
        <v>504</v>
      </c>
      <c r="H97" s="355" t="s">
        <v>504</v>
      </c>
      <c r="I97" s="355" t="s">
        <v>504</v>
      </c>
      <c r="J97" s="355" t="s">
        <v>504</v>
      </c>
      <c r="K97" s="356" t="s">
        <v>504</v>
      </c>
    </row>
    <row r="98" spans="1:11" s="22" customFormat="1" x14ac:dyDescent="0.3">
      <c r="A98" s="354" t="s">
        <v>504</v>
      </c>
      <c r="B98" s="355" t="s">
        <v>504</v>
      </c>
      <c r="C98" s="355" t="s">
        <v>504</v>
      </c>
      <c r="D98" s="355" t="s">
        <v>504</v>
      </c>
      <c r="E98" s="355" t="s">
        <v>504</v>
      </c>
      <c r="F98" s="355" t="s">
        <v>504</v>
      </c>
      <c r="G98" s="355" t="s">
        <v>504</v>
      </c>
      <c r="H98" s="355" t="s">
        <v>504</v>
      </c>
      <c r="I98" s="355" t="s">
        <v>504</v>
      </c>
      <c r="J98" s="355" t="s">
        <v>504</v>
      </c>
      <c r="K98" s="356" t="s">
        <v>504</v>
      </c>
    </row>
    <row r="99" spans="1:11" s="22" customFormat="1" x14ac:dyDescent="0.3">
      <c r="A99" s="354" t="s">
        <v>504</v>
      </c>
      <c r="B99" s="355" t="s">
        <v>504</v>
      </c>
      <c r="C99" s="355" t="s">
        <v>504</v>
      </c>
      <c r="D99" s="355" t="s">
        <v>504</v>
      </c>
      <c r="E99" s="355" t="s">
        <v>504</v>
      </c>
      <c r="F99" s="355" t="s">
        <v>504</v>
      </c>
      <c r="G99" s="355" t="s">
        <v>504</v>
      </c>
      <c r="H99" s="355" t="s">
        <v>504</v>
      </c>
      <c r="I99" s="355" t="s">
        <v>504</v>
      </c>
      <c r="J99" s="355" t="s">
        <v>504</v>
      </c>
      <c r="K99" s="356" t="s">
        <v>504</v>
      </c>
    </row>
    <row r="100" spans="1:11" s="22" customFormat="1" x14ac:dyDescent="0.3">
      <c r="A100" s="354" t="s">
        <v>504</v>
      </c>
      <c r="B100" s="355" t="s">
        <v>504</v>
      </c>
      <c r="C100" s="355" t="s">
        <v>504</v>
      </c>
      <c r="D100" s="355" t="s">
        <v>504</v>
      </c>
      <c r="E100" s="355" t="s">
        <v>504</v>
      </c>
      <c r="F100" s="355" t="s">
        <v>504</v>
      </c>
      <c r="G100" s="355" t="s">
        <v>504</v>
      </c>
      <c r="H100" s="355" t="s">
        <v>504</v>
      </c>
      <c r="I100" s="355" t="s">
        <v>504</v>
      </c>
      <c r="J100" s="355" t="s">
        <v>504</v>
      </c>
      <c r="K100" s="356" t="s">
        <v>504</v>
      </c>
    </row>
    <row r="101" spans="1:11" s="22" customFormat="1" x14ac:dyDescent="0.3">
      <c r="A101" s="354" t="s">
        <v>504</v>
      </c>
      <c r="B101" s="355" t="s">
        <v>504</v>
      </c>
      <c r="C101" s="355" t="s">
        <v>504</v>
      </c>
      <c r="D101" s="355" t="s">
        <v>504</v>
      </c>
      <c r="E101" s="355" t="s">
        <v>504</v>
      </c>
      <c r="F101" s="355" t="s">
        <v>504</v>
      </c>
      <c r="G101" s="355" t="s">
        <v>504</v>
      </c>
      <c r="H101" s="355" t="s">
        <v>504</v>
      </c>
      <c r="I101" s="355" t="s">
        <v>504</v>
      </c>
      <c r="J101" s="355" t="s">
        <v>504</v>
      </c>
      <c r="K101" s="356" t="s">
        <v>504</v>
      </c>
    </row>
    <row r="102" spans="1:11" s="22" customFormat="1" x14ac:dyDescent="0.3">
      <c r="A102" s="354" t="s">
        <v>504</v>
      </c>
      <c r="B102" s="355" t="s">
        <v>504</v>
      </c>
      <c r="C102" s="355" t="s">
        <v>504</v>
      </c>
      <c r="D102" s="355" t="s">
        <v>504</v>
      </c>
      <c r="E102" s="355" t="s">
        <v>504</v>
      </c>
      <c r="F102" s="355" t="s">
        <v>504</v>
      </c>
      <c r="G102" s="355" t="s">
        <v>504</v>
      </c>
      <c r="H102" s="355" t="s">
        <v>504</v>
      </c>
      <c r="I102" s="355" t="s">
        <v>504</v>
      </c>
      <c r="J102" s="355" t="s">
        <v>504</v>
      </c>
      <c r="K102" s="356" t="s">
        <v>504</v>
      </c>
    </row>
    <row r="103" spans="1:11" s="22" customFormat="1" x14ac:dyDescent="0.3">
      <c r="A103" s="354" t="s">
        <v>504</v>
      </c>
      <c r="B103" s="355" t="s">
        <v>504</v>
      </c>
      <c r="C103" s="355" t="s">
        <v>504</v>
      </c>
      <c r="D103" s="355" t="s">
        <v>504</v>
      </c>
      <c r="E103" s="355" t="s">
        <v>504</v>
      </c>
      <c r="F103" s="355" t="s">
        <v>504</v>
      </c>
      <c r="G103" s="355" t="s">
        <v>504</v>
      </c>
      <c r="H103" s="355" t="s">
        <v>504</v>
      </c>
      <c r="I103" s="355" t="s">
        <v>504</v>
      </c>
      <c r="J103" s="355" t="s">
        <v>504</v>
      </c>
      <c r="K103" s="356" t="s">
        <v>504</v>
      </c>
    </row>
    <row r="104" spans="1:11" s="22" customFormat="1" x14ac:dyDescent="0.3">
      <c r="A104" s="354" t="s">
        <v>504</v>
      </c>
      <c r="B104" s="355" t="s">
        <v>504</v>
      </c>
      <c r="C104" s="355" t="s">
        <v>504</v>
      </c>
      <c r="D104" s="355" t="s">
        <v>504</v>
      </c>
      <c r="E104" s="355" t="s">
        <v>504</v>
      </c>
      <c r="F104" s="355" t="s">
        <v>504</v>
      </c>
      <c r="G104" s="355" t="s">
        <v>504</v>
      </c>
      <c r="H104" s="355" t="s">
        <v>504</v>
      </c>
      <c r="I104" s="355" t="s">
        <v>504</v>
      </c>
      <c r="J104" s="355" t="s">
        <v>504</v>
      </c>
      <c r="K104" s="356" t="s">
        <v>504</v>
      </c>
    </row>
    <row r="105" spans="1:11" s="22" customFormat="1" x14ac:dyDescent="0.3">
      <c r="A105" s="354" t="s">
        <v>504</v>
      </c>
      <c r="B105" s="355" t="s">
        <v>504</v>
      </c>
      <c r="C105" s="355" t="s">
        <v>504</v>
      </c>
      <c r="D105" s="355" t="s">
        <v>504</v>
      </c>
      <c r="E105" s="355" t="s">
        <v>504</v>
      </c>
      <c r="F105" s="355" t="s">
        <v>504</v>
      </c>
      <c r="G105" s="355" t="s">
        <v>504</v>
      </c>
      <c r="H105" s="355" t="s">
        <v>504</v>
      </c>
      <c r="I105" s="355" t="s">
        <v>504</v>
      </c>
      <c r="J105" s="355" t="s">
        <v>504</v>
      </c>
      <c r="K105" s="356" t="s">
        <v>504</v>
      </c>
    </row>
    <row r="106" spans="1:11" s="22" customFormat="1" x14ac:dyDescent="0.3">
      <c r="A106" s="354" t="s">
        <v>504</v>
      </c>
      <c r="B106" s="355" t="s">
        <v>504</v>
      </c>
      <c r="C106" s="355" t="s">
        <v>504</v>
      </c>
      <c r="D106" s="355" t="s">
        <v>504</v>
      </c>
      <c r="E106" s="355" t="s">
        <v>504</v>
      </c>
      <c r="F106" s="355" t="s">
        <v>504</v>
      </c>
      <c r="G106" s="355" t="s">
        <v>504</v>
      </c>
      <c r="H106" s="355" t="s">
        <v>504</v>
      </c>
      <c r="I106" s="355" t="s">
        <v>504</v>
      </c>
      <c r="J106" s="355" t="s">
        <v>504</v>
      </c>
      <c r="K106" s="356" t="s">
        <v>504</v>
      </c>
    </row>
    <row r="107" spans="1:11" s="22" customFormat="1" x14ac:dyDescent="0.3">
      <c r="A107" s="354" t="s">
        <v>504</v>
      </c>
      <c r="B107" s="355" t="s">
        <v>504</v>
      </c>
      <c r="C107" s="355" t="s">
        <v>504</v>
      </c>
      <c r="D107" s="355" t="s">
        <v>504</v>
      </c>
      <c r="E107" s="355" t="s">
        <v>504</v>
      </c>
      <c r="F107" s="355" t="s">
        <v>504</v>
      </c>
      <c r="G107" s="355" t="s">
        <v>504</v>
      </c>
      <c r="H107" s="355" t="s">
        <v>504</v>
      </c>
      <c r="I107" s="355" t="s">
        <v>504</v>
      </c>
      <c r="J107" s="355" t="s">
        <v>504</v>
      </c>
      <c r="K107" s="356" t="s">
        <v>504</v>
      </c>
    </row>
    <row r="108" spans="1:11" s="22" customFormat="1" x14ac:dyDescent="0.3">
      <c r="A108" s="354" t="s">
        <v>504</v>
      </c>
      <c r="B108" s="355" t="s">
        <v>504</v>
      </c>
      <c r="C108" s="355" t="s">
        <v>504</v>
      </c>
      <c r="D108" s="355" t="s">
        <v>504</v>
      </c>
      <c r="E108" s="355" t="s">
        <v>504</v>
      </c>
      <c r="F108" s="355" t="s">
        <v>504</v>
      </c>
      <c r="G108" s="355" t="s">
        <v>504</v>
      </c>
      <c r="H108" s="355" t="s">
        <v>504</v>
      </c>
      <c r="I108" s="355" t="s">
        <v>504</v>
      </c>
      <c r="J108" s="355" t="s">
        <v>504</v>
      </c>
      <c r="K108" s="356" t="s">
        <v>504</v>
      </c>
    </row>
    <row r="109" spans="1:11" s="22" customFormat="1" x14ac:dyDescent="0.3">
      <c r="A109" s="354" t="s">
        <v>504</v>
      </c>
      <c r="B109" s="355" t="s">
        <v>504</v>
      </c>
      <c r="C109" s="355" t="s">
        <v>504</v>
      </c>
      <c r="D109" s="355" t="s">
        <v>504</v>
      </c>
      <c r="E109" s="355" t="s">
        <v>504</v>
      </c>
      <c r="F109" s="355" t="s">
        <v>504</v>
      </c>
      <c r="G109" s="355" t="s">
        <v>504</v>
      </c>
      <c r="H109" s="355" t="s">
        <v>504</v>
      </c>
      <c r="I109" s="355" t="s">
        <v>504</v>
      </c>
      <c r="J109" s="355" t="s">
        <v>504</v>
      </c>
      <c r="K109" s="356" t="s">
        <v>504</v>
      </c>
    </row>
    <row r="110" spans="1:11" s="22" customFormat="1" x14ac:dyDescent="0.3">
      <c r="A110" s="354" t="s">
        <v>504</v>
      </c>
      <c r="B110" s="355" t="s">
        <v>504</v>
      </c>
      <c r="C110" s="355" t="s">
        <v>504</v>
      </c>
      <c r="D110" s="355" t="s">
        <v>504</v>
      </c>
      <c r="E110" s="355" t="s">
        <v>504</v>
      </c>
      <c r="F110" s="355" t="s">
        <v>504</v>
      </c>
      <c r="G110" s="355" t="s">
        <v>504</v>
      </c>
      <c r="H110" s="355" t="s">
        <v>504</v>
      </c>
      <c r="I110" s="355" t="s">
        <v>504</v>
      </c>
      <c r="J110" s="355" t="s">
        <v>504</v>
      </c>
      <c r="K110" s="356" t="s">
        <v>504</v>
      </c>
    </row>
    <row r="111" spans="1:11" s="22" customFormat="1" x14ac:dyDescent="0.3">
      <c r="A111" s="354" t="s">
        <v>504</v>
      </c>
      <c r="B111" s="355" t="s">
        <v>504</v>
      </c>
      <c r="C111" s="355" t="s">
        <v>504</v>
      </c>
      <c r="D111" s="355" t="s">
        <v>504</v>
      </c>
      <c r="E111" s="355" t="s">
        <v>504</v>
      </c>
      <c r="F111" s="355" t="s">
        <v>504</v>
      </c>
      <c r="G111" s="355" t="s">
        <v>504</v>
      </c>
      <c r="H111" s="355" t="s">
        <v>504</v>
      </c>
      <c r="I111" s="355" t="s">
        <v>504</v>
      </c>
      <c r="J111" s="355" t="s">
        <v>504</v>
      </c>
      <c r="K111" s="356" t="s">
        <v>504</v>
      </c>
    </row>
    <row r="112" spans="1:11" s="22" customFormat="1" x14ac:dyDescent="0.3">
      <c r="A112" s="354" t="s">
        <v>504</v>
      </c>
      <c r="B112" s="355" t="s">
        <v>504</v>
      </c>
      <c r="C112" s="355" t="s">
        <v>504</v>
      </c>
      <c r="D112" s="355" t="s">
        <v>504</v>
      </c>
      <c r="E112" s="355" t="s">
        <v>504</v>
      </c>
      <c r="F112" s="355" t="s">
        <v>504</v>
      </c>
      <c r="G112" s="355" t="s">
        <v>504</v>
      </c>
      <c r="H112" s="355" t="s">
        <v>504</v>
      </c>
      <c r="I112" s="355" t="s">
        <v>504</v>
      </c>
      <c r="J112" s="355" t="s">
        <v>504</v>
      </c>
      <c r="K112" s="356" t="s">
        <v>504</v>
      </c>
    </row>
    <row r="113" spans="1:11" s="22" customFormat="1" x14ac:dyDescent="0.3">
      <c r="A113" s="354" t="s">
        <v>504</v>
      </c>
      <c r="B113" s="355" t="s">
        <v>504</v>
      </c>
      <c r="C113" s="355" t="s">
        <v>504</v>
      </c>
      <c r="D113" s="355" t="s">
        <v>504</v>
      </c>
      <c r="E113" s="355" t="s">
        <v>504</v>
      </c>
      <c r="F113" s="355" t="s">
        <v>504</v>
      </c>
      <c r="G113" s="355" t="s">
        <v>504</v>
      </c>
      <c r="H113" s="355" t="s">
        <v>504</v>
      </c>
      <c r="I113" s="355" t="s">
        <v>504</v>
      </c>
      <c r="J113" s="355" t="s">
        <v>504</v>
      </c>
      <c r="K113" s="356" t="s">
        <v>504</v>
      </c>
    </row>
    <row r="114" spans="1:11" s="22" customFormat="1" x14ac:dyDescent="0.3">
      <c r="A114" s="354" t="s">
        <v>504</v>
      </c>
      <c r="B114" s="355" t="s">
        <v>504</v>
      </c>
      <c r="C114" s="355" t="s">
        <v>504</v>
      </c>
      <c r="D114" s="355" t="s">
        <v>504</v>
      </c>
      <c r="E114" s="355" t="s">
        <v>504</v>
      </c>
      <c r="F114" s="355" t="s">
        <v>504</v>
      </c>
      <c r="G114" s="355" t="s">
        <v>504</v>
      </c>
      <c r="H114" s="355" t="s">
        <v>504</v>
      </c>
      <c r="I114" s="355" t="s">
        <v>504</v>
      </c>
      <c r="J114" s="355" t="s">
        <v>504</v>
      </c>
      <c r="K114" s="356" t="s">
        <v>504</v>
      </c>
    </row>
    <row r="115" spans="1:11" s="22" customFormat="1" x14ac:dyDescent="0.3">
      <c r="A115" s="354" t="s">
        <v>504</v>
      </c>
      <c r="B115" s="355" t="s">
        <v>504</v>
      </c>
      <c r="C115" s="355" t="s">
        <v>504</v>
      </c>
      <c r="D115" s="355" t="s">
        <v>504</v>
      </c>
      <c r="E115" s="355" t="s">
        <v>504</v>
      </c>
      <c r="F115" s="355" t="s">
        <v>504</v>
      </c>
      <c r="G115" s="355" t="s">
        <v>504</v>
      </c>
      <c r="H115" s="355" t="s">
        <v>504</v>
      </c>
      <c r="I115" s="355" t="s">
        <v>504</v>
      </c>
      <c r="J115" s="355" t="s">
        <v>504</v>
      </c>
      <c r="K115" s="356" t="s">
        <v>504</v>
      </c>
    </row>
    <row r="116" spans="1:11" s="22" customFormat="1" x14ac:dyDescent="0.3">
      <c r="A116" s="354" t="s">
        <v>504</v>
      </c>
      <c r="B116" s="355" t="s">
        <v>504</v>
      </c>
      <c r="C116" s="355" t="s">
        <v>504</v>
      </c>
      <c r="D116" s="355" t="s">
        <v>504</v>
      </c>
      <c r="E116" s="355" t="s">
        <v>504</v>
      </c>
      <c r="F116" s="355" t="s">
        <v>504</v>
      </c>
      <c r="G116" s="355" t="s">
        <v>504</v>
      </c>
      <c r="H116" s="355" t="s">
        <v>504</v>
      </c>
      <c r="I116" s="355" t="s">
        <v>504</v>
      </c>
      <c r="J116" s="355" t="s">
        <v>504</v>
      </c>
      <c r="K116" s="356" t="s">
        <v>504</v>
      </c>
    </row>
    <row r="117" spans="1:11" s="22" customFormat="1" x14ac:dyDescent="0.3">
      <c r="A117" s="354" t="s">
        <v>504</v>
      </c>
      <c r="B117" s="355" t="s">
        <v>504</v>
      </c>
      <c r="C117" s="355" t="s">
        <v>504</v>
      </c>
      <c r="D117" s="355" t="s">
        <v>504</v>
      </c>
      <c r="E117" s="355" t="s">
        <v>504</v>
      </c>
      <c r="F117" s="355" t="s">
        <v>504</v>
      </c>
      <c r="G117" s="355" t="s">
        <v>504</v>
      </c>
      <c r="H117" s="355" t="s">
        <v>504</v>
      </c>
      <c r="I117" s="355" t="s">
        <v>504</v>
      </c>
      <c r="J117" s="355" t="s">
        <v>504</v>
      </c>
      <c r="K117" s="356" t="s">
        <v>504</v>
      </c>
    </row>
    <row r="118" spans="1:11" s="22" customFormat="1" x14ac:dyDescent="0.3">
      <c r="A118" s="354" t="s">
        <v>504</v>
      </c>
      <c r="B118" s="355" t="s">
        <v>504</v>
      </c>
      <c r="C118" s="355" t="s">
        <v>504</v>
      </c>
      <c r="D118" s="355" t="s">
        <v>504</v>
      </c>
      <c r="E118" s="355" t="s">
        <v>504</v>
      </c>
      <c r="F118" s="355" t="s">
        <v>504</v>
      </c>
      <c r="G118" s="355" t="s">
        <v>504</v>
      </c>
      <c r="H118" s="355" t="s">
        <v>504</v>
      </c>
      <c r="I118" s="355" t="s">
        <v>504</v>
      </c>
      <c r="J118" s="355" t="s">
        <v>504</v>
      </c>
      <c r="K118" s="356" t="s">
        <v>504</v>
      </c>
    </row>
    <row r="119" spans="1:11" s="22" customFormat="1" x14ac:dyDescent="0.3">
      <c r="A119" s="354" t="s">
        <v>504</v>
      </c>
      <c r="B119" s="355" t="s">
        <v>504</v>
      </c>
      <c r="C119" s="355" t="s">
        <v>504</v>
      </c>
      <c r="D119" s="355" t="s">
        <v>504</v>
      </c>
      <c r="E119" s="355" t="s">
        <v>504</v>
      </c>
      <c r="F119" s="355" t="s">
        <v>504</v>
      </c>
      <c r="G119" s="355" t="s">
        <v>504</v>
      </c>
      <c r="H119" s="355" t="s">
        <v>504</v>
      </c>
      <c r="I119" s="355" t="s">
        <v>504</v>
      </c>
      <c r="J119" s="355" t="s">
        <v>504</v>
      </c>
      <c r="K119" s="356" t="s">
        <v>504</v>
      </c>
    </row>
    <row r="120" spans="1:11" s="22" customFormat="1" x14ac:dyDescent="0.3">
      <c r="A120" s="354" t="s">
        <v>504</v>
      </c>
      <c r="B120" s="355" t="s">
        <v>504</v>
      </c>
      <c r="C120" s="355" t="s">
        <v>504</v>
      </c>
      <c r="D120" s="355" t="s">
        <v>504</v>
      </c>
      <c r="E120" s="355" t="s">
        <v>504</v>
      </c>
      <c r="F120" s="355" t="s">
        <v>504</v>
      </c>
      <c r="G120" s="355" t="s">
        <v>504</v>
      </c>
      <c r="H120" s="355" t="s">
        <v>504</v>
      </c>
      <c r="I120" s="355" t="s">
        <v>504</v>
      </c>
      <c r="J120" s="355" t="s">
        <v>504</v>
      </c>
      <c r="K120" s="356" t="s">
        <v>504</v>
      </c>
    </row>
    <row r="121" spans="1:11" s="22" customFormat="1" x14ac:dyDescent="0.3">
      <c r="A121" s="354" t="s">
        <v>504</v>
      </c>
      <c r="B121" s="355" t="s">
        <v>504</v>
      </c>
      <c r="C121" s="355" t="s">
        <v>504</v>
      </c>
      <c r="D121" s="355" t="s">
        <v>504</v>
      </c>
      <c r="E121" s="355" t="s">
        <v>504</v>
      </c>
      <c r="F121" s="355" t="s">
        <v>504</v>
      </c>
      <c r="G121" s="355" t="s">
        <v>504</v>
      </c>
      <c r="H121" s="355" t="s">
        <v>504</v>
      </c>
      <c r="I121" s="355" t="s">
        <v>504</v>
      </c>
      <c r="J121" s="355" t="s">
        <v>504</v>
      </c>
      <c r="K121" s="356" t="s">
        <v>504</v>
      </c>
    </row>
    <row r="122" spans="1:11" s="22" customFormat="1" x14ac:dyDescent="0.3">
      <c r="A122" s="354" t="s">
        <v>504</v>
      </c>
      <c r="B122" s="355" t="s">
        <v>504</v>
      </c>
      <c r="C122" s="355" t="s">
        <v>504</v>
      </c>
      <c r="D122" s="355" t="s">
        <v>504</v>
      </c>
      <c r="E122" s="355" t="s">
        <v>504</v>
      </c>
      <c r="F122" s="355" t="s">
        <v>504</v>
      </c>
      <c r="G122" s="355" t="s">
        <v>504</v>
      </c>
      <c r="H122" s="355" t="s">
        <v>504</v>
      </c>
      <c r="I122" s="355" t="s">
        <v>504</v>
      </c>
      <c r="J122" s="355" t="s">
        <v>504</v>
      </c>
      <c r="K122" s="356" t="s">
        <v>504</v>
      </c>
    </row>
    <row r="123" spans="1:11" s="22" customFormat="1" x14ac:dyDescent="0.3">
      <c r="A123" s="354" t="s">
        <v>504</v>
      </c>
      <c r="B123" s="355" t="s">
        <v>504</v>
      </c>
      <c r="C123" s="355" t="s">
        <v>504</v>
      </c>
      <c r="D123" s="355" t="s">
        <v>504</v>
      </c>
      <c r="E123" s="355" t="s">
        <v>504</v>
      </c>
      <c r="F123" s="355" t="s">
        <v>504</v>
      </c>
      <c r="G123" s="355" t="s">
        <v>504</v>
      </c>
      <c r="H123" s="355" t="s">
        <v>504</v>
      </c>
      <c r="I123" s="355" t="s">
        <v>504</v>
      </c>
      <c r="J123" s="355" t="s">
        <v>504</v>
      </c>
      <c r="K123" s="356" t="s">
        <v>504</v>
      </c>
    </row>
    <row r="124" spans="1:11" s="22" customFormat="1" x14ac:dyDescent="0.3">
      <c r="A124" s="354" t="s">
        <v>504</v>
      </c>
      <c r="B124" s="355" t="s">
        <v>504</v>
      </c>
      <c r="C124" s="355" t="s">
        <v>504</v>
      </c>
      <c r="D124" s="355" t="s">
        <v>504</v>
      </c>
      <c r="E124" s="355" t="s">
        <v>504</v>
      </c>
      <c r="F124" s="355" t="s">
        <v>504</v>
      </c>
      <c r="G124" s="355" t="s">
        <v>504</v>
      </c>
      <c r="H124" s="355" t="s">
        <v>504</v>
      </c>
      <c r="I124" s="355" t="s">
        <v>504</v>
      </c>
      <c r="J124" s="355" t="s">
        <v>504</v>
      </c>
      <c r="K124" s="356" t="s">
        <v>504</v>
      </c>
    </row>
    <row r="125" spans="1:11" s="22" customFormat="1" x14ac:dyDescent="0.3">
      <c r="A125" s="354" t="s">
        <v>504</v>
      </c>
      <c r="B125" s="355" t="s">
        <v>504</v>
      </c>
      <c r="C125" s="355" t="s">
        <v>504</v>
      </c>
      <c r="D125" s="355" t="s">
        <v>504</v>
      </c>
      <c r="E125" s="355" t="s">
        <v>504</v>
      </c>
      <c r="F125" s="355" t="s">
        <v>504</v>
      </c>
      <c r="G125" s="355" t="s">
        <v>504</v>
      </c>
      <c r="H125" s="355" t="s">
        <v>504</v>
      </c>
      <c r="I125" s="355" t="s">
        <v>504</v>
      </c>
      <c r="J125" s="355" t="s">
        <v>504</v>
      </c>
      <c r="K125" s="356" t="s">
        <v>504</v>
      </c>
    </row>
    <row r="126" spans="1:11" s="22" customFormat="1" x14ac:dyDescent="0.3">
      <c r="A126" s="354" t="s">
        <v>504</v>
      </c>
      <c r="B126" s="355" t="s">
        <v>504</v>
      </c>
      <c r="C126" s="355" t="s">
        <v>504</v>
      </c>
      <c r="D126" s="355" t="s">
        <v>504</v>
      </c>
      <c r="E126" s="355" t="s">
        <v>504</v>
      </c>
      <c r="F126" s="355" t="s">
        <v>504</v>
      </c>
      <c r="G126" s="355" t="s">
        <v>504</v>
      </c>
      <c r="H126" s="355" t="s">
        <v>504</v>
      </c>
      <c r="I126" s="355" t="s">
        <v>504</v>
      </c>
      <c r="J126" s="355" t="s">
        <v>504</v>
      </c>
      <c r="K126" s="356" t="s">
        <v>504</v>
      </c>
    </row>
    <row r="127" spans="1:11" s="22" customFormat="1" x14ac:dyDescent="0.3">
      <c r="A127" s="354" t="s">
        <v>504</v>
      </c>
      <c r="B127" s="355" t="s">
        <v>504</v>
      </c>
      <c r="C127" s="355" t="s">
        <v>504</v>
      </c>
      <c r="D127" s="355" t="s">
        <v>504</v>
      </c>
      <c r="E127" s="355" t="s">
        <v>504</v>
      </c>
      <c r="F127" s="355" t="s">
        <v>504</v>
      </c>
      <c r="G127" s="355" t="s">
        <v>504</v>
      </c>
      <c r="H127" s="355" t="s">
        <v>504</v>
      </c>
      <c r="I127" s="355" t="s">
        <v>504</v>
      </c>
      <c r="J127" s="355" t="s">
        <v>504</v>
      </c>
      <c r="K127" s="356" t="s">
        <v>504</v>
      </c>
    </row>
    <row r="128" spans="1:11" s="22" customFormat="1" x14ac:dyDescent="0.3">
      <c r="A128" s="354" t="s">
        <v>504</v>
      </c>
      <c r="B128" s="355" t="s">
        <v>504</v>
      </c>
      <c r="C128" s="355" t="s">
        <v>504</v>
      </c>
      <c r="D128" s="355" t="s">
        <v>504</v>
      </c>
      <c r="E128" s="355" t="s">
        <v>504</v>
      </c>
      <c r="F128" s="355" t="s">
        <v>504</v>
      </c>
      <c r="G128" s="355" t="s">
        <v>504</v>
      </c>
      <c r="H128" s="355" t="s">
        <v>504</v>
      </c>
      <c r="I128" s="355" t="s">
        <v>504</v>
      </c>
      <c r="J128" s="355" t="s">
        <v>504</v>
      </c>
      <c r="K128" s="356" t="s">
        <v>504</v>
      </c>
    </row>
    <row r="129" spans="1:11" s="22" customFormat="1" x14ac:dyDescent="0.3">
      <c r="A129" s="354" t="s">
        <v>504</v>
      </c>
      <c r="B129" s="355" t="s">
        <v>504</v>
      </c>
      <c r="C129" s="355" t="s">
        <v>504</v>
      </c>
      <c r="D129" s="355" t="s">
        <v>504</v>
      </c>
      <c r="E129" s="355" t="s">
        <v>504</v>
      </c>
      <c r="F129" s="355" t="s">
        <v>504</v>
      </c>
      <c r="G129" s="355" t="s">
        <v>504</v>
      </c>
      <c r="H129" s="355" t="s">
        <v>504</v>
      </c>
      <c r="I129" s="355" t="s">
        <v>504</v>
      </c>
      <c r="J129" s="355" t="s">
        <v>504</v>
      </c>
      <c r="K129" s="356" t="s">
        <v>504</v>
      </c>
    </row>
    <row r="130" spans="1:11" s="22" customFormat="1" x14ac:dyDescent="0.3">
      <c r="A130" s="354" t="s">
        <v>504</v>
      </c>
      <c r="B130" s="355" t="s">
        <v>504</v>
      </c>
      <c r="C130" s="355" t="s">
        <v>504</v>
      </c>
      <c r="D130" s="355" t="s">
        <v>504</v>
      </c>
      <c r="E130" s="355" t="s">
        <v>504</v>
      </c>
      <c r="F130" s="355" t="s">
        <v>504</v>
      </c>
      <c r="G130" s="355" t="s">
        <v>504</v>
      </c>
      <c r="H130" s="355" t="s">
        <v>504</v>
      </c>
      <c r="I130" s="355" t="s">
        <v>504</v>
      </c>
      <c r="J130" s="355" t="s">
        <v>504</v>
      </c>
      <c r="K130" s="356" t="s">
        <v>504</v>
      </c>
    </row>
    <row r="131" spans="1:11" s="22" customFormat="1" x14ac:dyDescent="0.3">
      <c r="A131" s="354" t="s">
        <v>504</v>
      </c>
      <c r="B131" s="355" t="s">
        <v>504</v>
      </c>
      <c r="C131" s="355" t="s">
        <v>504</v>
      </c>
      <c r="D131" s="355" t="s">
        <v>504</v>
      </c>
      <c r="E131" s="355" t="s">
        <v>504</v>
      </c>
      <c r="F131" s="355" t="s">
        <v>504</v>
      </c>
      <c r="G131" s="355" t="s">
        <v>504</v>
      </c>
      <c r="H131" s="355" t="s">
        <v>504</v>
      </c>
      <c r="I131" s="355" t="s">
        <v>504</v>
      </c>
      <c r="J131" s="355" t="s">
        <v>504</v>
      </c>
      <c r="K131" s="356" t="s">
        <v>504</v>
      </c>
    </row>
    <row r="132" spans="1:11" s="22" customFormat="1" x14ac:dyDescent="0.3">
      <c r="A132" s="354" t="s">
        <v>504</v>
      </c>
      <c r="B132" s="355" t="s">
        <v>504</v>
      </c>
      <c r="C132" s="355" t="s">
        <v>504</v>
      </c>
      <c r="D132" s="355" t="s">
        <v>504</v>
      </c>
      <c r="E132" s="355" t="s">
        <v>504</v>
      </c>
      <c r="F132" s="355" t="s">
        <v>504</v>
      </c>
      <c r="G132" s="355" t="s">
        <v>504</v>
      </c>
      <c r="H132" s="355" t="s">
        <v>504</v>
      </c>
      <c r="I132" s="355" t="s">
        <v>504</v>
      </c>
      <c r="J132" s="355" t="s">
        <v>504</v>
      </c>
      <c r="K132" s="356" t="s">
        <v>504</v>
      </c>
    </row>
    <row r="133" spans="1:11" s="22" customFormat="1" x14ac:dyDescent="0.3">
      <c r="A133" s="354" t="s">
        <v>504</v>
      </c>
      <c r="B133" s="355" t="s">
        <v>504</v>
      </c>
      <c r="C133" s="355" t="s">
        <v>504</v>
      </c>
      <c r="D133" s="355" t="s">
        <v>504</v>
      </c>
      <c r="E133" s="355" t="s">
        <v>504</v>
      </c>
      <c r="F133" s="355" t="s">
        <v>504</v>
      </c>
      <c r="G133" s="355" t="s">
        <v>504</v>
      </c>
      <c r="H133" s="355" t="s">
        <v>504</v>
      </c>
      <c r="I133" s="355" t="s">
        <v>504</v>
      </c>
      <c r="J133" s="355" t="s">
        <v>504</v>
      </c>
      <c r="K133" s="356" t="s">
        <v>504</v>
      </c>
    </row>
    <row r="134" spans="1:11" s="22" customFormat="1" x14ac:dyDescent="0.3">
      <c r="A134" s="354" t="s">
        <v>504</v>
      </c>
      <c r="B134" s="355" t="s">
        <v>504</v>
      </c>
      <c r="C134" s="355" t="s">
        <v>504</v>
      </c>
      <c r="D134" s="355" t="s">
        <v>504</v>
      </c>
      <c r="E134" s="355" t="s">
        <v>504</v>
      </c>
      <c r="F134" s="355" t="s">
        <v>504</v>
      </c>
      <c r="G134" s="355" t="s">
        <v>504</v>
      </c>
      <c r="H134" s="355" t="s">
        <v>504</v>
      </c>
      <c r="I134" s="355" t="s">
        <v>504</v>
      </c>
      <c r="J134" s="355" t="s">
        <v>504</v>
      </c>
      <c r="K134" s="356" t="s">
        <v>504</v>
      </c>
    </row>
    <row r="135" spans="1:11" s="22" customFormat="1" x14ac:dyDescent="0.3">
      <c r="A135" s="354" t="s">
        <v>504</v>
      </c>
      <c r="B135" s="355" t="s">
        <v>504</v>
      </c>
      <c r="C135" s="355" t="s">
        <v>504</v>
      </c>
      <c r="D135" s="355" t="s">
        <v>504</v>
      </c>
      <c r="E135" s="355" t="s">
        <v>504</v>
      </c>
      <c r="F135" s="355" t="s">
        <v>504</v>
      </c>
      <c r="G135" s="355" t="s">
        <v>504</v>
      </c>
      <c r="H135" s="355" t="s">
        <v>504</v>
      </c>
      <c r="I135" s="355" t="s">
        <v>504</v>
      </c>
      <c r="J135" s="355" t="s">
        <v>504</v>
      </c>
      <c r="K135" s="356" t="s">
        <v>504</v>
      </c>
    </row>
    <row r="136" spans="1:11" s="22" customFormat="1" x14ac:dyDescent="0.3">
      <c r="A136" s="354" t="s">
        <v>504</v>
      </c>
      <c r="B136" s="355" t="s">
        <v>504</v>
      </c>
      <c r="C136" s="355" t="s">
        <v>504</v>
      </c>
      <c r="D136" s="355" t="s">
        <v>504</v>
      </c>
      <c r="E136" s="355" t="s">
        <v>504</v>
      </c>
      <c r="F136" s="355" t="s">
        <v>504</v>
      </c>
      <c r="G136" s="355" t="s">
        <v>504</v>
      </c>
      <c r="H136" s="355" t="s">
        <v>504</v>
      </c>
      <c r="I136" s="355" t="s">
        <v>504</v>
      </c>
      <c r="J136" s="355" t="s">
        <v>504</v>
      </c>
      <c r="K136" s="356" t="s">
        <v>504</v>
      </c>
    </row>
    <row r="137" spans="1:11" s="22" customFormat="1" x14ac:dyDescent="0.3">
      <c r="A137" s="354" t="s">
        <v>504</v>
      </c>
      <c r="B137" s="355" t="s">
        <v>504</v>
      </c>
      <c r="C137" s="355" t="s">
        <v>504</v>
      </c>
      <c r="D137" s="355" t="s">
        <v>504</v>
      </c>
      <c r="E137" s="355" t="s">
        <v>504</v>
      </c>
      <c r="F137" s="355" t="s">
        <v>504</v>
      </c>
      <c r="G137" s="355" t="s">
        <v>504</v>
      </c>
      <c r="H137" s="355" t="s">
        <v>504</v>
      </c>
      <c r="I137" s="355" t="s">
        <v>504</v>
      </c>
      <c r="J137" s="355" t="s">
        <v>504</v>
      </c>
      <c r="K137" s="356" t="s">
        <v>504</v>
      </c>
    </row>
    <row r="138" spans="1:11" s="22" customFormat="1" x14ac:dyDescent="0.3">
      <c r="A138" s="354" t="s">
        <v>504</v>
      </c>
      <c r="B138" s="355" t="s">
        <v>504</v>
      </c>
      <c r="C138" s="355" t="s">
        <v>504</v>
      </c>
      <c r="D138" s="355" t="s">
        <v>504</v>
      </c>
      <c r="E138" s="355" t="s">
        <v>504</v>
      </c>
      <c r="F138" s="355" t="s">
        <v>504</v>
      </c>
      <c r="G138" s="355" t="s">
        <v>504</v>
      </c>
      <c r="H138" s="355" t="s">
        <v>504</v>
      </c>
      <c r="I138" s="355" t="s">
        <v>504</v>
      </c>
      <c r="J138" s="355" t="s">
        <v>504</v>
      </c>
      <c r="K138" s="356" t="s">
        <v>504</v>
      </c>
    </row>
    <row r="139" spans="1:11" s="22" customFormat="1" x14ac:dyDescent="0.3">
      <c r="A139" s="354" t="s">
        <v>504</v>
      </c>
      <c r="B139" s="355" t="s">
        <v>504</v>
      </c>
      <c r="C139" s="355" t="s">
        <v>504</v>
      </c>
      <c r="D139" s="355" t="s">
        <v>504</v>
      </c>
      <c r="E139" s="355" t="s">
        <v>504</v>
      </c>
      <c r="F139" s="355" t="s">
        <v>504</v>
      </c>
      <c r="G139" s="355" t="s">
        <v>504</v>
      </c>
      <c r="H139" s="355" t="s">
        <v>504</v>
      </c>
      <c r="I139" s="355" t="s">
        <v>504</v>
      </c>
      <c r="J139" s="355" t="s">
        <v>504</v>
      </c>
      <c r="K139" s="356" t="s">
        <v>504</v>
      </c>
    </row>
    <row r="140" spans="1:11" s="22" customFormat="1" x14ac:dyDescent="0.3">
      <c r="A140" s="354" t="s">
        <v>504</v>
      </c>
      <c r="B140" s="355" t="s">
        <v>504</v>
      </c>
      <c r="C140" s="355" t="s">
        <v>504</v>
      </c>
      <c r="D140" s="355" t="s">
        <v>504</v>
      </c>
      <c r="E140" s="355" t="s">
        <v>504</v>
      </c>
      <c r="F140" s="355" t="s">
        <v>504</v>
      </c>
      <c r="G140" s="355" t="s">
        <v>504</v>
      </c>
      <c r="H140" s="355" t="s">
        <v>504</v>
      </c>
      <c r="I140" s="355" t="s">
        <v>504</v>
      </c>
      <c r="J140" s="355" t="s">
        <v>504</v>
      </c>
      <c r="K140" s="356" t="s">
        <v>504</v>
      </c>
    </row>
    <row r="141" spans="1:11" s="22" customFormat="1" x14ac:dyDescent="0.3">
      <c r="A141" s="354" t="s">
        <v>504</v>
      </c>
      <c r="B141" s="355" t="s">
        <v>504</v>
      </c>
      <c r="C141" s="355" t="s">
        <v>504</v>
      </c>
      <c r="D141" s="355" t="s">
        <v>504</v>
      </c>
      <c r="E141" s="355" t="s">
        <v>504</v>
      </c>
      <c r="F141" s="355" t="s">
        <v>504</v>
      </c>
      <c r="G141" s="355" t="s">
        <v>504</v>
      </c>
      <c r="H141" s="355" t="s">
        <v>504</v>
      </c>
      <c r="I141" s="355" t="s">
        <v>504</v>
      </c>
      <c r="J141" s="355" t="s">
        <v>504</v>
      </c>
      <c r="K141" s="356" t="s">
        <v>504</v>
      </c>
    </row>
    <row r="142" spans="1:11" s="22" customFormat="1" x14ac:dyDescent="0.3">
      <c r="A142" s="354" t="s">
        <v>504</v>
      </c>
      <c r="B142" s="355" t="s">
        <v>504</v>
      </c>
      <c r="C142" s="355" t="s">
        <v>504</v>
      </c>
      <c r="D142" s="355" t="s">
        <v>504</v>
      </c>
      <c r="E142" s="355" t="s">
        <v>504</v>
      </c>
      <c r="F142" s="355" t="s">
        <v>504</v>
      </c>
      <c r="G142" s="355" t="s">
        <v>504</v>
      </c>
      <c r="H142" s="355" t="s">
        <v>504</v>
      </c>
      <c r="I142" s="355" t="s">
        <v>504</v>
      </c>
      <c r="J142" s="355" t="s">
        <v>504</v>
      </c>
      <c r="K142" s="356" t="s">
        <v>504</v>
      </c>
    </row>
    <row r="143" spans="1:11" s="22" customFormat="1" x14ac:dyDescent="0.3">
      <c r="A143" s="354" t="s">
        <v>504</v>
      </c>
      <c r="B143" s="355" t="s">
        <v>504</v>
      </c>
      <c r="C143" s="355" t="s">
        <v>504</v>
      </c>
      <c r="D143" s="355" t="s">
        <v>504</v>
      </c>
      <c r="E143" s="355" t="s">
        <v>504</v>
      </c>
      <c r="F143" s="355" t="s">
        <v>504</v>
      </c>
      <c r="G143" s="355" t="s">
        <v>504</v>
      </c>
      <c r="H143" s="355" t="s">
        <v>504</v>
      </c>
      <c r="I143" s="355" t="s">
        <v>504</v>
      </c>
      <c r="J143" s="355" t="s">
        <v>504</v>
      </c>
      <c r="K143" s="356" t="s">
        <v>504</v>
      </c>
    </row>
    <row r="144" spans="1:11" s="22" customFormat="1" x14ac:dyDescent="0.3">
      <c r="A144" s="354" t="s">
        <v>504</v>
      </c>
      <c r="B144" s="355" t="s">
        <v>504</v>
      </c>
      <c r="C144" s="355" t="s">
        <v>504</v>
      </c>
      <c r="D144" s="355" t="s">
        <v>504</v>
      </c>
      <c r="E144" s="355" t="s">
        <v>504</v>
      </c>
      <c r="F144" s="355" t="s">
        <v>504</v>
      </c>
      <c r="G144" s="355" t="s">
        <v>504</v>
      </c>
      <c r="H144" s="355" t="s">
        <v>504</v>
      </c>
      <c r="I144" s="355" t="s">
        <v>504</v>
      </c>
      <c r="J144" s="355" t="s">
        <v>504</v>
      </c>
      <c r="K144" s="356" t="s">
        <v>504</v>
      </c>
    </row>
    <row r="145" spans="1:11" s="22" customFormat="1" x14ac:dyDescent="0.3">
      <c r="A145" s="354" t="s">
        <v>504</v>
      </c>
      <c r="B145" s="355" t="s">
        <v>504</v>
      </c>
      <c r="C145" s="355" t="s">
        <v>504</v>
      </c>
      <c r="D145" s="355" t="s">
        <v>504</v>
      </c>
      <c r="E145" s="355" t="s">
        <v>504</v>
      </c>
      <c r="F145" s="355" t="s">
        <v>504</v>
      </c>
      <c r="G145" s="355" t="s">
        <v>504</v>
      </c>
      <c r="H145" s="355" t="s">
        <v>504</v>
      </c>
      <c r="I145" s="355" t="s">
        <v>504</v>
      </c>
      <c r="J145" s="355" t="s">
        <v>504</v>
      </c>
      <c r="K145" s="356" t="s">
        <v>504</v>
      </c>
    </row>
    <row r="146" spans="1:11" s="22" customFormat="1" x14ac:dyDescent="0.3">
      <c r="A146" s="354" t="s">
        <v>504</v>
      </c>
      <c r="B146" s="355" t="s">
        <v>504</v>
      </c>
      <c r="C146" s="355" t="s">
        <v>504</v>
      </c>
      <c r="D146" s="355" t="s">
        <v>504</v>
      </c>
      <c r="E146" s="355" t="s">
        <v>504</v>
      </c>
      <c r="F146" s="355" t="s">
        <v>504</v>
      </c>
      <c r="G146" s="355" t="s">
        <v>504</v>
      </c>
      <c r="H146" s="355" t="s">
        <v>504</v>
      </c>
      <c r="I146" s="355" t="s">
        <v>504</v>
      </c>
      <c r="J146" s="355" t="s">
        <v>504</v>
      </c>
      <c r="K146" s="356" t="s">
        <v>504</v>
      </c>
    </row>
    <row r="147" spans="1:11" s="22" customFormat="1" x14ac:dyDescent="0.3">
      <c r="A147" s="354" t="s">
        <v>504</v>
      </c>
      <c r="B147" s="355" t="s">
        <v>504</v>
      </c>
      <c r="C147" s="355" t="s">
        <v>504</v>
      </c>
      <c r="D147" s="355" t="s">
        <v>504</v>
      </c>
      <c r="E147" s="355" t="s">
        <v>504</v>
      </c>
      <c r="F147" s="355" t="s">
        <v>504</v>
      </c>
      <c r="G147" s="355" t="s">
        <v>504</v>
      </c>
      <c r="H147" s="355" t="s">
        <v>504</v>
      </c>
      <c r="I147" s="355" t="s">
        <v>504</v>
      </c>
      <c r="J147" s="355" t="s">
        <v>504</v>
      </c>
      <c r="K147" s="356" t="s">
        <v>504</v>
      </c>
    </row>
    <row r="148" spans="1:11" s="22" customFormat="1" x14ac:dyDescent="0.3">
      <c r="A148" s="354" t="s">
        <v>504</v>
      </c>
      <c r="B148" s="355" t="s">
        <v>504</v>
      </c>
      <c r="C148" s="355" t="s">
        <v>504</v>
      </c>
      <c r="D148" s="355" t="s">
        <v>504</v>
      </c>
      <c r="E148" s="355" t="s">
        <v>504</v>
      </c>
      <c r="F148" s="355" t="s">
        <v>504</v>
      </c>
      <c r="G148" s="355" t="s">
        <v>504</v>
      </c>
      <c r="H148" s="355" t="s">
        <v>504</v>
      </c>
      <c r="I148" s="355" t="s">
        <v>504</v>
      </c>
      <c r="J148" s="355" t="s">
        <v>504</v>
      </c>
      <c r="K148" s="356" t="s">
        <v>504</v>
      </c>
    </row>
    <row r="149" spans="1:11" s="22" customFormat="1" x14ac:dyDescent="0.3">
      <c r="A149" s="354" t="s">
        <v>504</v>
      </c>
      <c r="B149" s="355" t="s">
        <v>504</v>
      </c>
      <c r="C149" s="355" t="s">
        <v>504</v>
      </c>
      <c r="D149" s="355" t="s">
        <v>504</v>
      </c>
      <c r="E149" s="355" t="s">
        <v>504</v>
      </c>
      <c r="F149" s="355" t="s">
        <v>504</v>
      </c>
      <c r="G149" s="355" t="s">
        <v>504</v>
      </c>
      <c r="H149" s="355" t="s">
        <v>504</v>
      </c>
      <c r="I149" s="355" t="s">
        <v>504</v>
      </c>
      <c r="J149" s="355" t="s">
        <v>504</v>
      </c>
      <c r="K149" s="356" t="s">
        <v>504</v>
      </c>
    </row>
    <row r="150" spans="1:11" s="22" customFormat="1" x14ac:dyDescent="0.3">
      <c r="A150" s="354" t="s">
        <v>504</v>
      </c>
      <c r="B150" s="355" t="s">
        <v>504</v>
      </c>
      <c r="C150" s="355" t="s">
        <v>504</v>
      </c>
      <c r="D150" s="355" t="s">
        <v>504</v>
      </c>
      <c r="E150" s="355" t="s">
        <v>504</v>
      </c>
      <c r="F150" s="355" t="s">
        <v>504</v>
      </c>
      <c r="G150" s="355" t="s">
        <v>504</v>
      </c>
      <c r="H150" s="355" t="s">
        <v>504</v>
      </c>
      <c r="I150" s="355" t="s">
        <v>504</v>
      </c>
      <c r="J150" s="355" t="s">
        <v>504</v>
      </c>
      <c r="K150" s="356" t="s">
        <v>504</v>
      </c>
    </row>
    <row r="151" spans="1:11" s="22" customFormat="1" x14ac:dyDescent="0.3">
      <c r="A151" s="354" t="s">
        <v>504</v>
      </c>
      <c r="B151" s="355" t="s">
        <v>504</v>
      </c>
      <c r="C151" s="355" t="s">
        <v>504</v>
      </c>
      <c r="D151" s="355" t="s">
        <v>504</v>
      </c>
      <c r="E151" s="355" t="s">
        <v>504</v>
      </c>
      <c r="F151" s="355" t="s">
        <v>504</v>
      </c>
      <c r="G151" s="355" t="s">
        <v>504</v>
      </c>
      <c r="H151" s="355" t="s">
        <v>504</v>
      </c>
      <c r="I151" s="355" t="s">
        <v>504</v>
      </c>
      <c r="J151" s="355" t="s">
        <v>504</v>
      </c>
      <c r="K151" s="356" t="s">
        <v>504</v>
      </c>
    </row>
    <row r="152" spans="1:11" s="22" customFormat="1" x14ac:dyDescent="0.3">
      <c r="A152" s="354" t="s">
        <v>504</v>
      </c>
      <c r="B152" s="355" t="s">
        <v>504</v>
      </c>
      <c r="C152" s="355" t="s">
        <v>504</v>
      </c>
      <c r="D152" s="355" t="s">
        <v>504</v>
      </c>
      <c r="E152" s="355" t="s">
        <v>504</v>
      </c>
      <c r="F152" s="355" t="s">
        <v>504</v>
      </c>
      <c r="G152" s="355" t="s">
        <v>504</v>
      </c>
      <c r="H152" s="355" t="s">
        <v>504</v>
      </c>
      <c r="I152" s="355" t="s">
        <v>504</v>
      </c>
      <c r="J152" s="355" t="s">
        <v>504</v>
      </c>
      <c r="K152" s="356" t="s">
        <v>504</v>
      </c>
    </row>
    <row r="153" spans="1:11" s="22" customFormat="1" x14ac:dyDescent="0.3">
      <c r="A153" s="354" t="s">
        <v>504</v>
      </c>
      <c r="B153" s="355" t="s">
        <v>504</v>
      </c>
      <c r="C153" s="355" t="s">
        <v>504</v>
      </c>
      <c r="D153" s="355" t="s">
        <v>504</v>
      </c>
      <c r="E153" s="355" t="s">
        <v>504</v>
      </c>
      <c r="F153" s="355" t="s">
        <v>504</v>
      </c>
      <c r="G153" s="355" t="s">
        <v>504</v>
      </c>
      <c r="H153" s="355" t="s">
        <v>504</v>
      </c>
      <c r="I153" s="355" t="s">
        <v>504</v>
      </c>
      <c r="J153" s="355" t="s">
        <v>504</v>
      </c>
      <c r="K153" s="356" t="s">
        <v>504</v>
      </c>
    </row>
    <row r="154" spans="1:11" s="22" customFormat="1" x14ac:dyDescent="0.3">
      <c r="A154" s="354" t="s">
        <v>504</v>
      </c>
      <c r="B154" s="355" t="s">
        <v>504</v>
      </c>
      <c r="C154" s="355" t="s">
        <v>504</v>
      </c>
      <c r="D154" s="355" t="s">
        <v>504</v>
      </c>
      <c r="E154" s="355" t="s">
        <v>504</v>
      </c>
      <c r="F154" s="355" t="s">
        <v>504</v>
      </c>
      <c r="G154" s="355" t="s">
        <v>504</v>
      </c>
      <c r="H154" s="355" t="s">
        <v>504</v>
      </c>
      <c r="I154" s="355" t="s">
        <v>504</v>
      </c>
      <c r="J154" s="355" t="s">
        <v>504</v>
      </c>
      <c r="K154" s="356" t="s">
        <v>504</v>
      </c>
    </row>
    <row r="155" spans="1:11" s="22" customFormat="1" x14ac:dyDescent="0.3">
      <c r="A155" s="354" t="s">
        <v>504</v>
      </c>
      <c r="B155" s="355" t="s">
        <v>504</v>
      </c>
      <c r="C155" s="355" t="s">
        <v>504</v>
      </c>
      <c r="D155" s="355" t="s">
        <v>504</v>
      </c>
      <c r="E155" s="355" t="s">
        <v>504</v>
      </c>
      <c r="F155" s="355" t="s">
        <v>504</v>
      </c>
      <c r="G155" s="355" t="s">
        <v>504</v>
      </c>
      <c r="H155" s="355" t="s">
        <v>504</v>
      </c>
      <c r="I155" s="355" t="s">
        <v>504</v>
      </c>
      <c r="J155" s="355" t="s">
        <v>504</v>
      </c>
      <c r="K155" s="356" t="s">
        <v>504</v>
      </c>
    </row>
    <row r="156" spans="1:11" s="22" customFormat="1" x14ac:dyDescent="0.3">
      <c r="A156" s="354" t="s">
        <v>504</v>
      </c>
      <c r="B156" s="355" t="s">
        <v>504</v>
      </c>
      <c r="C156" s="355" t="s">
        <v>504</v>
      </c>
      <c r="D156" s="355" t="s">
        <v>504</v>
      </c>
      <c r="E156" s="355" t="s">
        <v>504</v>
      </c>
      <c r="F156" s="355" t="s">
        <v>504</v>
      </c>
      <c r="G156" s="355" t="s">
        <v>504</v>
      </c>
      <c r="H156" s="355" t="s">
        <v>504</v>
      </c>
      <c r="I156" s="355" t="s">
        <v>504</v>
      </c>
      <c r="J156" s="355" t="s">
        <v>504</v>
      </c>
      <c r="K156" s="356" t="s">
        <v>504</v>
      </c>
    </row>
    <row r="157" spans="1:11" s="22" customFormat="1" x14ac:dyDescent="0.3">
      <c r="A157" s="354" t="s">
        <v>504</v>
      </c>
      <c r="B157" s="355" t="s">
        <v>504</v>
      </c>
      <c r="C157" s="355" t="s">
        <v>504</v>
      </c>
      <c r="D157" s="355" t="s">
        <v>504</v>
      </c>
      <c r="E157" s="355" t="s">
        <v>504</v>
      </c>
      <c r="F157" s="355" t="s">
        <v>504</v>
      </c>
      <c r="G157" s="355" t="s">
        <v>504</v>
      </c>
      <c r="H157" s="355" t="s">
        <v>504</v>
      </c>
      <c r="I157" s="355" t="s">
        <v>504</v>
      </c>
      <c r="J157" s="355" t="s">
        <v>504</v>
      </c>
      <c r="K157" s="356" t="s">
        <v>504</v>
      </c>
    </row>
    <row r="158" spans="1:11" s="22" customFormat="1" ht="15" thickBot="1" x14ac:dyDescent="0.35">
      <c r="A158" s="357" t="s">
        <v>504</v>
      </c>
      <c r="B158" s="358" t="s">
        <v>504</v>
      </c>
      <c r="C158" s="358" t="s">
        <v>504</v>
      </c>
      <c r="D158" s="358" t="s">
        <v>504</v>
      </c>
      <c r="E158" s="358" t="s">
        <v>504</v>
      </c>
      <c r="F158" s="358" t="s">
        <v>504</v>
      </c>
      <c r="G158" s="358" t="s">
        <v>504</v>
      </c>
      <c r="H158" s="358" t="s">
        <v>504</v>
      </c>
      <c r="I158" s="358" t="s">
        <v>504</v>
      </c>
      <c r="J158" s="358" t="s">
        <v>504</v>
      </c>
      <c r="K158" s="359" t="s">
        <v>504</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heetViews>
  <sheetFormatPr baseColWidth="10" defaultRowHeight="14.4" x14ac:dyDescent="0.3"/>
  <cols>
    <col min="1" max="1" width="20.109375" customWidth="1"/>
  </cols>
  <sheetData>
    <row r="1" spans="1:13" ht="15.6" x14ac:dyDescent="0.3">
      <c r="A1" s="1" t="s">
        <v>208</v>
      </c>
      <c r="B1" s="19" t="s">
        <v>300</v>
      </c>
    </row>
    <row r="2" spans="1:13" ht="16.2" thickBot="1" x14ac:dyDescent="0.35">
      <c r="A2" s="1" t="s">
        <v>301</v>
      </c>
    </row>
    <row r="3" spans="1:13" ht="16.2" thickTop="1" x14ac:dyDescent="0.3">
      <c r="B3" s="388">
        <v>1971</v>
      </c>
      <c r="C3" s="389"/>
      <c r="D3" s="390"/>
      <c r="E3" s="388">
        <v>1979</v>
      </c>
      <c r="F3" s="389"/>
      <c r="G3" s="390"/>
      <c r="H3" s="388">
        <v>2009</v>
      </c>
      <c r="I3" s="389"/>
      <c r="J3" s="390"/>
      <c r="K3" s="388">
        <v>2014</v>
      </c>
      <c r="L3" s="389"/>
      <c r="M3" s="390"/>
    </row>
    <row r="4" spans="1:13" ht="15.6" x14ac:dyDescent="0.3">
      <c r="A4" s="1" t="s">
        <v>233</v>
      </c>
      <c r="B4" s="38">
        <v>4922</v>
      </c>
      <c r="C4" s="51">
        <f>B4/B$4</f>
        <v>1</v>
      </c>
      <c r="D4" s="37"/>
      <c r="E4" s="38">
        <v>3786</v>
      </c>
      <c r="F4" s="51">
        <f>E4/E$4</f>
        <v>1</v>
      </c>
      <c r="G4" s="37"/>
      <c r="H4" s="38">
        <v>36641</v>
      </c>
      <c r="I4" s="51">
        <f>H4/H$4</f>
        <v>1</v>
      </c>
      <c r="J4" s="37"/>
      <c r="K4" s="38">
        <v>22301</v>
      </c>
      <c r="L4" s="51">
        <f>K4/K$4</f>
        <v>1</v>
      </c>
      <c r="M4" s="37"/>
    </row>
    <row r="5" spans="1:13" ht="15.6" x14ac:dyDescent="0.3">
      <c r="A5" s="1" t="s">
        <v>232</v>
      </c>
      <c r="B5" s="38">
        <f>B4-B13</f>
        <v>4332</v>
      </c>
      <c r="C5" s="51">
        <f t="shared" ref="C5:C13" si="0">B5/B$4</f>
        <v>0.88013002844372201</v>
      </c>
      <c r="D5" s="37">
        <f>B5/B$5</f>
        <v>1</v>
      </c>
      <c r="E5" s="38">
        <f>E4-E13</f>
        <v>3423</v>
      </c>
      <c r="F5" s="51">
        <f t="shared" ref="F5:F13" si="1">E5/E$4</f>
        <v>0.90412044374009504</v>
      </c>
      <c r="G5" s="37">
        <f>E5/E$5</f>
        <v>1</v>
      </c>
      <c r="H5" s="38">
        <f>H4-H13</f>
        <v>32068</v>
      </c>
      <c r="I5" s="51">
        <f t="shared" ref="I5:I13" si="2">H5/H$4</f>
        <v>0.87519445429982801</v>
      </c>
      <c r="J5" s="37">
        <f>H5/H$5</f>
        <v>1</v>
      </c>
      <c r="K5" s="38">
        <f>K4-K13</f>
        <v>20112</v>
      </c>
      <c r="L5" s="51">
        <f t="shared" ref="L5:L13" si="3">K5/K$4</f>
        <v>0.90184296668310837</v>
      </c>
      <c r="M5" s="37">
        <f>K5/K$5</f>
        <v>1</v>
      </c>
    </row>
    <row r="6" spans="1:13" ht="15.6" x14ac:dyDescent="0.3">
      <c r="A6" s="1" t="s">
        <v>226</v>
      </c>
      <c r="B6" s="38">
        <v>327</v>
      </c>
      <c r="C6" s="51">
        <f t="shared" si="0"/>
        <v>6.6436407964242175E-2</v>
      </c>
      <c r="D6" s="37">
        <f t="shared" ref="D6:D12" si="4">B6/B$5</f>
        <v>7.5484764542936289E-2</v>
      </c>
      <c r="E6" s="38">
        <v>252</v>
      </c>
      <c r="F6" s="51">
        <f t="shared" si="1"/>
        <v>6.6561014263074481E-2</v>
      </c>
      <c r="G6" s="37">
        <f t="shared" ref="G6:G12" si="5">E6/E$5</f>
        <v>7.3619631901840496E-2</v>
      </c>
      <c r="H6" s="38">
        <v>1964</v>
      </c>
      <c r="I6" s="51">
        <f t="shared" si="2"/>
        <v>5.3601157173657925E-2</v>
      </c>
      <c r="J6" s="37">
        <f t="shared" ref="J6:J12" si="6">H6/H$5</f>
        <v>6.124485468379693E-2</v>
      </c>
      <c r="K6" s="38">
        <v>1154</v>
      </c>
      <c r="L6" s="51">
        <f t="shared" si="3"/>
        <v>5.174655845029371E-2</v>
      </c>
      <c r="M6" s="37">
        <f t="shared" ref="M6:M12" si="7">K6/K$5</f>
        <v>5.7378679395385837E-2</v>
      </c>
    </row>
    <row r="7" spans="1:13" ht="15.6" x14ac:dyDescent="0.3">
      <c r="A7" s="1" t="s">
        <v>227</v>
      </c>
      <c r="B7" s="38">
        <v>164</v>
      </c>
      <c r="C7" s="51">
        <f t="shared" si="0"/>
        <v>3.3319788703778955E-2</v>
      </c>
      <c r="D7" s="37">
        <f t="shared" si="4"/>
        <v>3.7857802400738688E-2</v>
      </c>
      <c r="E7" s="38">
        <v>152</v>
      </c>
      <c r="F7" s="51">
        <f t="shared" si="1"/>
        <v>4.0147913365029056E-2</v>
      </c>
      <c r="G7" s="37">
        <f t="shared" si="5"/>
        <v>4.4405492258252993E-2</v>
      </c>
      <c r="H7" s="38">
        <v>1407</v>
      </c>
      <c r="I7" s="51">
        <f t="shared" si="2"/>
        <v>3.839960699762561E-2</v>
      </c>
      <c r="J7" s="37">
        <f t="shared" si="6"/>
        <v>4.3875514531620308E-2</v>
      </c>
      <c r="K7" s="38">
        <v>855</v>
      </c>
      <c r="L7" s="51">
        <f t="shared" si="3"/>
        <v>3.8339087933276533E-2</v>
      </c>
      <c r="M7" s="37">
        <f t="shared" si="7"/>
        <v>4.2511933174224345E-2</v>
      </c>
    </row>
    <row r="8" spans="1:13" ht="15.6" x14ac:dyDescent="0.3">
      <c r="A8" s="1" t="s">
        <v>228</v>
      </c>
      <c r="B8" s="38">
        <f>18+66+1+7</f>
        <v>92</v>
      </c>
      <c r="C8" s="51">
        <f t="shared" si="0"/>
        <v>1.8691588785046728E-2</v>
      </c>
      <c r="D8" s="37">
        <f t="shared" si="4"/>
        <v>2.1237303785780239E-2</v>
      </c>
      <c r="E8" s="38">
        <f>62+1</f>
        <v>63</v>
      </c>
      <c r="F8" s="51">
        <f t="shared" si="1"/>
        <v>1.664025356576862E-2</v>
      </c>
      <c r="G8" s="37">
        <f t="shared" si="5"/>
        <v>1.8404907975460124E-2</v>
      </c>
      <c r="H8" s="38">
        <v>477</v>
      </c>
      <c r="I8" s="51">
        <f t="shared" si="2"/>
        <v>1.3018203651647062E-2</v>
      </c>
      <c r="J8" s="37">
        <f t="shared" si="6"/>
        <v>1.4874641387052514E-2</v>
      </c>
      <c r="K8" s="38">
        <v>168</v>
      </c>
      <c r="L8" s="51">
        <f t="shared" si="3"/>
        <v>7.533294471099951E-3</v>
      </c>
      <c r="M8" s="37">
        <f t="shared" si="7"/>
        <v>8.3532219570405727E-3</v>
      </c>
    </row>
    <row r="9" spans="1:13" ht="15.6" x14ac:dyDescent="0.3">
      <c r="A9" s="1" t="s">
        <v>229</v>
      </c>
      <c r="B9" s="38">
        <v>0</v>
      </c>
      <c r="C9" s="51">
        <f t="shared" si="0"/>
        <v>0</v>
      </c>
      <c r="D9" s="37">
        <f t="shared" si="4"/>
        <v>0</v>
      </c>
      <c r="E9" s="38">
        <v>0</v>
      </c>
      <c r="F9" s="51">
        <f t="shared" si="1"/>
        <v>0</v>
      </c>
      <c r="G9" s="37">
        <f t="shared" si="5"/>
        <v>0</v>
      </c>
      <c r="H9" s="38">
        <v>381</v>
      </c>
      <c r="I9" s="51">
        <f t="shared" si="2"/>
        <v>1.0398187822384761E-2</v>
      </c>
      <c r="J9" s="37">
        <f t="shared" si="6"/>
        <v>1.1881002868903579E-2</v>
      </c>
      <c r="K9" s="38">
        <v>277</v>
      </c>
      <c r="L9" s="51">
        <f t="shared" si="3"/>
        <v>1.2420967669611227E-2</v>
      </c>
      <c r="M9" s="37">
        <f t="shared" si="7"/>
        <v>1.3772871917263325E-2</v>
      </c>
    </row>
    <row r="10" spans="1:13" ht="15.6" x14ac:dyDescent="0.3">
      <c r="A10" s="1" t="s">
        <v>230</v>
      </c>
      <c r="B10" s="38">
        <v>0</v>
      </c>
      <c r="C10" s="51">
        <f t="shared" si="0"/>
        <v>0</v>
      </c>
      <c r="D10" s="37">
        <f t="shared" si="4"/>
        <v>0</v>
      </c>
      <c r="E10" s="38">
        <v>0</v>
      </c>
      <c r="F10" s="51">
        <f t="shared" si="1"/>
        <v>0</v>
      </c>
      <c r="G10" s="37">
        <f t="shared" si="5"/>
        <v>0</v>
      </c>
      <c r="H10" s="38">
        <v>863</v>
      </c>
      <c r="I10" s="51">
        <f t="shared" si="2"/>
        <v>2.3552850631805899E-2</v>
      </c>
      <c r="J10" s="37">
        <f t="shared" si="6"/>
        <v>2.6911562928776351E-2</v>
      </c>
      <c r="K10" s="38">
        <v>558</v>
      </c>
      <c r="L10" s="51">
        <f t="shared" si="3"/>
        <v>2.5021299493296265E-2</v>
      </c>
      <c r="M10" s="37">
        <f t="shared" si="7"/>
        <v>2.7744630071599045E-2</v>
      </c>
    </row>
    <row r="11" spans="1:13" ht="15.6" x14ac:dyDescent="0.3">
      <c r="A11" s="1" t="s">
        <v>215</v>
      </c>
      <c r="B11" s="38">
        <v>0</v>
      </c>
      <c r="C11" s="51">
        <f t="shared" si="0"/>
        <v>0</v>
      </c>
      <c r="D11" s="37">
        <f t="shared" si="4"/>
        <v>0</v>
      </c>
      <c r="E11" s="38">
        <v>0</v>
      </c>
      <c r="F11" s="51">
        <f t="shared" si="1"/>
        <v>0</v>
      </c>
      <c r="G11" s="37">
        <f t="shared" si="5"/>
        <v>0</v>
      </c>
      <c r="H11" s="38">
        <v>273</v>
      </c>
      <c r="I11" s="51">
        <f t="shared" si="2"/>
        <v>7.4506700144646703E-3</v>
      </c>
      <c r="J11" s="37">
        <f t="shared" si="6"/>
        <v>8.5131595359860292E-3</v>
      </c>
      <c r="K11" s="38">
        <v>0</v>
      </c>
      <c r="L11" s="51">
        <f t="shared" si="3"/>
        <v>0</v>
      </c>
      <c r="M11" s="37">
        <f t="shared" si="7"/>
        <v>0</v>
      </c>
    </row>
    <row r="12" spans="1:13" ht="15.6" x14ac:dyDescent="0.3">
      <c r="A12" s="1" t="s">
        <v>234</v>
      </c>
      <c r="B12" s="38">
        <f>34+60+70+23+30+45+4</f>
        <v>266</v>
      </c>
      <c r="C12" s="51">
        <f t="shared" si="0"/>
        <v>5.4043071921982933E-2</v>
      </c>
      <c r="D12" s="37">
        <f t="shared" si="4"/>
        <v>6.1403508771929821E-2</v>
      </c>
      <c r="E12" s="38">
        <f>42+43+59+34+27+32</f>
        <v>237</v>
      </c>
      <c r="F12" s="51">
        <f t="shared" si="1"/>
        <v>6.2599049128367668E-2</v>
      </c>
      <c r="G12" s="37">
        <f t="shared" si="5"/>
        <v>6.9237510955302367E-2</v>
      </c>
      <c r="H12" s="38">
        <v>36</v>
      </c>
      <c r="I12" s="51">
        <f t="shared" si="2"/>
        <v>9.825059359733631E-4</v>
      </c>
      <c r="J12" s="37">
        <f t="shared" si="6"/>
        <v>1.12261444430585E-3</v>
      </c>
      <c r="K12" s="38">
        <v>12</v>
      </c>
      <c r="L12" s="51">
        <f t="shared" si="3"/>
        <v>5.3809246222142509E-4</v>
      </c>
      <c r="M12" s="37">
        <f t="shared" si="7"/>
        <v>5.966587112171838E-4</v>
      </c>
    </row>
    <row r="13" spans="1:13" ht="16.2" thickBot="1" x14ac:dyDescent="0.35">
      <c r="A13" s="1" t="s">
        <v>231</v>
      </c>
      <c r="B13" s="73">
        <f>100+255+235</f>
        <v>590</v>
      </c>
      <c r="C13" s="54">
        <f t="shared" si="0"/>
        <v>0.11986997155627793</v>
      </c>
      <c r="D13" s="45"/>
      <c r="E13" s="73">
        <f>27+117+219</f>
        <v>363</v>
      </c>
      <c r="F13" s="54">
        <f t="shared" si="1"/>
        <v>9.5879556259904908E-2</v>
      </c>
      <c r="G13" s="45"/>
      <c r="H13" s="73">
        <f>1239+448+142+453+315+486+277+51+713+180+269</f>
        <v>4573</v>
      </c>
      <c r="I13" s="54">
        <f t="shared" si="2"/>
        <v>0.12480554570017194</v>
      </c>
      <c r="J13" s="45"/>
      <c r="K13" s="73">
        <f>668+408+54+67+57+28+346+87+16+96+362</f>
        <v>2189</v>
      </c>
      <c r="L13" s="54">
        <f t="shared" si="3"/>
        <v>9.8157033316891615E-2</v>
      </c>
      <c r="M13" s="45"/>
    </row>
    <row r="14" spans="1:13" ht="16.2" thickTop="1" x14ac:dyDescent="0.3">
      <c r="A14" s="1" t="s">
        <v>226</v>
      </c>
      <c r="B14" s="36"/>
      <c r="C14" s="51">
        <f>C6</f>
        <v>6.6436407964242175E-2</v>
      </c>
      <c r="D14" s="51">
        <f t="shared" ref="D14:M14" si="8">D6</f>
        <v>7.5484764542936289E-2</v>
      </c>
      <c r="E14" s="51"/>
      <c r="F14" s="51">
        <f t="shared" si="8"/>
        <v>6.6561014263074481E-2</v>
      </c>
      <c r="G14" s="51">
        <f t="shared" si="8"/>
        <v>7.3619631901840496E-2</v>
      </c>
      <c r="H14" s="51"/>
      <c r="I14" s="51">
        <f t="shared" si="8"/>
        <v>5.3601157173657925E-2</v>
      </c>
      <c r="J14" s="51">
        <f t="shared" si="8"/>
        <v>6.124485468379693E-2</v>
      </c>
      <c r="K14" s="51"/>
      <c r="L14" s="51">
        <f t="shared" si="8"/>
        <v>5.174655845029371E-2</v>
      </c>
      <c r="M14" s="51">
        <f t="shared" si="8"/>
        <v>5.7378679395385837E-2</v>
      </c>
    </row>
    <row r="15" spans="1:13" ht="15.6" x14ac:dyDescent="0.3">
      <c r="A15" s="1" t="s">
        <v>308</v>
      </c>
      <c r="B15" s="36"/>
      <c r="C15" s="51">
        <f>C7+C11</f>
        <v>3.3319788703778955E-2</v>
      </c>
      <c r="D15" s="51">
        <f t="shared" ref="D15:M15" si="9">D7+D11</f>
        <v>3.7857802400738688E-2</v>
      </c>
      <c r="E15" s="51"/>
      <c r="F15" s="51">
        <f t="shared" si="9"/>
        <v>4.0147913365029056E-2</v>
      </c>
      <c r="G15" s="51">
        <f t="shared" si="9"/>
        <v>4.4405492258252993E-2</v>
      </c>
      <c r="H15" s="51"/>
      <c r="I15" s="51">
        <f t="shared" si="9"/>
        <v>4.5850277012090282E-2</v>
      </c>
      <c r="J15" s="51">
        <f t="shared" si="9"/>
        <v>5.2388674067606333E-2</v>
      </c>
      <c r="K15" s="51"/>
      <c r="L15" s="51">
        <f t="shared" si="9"/>
        <v>3.8339087933276533E-2</v>
      </c>
      <c r="M15" s="51">
        <f t="shared" si="9"/>
        <v>4.2511933174224345E-2</v>
      </c>
    </row>
    <row r="16" spans="1:13" ht="15.6" x14ac:dyDescent="0.3">
      <c r="A16" s="1" t="s">
        <v>309</v>
      </c>
      <c r="B16" s="36"/>
      <c r="C16" s="51">
        <f>C8+C9+C11</f>
        <v>1.8691588785046728E-2</v>
      </c>
      <c r="D16" s="51">
        <f t="shared" ref="D16:M16" si="10">D8+D9+D11</f>
        <v>2.1237303785780239E-2</v>
      </c>
      <c r="E16" s="51"/>
      <c r="F16" s="51">
        <f t="shared" si="10"/>
        <v>1.664025356576862E-2</v>
      </c>
      <c r="G16" s="51">
        <f t="shared" si="10"/>
        <v>1.8404907975460124E-2</v>
      </c>
      <c r="H16" s="51"/>
      <c r="I16" s="51">
        <f t="shared" si="10"/>
        <v>3.0867061488496494E-2</v>
      </c>
      <c r="J16" s="51">
        <f t="shared" si="10"/>
        <v>3.5268803791942124E-2</v>
      </c>
      <c r="K16" s="51"/>
      <c r="L16" s="51">
        <f t="shared" si="10"/>
        <v>1.9954262140711179E-2</v>
      </c>
      <c r="M16" s="51">
        <f t="shared" si="10"/>
        <v>2.21260938743039E-2</v>
      </c>
    </row>
    <row r="17" spans="1:6" ht="15.6" x14ac:dyDescent="0.3">
      <c r="A17" s="1"/>
      <c r="B17" s="1"/>
      <c r="C17" s="1"/>
      <c r="D17" s="1"/>
      <c r="E17" s="1"/>
      <c r="F17" s="1"/>
    </row>
    <row r="18" spans="1:6" ht="15.6" x14ac:dyDescent="0.3">
      <c r="A18" s="99" t="s">
        <v>239</v>
      </c>
      <c r="B18" s="1"/>
      <c r="C18" s="1"/>
      <c r="D18" s="1"/>
      <c r="E18" s="1"/>
      <c r="F18" s="1"/>
    </row>
    <row r="19" spans="1:6" ht="15.6" x14ac:dyDescent="0.3">
      <c r="A19" s="99" t="s">
        <v>240</v>
      </c>
      <c r="B19" s="1"/>
      <c r="C19" s="1"/>
      <c r="D19" s="1"/>
      <c r="E19" s="1"/>
      <c r="F19" s="1"/>
    </row>
    <row r="20" spans="1:6" ht="15.6" x14ac:dyDescent="0.3">
      <c r="A20" s="1" t="s">
        <v>235</v>
      </c>
      <c r="B20" s="1"/>
      <c r="C20" s="1"/>
      <c r="D20" s="1"/>
      <c r="E20" s="1"/>
      <c r="F20" s="1"/>
    </row>
    <row r="21" spans="1:6" ht="15.6" x14ac:dyDescent="0.3">
      <c r="A21" s="1" t="s">
        <v>236</v>
      </c>
      <c r="B21" s="1"/>
      <c r="C21" s="1"/>
      <c r="D21" s="1"/>
      <c r="E21" s="1"/>
      <c r="F21" s="1"/>
    </row>
    <row r="22" spans="1:6" ht="15.6" x14ac:dyDescent="0.3">
      <c r="B22" s="1"/>
      <c r="C22" s="1"/>
      <c r="D22" s="1"/>
      <c r="E22" s="1"/>
      <c r="F22" s="1"/>
    </row>
    <row r="23" spans="1:6" ht="15.6" x14ac:dyDescent="0.3">
      <c r="A23" s="99" t="s">
        <v>467</v>
      </c>
    </row>
    <row r="24" spans="1:6" ht="15.6" x14ac:dyDescent="0.3">
      <c r="A24" s="1" t="s">
        <v>522</v>
      </c>
    </row>
    <row r="25" spans="1:6" ht="15.6" x14ac:dyDescent="0.3">
      <c r="A25" s="1"/>
    </row>
    <row r="26" spans="1:6" ht="15.6" x14ac:dyDescent="0.3">
      <c r="A26" s="1" t="s">
        <v>238</v>
      </c>
    </row>
    <row r="27" spans="1:6" ht="15.6" x14ac:dyDescent="0.3">
      <c r="A27" s="1" t="s">
        <v>241</v>
      </c>
    </row>
    <row r="28" spans="1:6" ht="15.6" x14ac:dyDescent="0.3">
      <c r="A28" s="1" t="s">
        <v>242</v>
      </c>
    </row>
    <row r="29" spans="1:6" ht="15.6" x14ac:dyDescent="0.3">
      <c r="A29" s="99" t="s">
        <v>237</v>
      </c>
    </row>
  </sheetData>
  <mergeCells count="4">
    <mergeCell ref="B3:D3"/>
    <mergeCell ref="E3:G3"/>
    <mergeCell ref="H3:J3"/>
    <mergeCell ref="K3:M3"/>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3"/>
  <sheetViews>
    <sheetView workbookViewId="0">
      <pane xSplit="1" ySplit="4" topLeftCell="B9" activePane="bottomRight" state="frozen"/>
      <selection activeCell="A2" sqref="A2:P13"/>
      <selection pane="topRight" activeCell="A2" sqref="A2:P13"/>
      <selection pane="bottomLeft" activeCell="A2" sqref="A2:P13"/>
      <selection pane="bottomRight" activeCell="A2" sqref="A2:P13"/>
    </sheetView>
  </sheetViews>
  <sheetFormatPr baseColWidth="10" defaultRowHeight="14.4" x14ac:dyDescent="0.3"/>
  <cols>
    <col min="1" max="1" width="28.33203125" customWidth="1"/>
    <col min="2" max="16" width="7.77734375" customWidth="1"/>
    <col min="17" max="23" width="11.77734375" customWidth="1"/>
  </cols>
  <sheetData>
    <row r="1" spans="1:17" ht="16.2" thickBot="1" x14ac:dyDescent="0.35">
      <c r="A1" s="19"/>
    </row>
    <row r="2" spans="1:17" ht="47.55" customHeight="1" thickTop="1" thickBot="1" x14ac:dyDescent="0.35">
      <c r="A2" s="380" t="s">
        <v>544</v>
      </c>
      <c r="B2" s="381"/>
      <c r="C2" s="381"/>
      <c r="D2" s="381"/>
      <c r="E2" s="381"/>
      <c r="F2" s="381"/>
      <c r="G2" s="381"/>
      <c r="H2" s="381"/>
      <c r="I2" s="381"/>
      <c r="J2" s="381"/>
      <c r="K2" s="381"/>
      <c r="L2" s="381"/>
      <c r="M2" s="381"/>
      <c r="N2" s="381"/>
      <c r="O2" s="381"/>
      <c r="P2" s="382"/>
    </row>
    <row r="3" spans="1:17" ht="16.8" thickTop="1" thickBot="1" x14ac:dyDescent="0.35">
      <c r="A3" s="1"/>
      <c r="B3" s="1"/>
      <c r="C3" s="1"/>
      <c r="D3" s="1"/>
      <c r="E3" s="1"/>
      <c r="F3" s="1"/>
      <c r="G3" s="1"/>
      <c r="H3" s="1"/>
      <c r="I3" s="1"/>
      <c r="J3" s="1"/>
      <c r="K3" s="1"/>
      <c r="L3" s="1"/>
      <c r="M3" s="1"/>
      <c r="N3" s="1"/>
      <c r="O3" s="1"/>
      <c r="P3" s="1"/>
    </row>
    <row r="4" spans="1:17" ht="36" customHeight="1" thickTop="1" thickBot="1" x14ac:dyDescent="0.35">
      <c r="A4" s="287"/>
      <c r="B4" s="292">
        <v>1871</v>
      </c>
      <c r="C4" s="292">
        <v>1881</v>
      </c>
      <c r="D4" s="292">
        <v>1891</v>
      </c>
      <c r="E4" s="292">
        <v>1901</v>
      </c>
      <c r="F4" s="292">
        <v>1911</v>
      </c>
      <c r="G4" s="292">
        <v>1921</v>
      </c>
      <c r="H4" s="292">
        <v>1931</v>
      </c>
      <c r="I4" s="292">
        <v>1941</v>
      </c>
      <c r="J4" s="292">
        <v>1951</v>
      </c>
      <c r="K4" s="292">
        <v>1961</v>
      </c>
      <c r="L4" s="292">
        <v>1971</v>
      </c>
      <c r="M4" s="292">
        <v>1981</v>
      </c>
      <c r="N4" s="292">
        <v>1991</v>
      </c>
      <c r="O4" s="292">
        <v>2001</v>
      </c>
      <c r="P4" s="292">
        <v>2011</v>
      </c>
    </row>
    <row r="5" spans="1:17" ht="36" customHeight="1" thickBot="1" x14ac:dyDescent="0.35">
      <c r="A5" s="288" t="s">
        <v>41</v>
      </c>
      <c r="B5" s="293">
        <v>0.75009999999999999</v>
      </c>
      <c r="C5" s="293">
        <f>76.55%-0.1%</f>
        <v>0.76449999999999996</v>
      </c>
      <c r="D5" s="293">
        <v>0.75549999999999995</v>
      </c>
      <c r="E5" s="293">
        <f>73.29%+0.3%</f>
        <v>0.73590000000000011</v>
      </c>
      <c r="F5" s="293">
        <v>0.7268</v>
      </c>
      <c r="G5" s="293">
        <v>0.71650000000000003</v>
      </c>
      <c r="H5" s="293">
        <v>0.70599999999999996</v>
      </c>
      <c r="I5" s="293">
        <f>72.51%-0.001</f>
        <v>0.72410000000000008</v>
      </c>
      <c r="J5" s="293">
        <v>0.84099999999999997</v>
      </c>
      <c r="K5" s="293">
        <v>0.83450000000000002</v>
      </c>
      <c r="L5" s="293">
        <v>0.82699999999999996</v>
      </c>
      <c r="M5" s="293">
        <v>0.82299999999999995</v>
      </c>
      <c r="N5" s="293">
        <f>81.53%-0.1%</f>
        <v>0.81430000000000002</v>
      </c>
      <c r="O5" s="293">
        <v>0.80500000000000005</v>
      </c>
      <c r="P5" s="293">
        <v>0.79800000000000004</v>
      </c>
    </row>
    <row r="6" spans="1:17" ht="36" customHeight="1" thickBot="1" x14ac:dyDescent="0.35">
      <c r="A6" s="288" t="s">
        <v>536</v>
      </c>
      <c r="B6" s="293">
        <v>0.19589999999999999</v>
      </c>
      <c r="C6" s="293">
        <v>0.19739999999999999</v>
      </c>
      <c r="D6" s="293">
        <v>0.1996</v>
      </c>
      <c r="E6" s="293">
        <v>0.2122</v>
      </c>
      <c r="F6" s="293">
        <v>0.21260000000000001</v>
      </c>
      <c r="G6" s="293">
        <v>0.21740000000000001</v>
      </c>
      <c r="H6" s="293">
        <v>0.22159999999999999</v>
      </c>
      <c r="I6" s="293">
        <v>0.23810000000000001</v>
      </c>
      <c r="J6" s="293">
        <v>9.8000000000000004E-2</v>
      </c>
      <c r="K6" s="293">
        <v>0.1069</v>
      </c>
      <c r="L6" s="293">
        <v>0.112</v>
      </c>
      <c r="M6" s="293">
        <v>0.11799999999999999</v>
      </c>
      <c r="N6" s="293">
        <v>0.12609999999999999</v>
      </c>
      <c r="O6" s="293">
        <v>0.1343</v>
      </c>
      <c r="P6" s="293">
        <v>0.14230000000000001</v>
      </c>
    </row>
    <row r="7" spans="1:17" ht="36" customHeight="1" thickBot="1" x14ac:dyDescent="0.35">
      <c r="A7" s="288" t="s">
        <v>537</v>
      </c>
      <c r="B7" s="293">
        <v>5.3999999999999992E-2</v>
      </c>
      <c r="C7" s="293">
        <v>3.710000000000005E-2</v>
      </c>
      <c r="D7" s="293">
        <v>4.4900000000000051E-2</v>
      </c>
      <c r="E7" s="293">
        <v>5.4900000000000004E-2</v>
      </c>
      <c r="F7" s="293">
        <v>6.0599999999999987E-2</v>
      </c>
      <c r="G7" s="293">
        <f>6.61%-0.2%</f>
        <v>6.4100000000000004E-2</v>
      </c>
      <c r="H7" s="293">
        <v>7.2400000000000048E-2</v>
      </c>
      <c r="I7" s="293">
        <v>3.6800000000000027E-2</v>
      </c>
      <c r="J7" s="293">
        <v>6.1000000000000026E-2</v>
      </c>
      <c r="K7" s="293">
        <v>5.8599999999999985E-2</v>
      </c>
      <c r="L7" s="293">
        <v>6.100000000000004E-2</v>
      </c>
      <c r="M7" s="293">
        <v>5.9000000000000052E-2</v>
      </c>
      <c r="N7" s="293">
        <v>5.8599999999999985E-2</v>
      </c>
      <c r="O7" s="293">
        <v>6.0699999999999948E-2</v>
      </c>
      <c r="P7" s="293">
        <v>5.9699999999999948E-2</v>
      </c>
    </row>
    <row r="8" spans="1:17" ht="36" customHeight="1" thickBot="1" x14ac:dyDescent="0.35">
      <c r="A8" s="288" t="s">
        <v>305</v>
      </c>
      <c r="B8" s="293">
        <f>SUM(B5:B7)</f>
        <v>1</v>
      </c>
      <c r="C8" s="293">
        <f t="shared" ref="C8:P8" si="0">SUM(C5:C7)</f>
        <v>0.999</v>
      </c>
      <c r="D8" s="293">
        <f t="shared" si="0"/>
        <v>1</v>
      </c>
      <c r="E8" s="293">
        <f t="shared" si="0"/>
        <v>1.0030000000000001</v>
      </c>
      <c r="F8" s="293">
        <f t="shared" si="0"/>
        <v>1</v>
      </c>
      <c r="G8" s="293">
        <f t="shared" si="0"/>
        <v>0.99800000000000011</v>
      </c>
      <c r="H8" s="293">
        <f t="shared" si="0"/>
        <v>1</v>
      </c>
      <c r="I8" s="293">
        <f>SUM(I5:I7)+0.001</f>
        <v>1</v>
      </c>
      <c r="J8" s="293">
        <f t="shared" si="0"/>
        <v>1</v>
      </c>
      <c r="K8" s="293">
        <f t="shared" si="0"/>
        <v>1</v>
      </c>
      <c r="L8" s="293">
        <f t="shared" si="0"/>
        <v>1</v>
      </c>
      <c r="M8" s="293">
        <f t="shared" si="0"/>
        <v>1</v>
      </c>
      <c r="N8" s="293">
        <f t="shared" si="0"/>
        <v>0.999</v>
      </c>
      <c r="O8" s="293">
        <f t="shared" si="0"/>
        <v>1</v>
      </c>
      <c r="P8" s="293">
        <f t="shared" si="0"/>
        <v>1</v>
      </c>
    </row>
    <row r="9" spans="1:17" ht="36" customHeight="1" thickBot="1" x14ac:dyDescent="0.35">
      <c r="A9" s="289" t="s">
        <v>397</v>
      </c>
      <c r="B9" s="294"/>
      <c r="C9" s="294"/>
      <c r="D9" s="294"/>
      <c r="E9" s="294"/>
      <c r="F9" s="294"/>
      <c r="G9" s="294"/>
      <c r="H9" s="294"/>
      <c r="I9" s="294"/>
      <c r="J9" s="295">
        <v>0.14699999999999999</v>
      </c>
      <c r="K9" s="295">
        <v>0.14699999999999999</v>
      </c>
      <c r="L9" s="295">
        <v>0.14599999999999999</v>
      </c>
      <c r="M9" s="295">
        <v>0.157</v>
      </c>
      <c r="N9" s="295">
        <v>0.16500000000000001</v>
      </c>
      <c r="O9" s="295">
        <v>0.16200000000000001</v>
      </c>
      <c r="P9" s="295">
        <v>0.16600000000000001</v>
      </c>
    </row>
    <row r="10" spans="1:17" ht="36" customHeight="1" thickBot="1" x14ac:dyDescent="0.35">
      <c r="A10" s="290" t="s">
        <v>398</v>
      </c>
      <c r="B10" s="296"/>
      <c r="C10" s="296"/>
      <c r="D10" s="296"/>
      <c r="E10" s="296"/>
      <c r="F10" s="296"/>
      <c r="G10" s="296"/>
      <c r="H10" s="296"/>
      <c r="I10" s="296"/>
      <c r="J10" s="297">
        <v>6.2300000000000001E-2</v>
      </c>
      <c r="K10" s="297">
        <v>6.9000000000000006E-2</v>
      </c>
      <c r="L10" s="297">
        <v>6.9000000000000006E-2</v>
      </c>
      <c r="M10" s="297">
        <v>7.8E-2</v>
      </c>
      <c r="N10" s="297">
        <v>8.1000000000000003E-2</v>
      </c>
      <c r="O10" s="297">
        <v>8.199999999999999E-2</v>
      </c>
      <c r="P10" s="297">
        <v>8.5999999999999993E-2</v>
      </c>
    </row>
    <row r="11" spans="1:17" ht="36" customHeight="1" thickTop="1" thickBot="1" x14ac:dyDescent="0.35">
      <c r="A11" s="291" t="s">
        <v>538</v>
      </c>
      <c r="B11" s="298">
        <v>238.8</v>
      </c>
      <c r="C11" s="298">
        <v>253.9</v>
      </c>
      <c r="D11" s="298">
        <v>287.2</v>
      </c>
      <c r="E11" s="298">
        <v>294.39999999999998</v>
      </c>
      <c r="F11" s="298">
        <v>313.5</v>
      </c>
      <c r="G11" s="298">
        <v>316.10000000000002</v>
      </c>
      <c r="H11" s="298">
        <v>350.5</v>
      </c>
      <c r="I11" s="298">
        <v>386.7</v>
      </c>
      <c r="J11" s="298">
        <v>361.1</v>
      </c>
      <c r="K11" s="298">
        <v>439.2</v>
      </c>
      <c r="L11" s="298">
        <v>548.20000000000005</v>
      </c>
      <c r="M11" s="298">
        <v>683.3</v>
      </c>
      <c r="N11" s="298">
        <v>846.4</v>
      </c>
      <c r="O11" s="298">
        <v>1028.7</v>
      </c>
      <c r="P11" s="298">
        <v>1210.7</v>
      </c>
      <c r="Q11" s="147"/>
    </row>
    <row r="12" spans="1:17" ht="16.2" thickBot="1" x14ac:dyDescent="0.35">
      <c r="A12" s="1"/>
      <c r="B12" s="1"/>
      <c r="C12" s="1"/>
      <c r="D12" s="1"/>
      <c r="E12" s="1"/>
      <c r="F12" s="1"/>
      <c r="G12" s="1"/>
      <c r="H12" s="1"/>
      <c r="I12" s="1"/>
      <c r="J12" s="1"/>
      <c r="K12" s="1"/>
      <c r="L12" s="1"/>
      <c r="M12" s="1"/>
      <c r="N12" s="1"/>
      <c r="O12" s="1"/>
      <c r="P12" s="1"/>
    </row>
    <row r="13" spans="1:17" ht="66.45" customHeight="1" thickTop="1" thickBot="1" x14ac:dyDescent="0.35">
      <c r="A13" s="383" t="s">
        <v>545</v>
      </c>
      <c r="B13" s="384"/>
      <c r="C13" s="384"/>
      <c r="D13" s="384"/>
      <c r="E13" s="384"/>
      <c r="F13" s="384"/>
      <c r="G13" s="384"/>
      <c r="H13" s="384"/>
      <c r="I13" s="384"/>
      <c r="J13" s="384"/>
      <c r="K13" s="384"/>
      <c r="L13" s="384"/>
      <c r="M13" s="384"/>
      <c r="N13" s="384"/>
      <c r="O13" s="384"/>
      <c r="P13" s="385"/>
    </row>
    <row r="14" spans="1:17" ht="15" thickTop="1" x14ac:dyDescent="0.3"/>
    <row r="16" spans="1:17" ht="15.6" x14ac:dyDescent="0.3">
      <c r="A16" s="1" t="s">
        <v>395</v>
      </c>
    </row>
    <row r="18" spans="1:16" ht="15.6" x14ac:dyDescent="0.3">
      <c r="B18" s="1">
        <v>1871</v>
      </c>
      <c r="C18" s="1">
        <v>1881</v>
      </c>
      <c r="D18" s="1">
        <f t="shared" ref="D18:P18" si="1">C18+10</f>
        <v>1891</v>
      </c>
      <c r="E18" s="1">
        <f t="shared" si="1"/>
        <v>1901</v>
      </c>
      <c r="F18" s="1">
        <f t="shared" si="1"/>
        <v>1911</v>
      </c>
      <c r="G18" s="1">
        <f t="shared" si="1"/>
        <v>1921</v>
      </c>
      <c r="H18" s="1">
        <f t="shared" si="1"/>
        <v>1931</v>
      </c>
      <c r="I18" s="1">
        <f t="shared" si="1"/>
        <v>1941</v>
      </c>
      <c r="J18" s="1">
        <f t="shared" si="1"/>
        <v>1951</v>
      </c>
      <c r="K18" s="1">
        <f t="shared" si="1"/>
        <v>1961</v>
      </c>
      <c r="L18" s="1">
        <f t="shared" si="1"/>
        <v>1971</v>
      </c>
      <c r="M18" s="1">
        <f t="shared" si="1"/>
        <v>1981</v>
      </c>
      <c r="N18" s="1">
        <f t="shared" si="1"/>
        <v>1991</v>
      </c>
      <c r="O18" s="1">
        <f t="shared" si="1"/>
        <v>2001</v>
      </c>
      <c r="P18" s="1">
        <f t="shared" si="1"/>
        <v>2011</v>
      </c>
    </row>
    <row r="19" spans="1:16" ht="15.6" x14ac:dyDescent="0.3">
      <c r="A19" s="1" t="s">
        <v>406</v>
      </c>
      <c r="B19" s="286">
        <f>B5*B11</f>
        <v>179.12388000000001</v>
      </c>
      <c r="C19" s="286">
        <f t="shared" ref="C19:P19" si="2">C5*C11</f>
        <v>194.10655</v>
      </c>
      <c r="D19" s="286">
        <f t="shared" si="2"/>
        <v>216.97959999999998</v>
      </c>
      <c r="E19" s="286">
        <f t="shared" si="2"/>
        <v>216.64896000000002</v>
      </c>
      <c r="F19" s="286">
        <f t="shared" si="2"/>
        <v>227.8518</v>
      </c>
      <c r="G19" s="286">
        <f t="shared" si="2"/>
        <v>226.48565000000002</v>
      </c>
      <c r="H19" s="286">
        <f t="shared" si="2"/>
        <v>247.45299999999997</v>
      </c>
      <c r="I19" s="286">
        <f t="shared" si="2"/>
        <v>280.00947000000002</v>
      </c>
      <c r="J19" s="286">
        <f t="shared" si="2"/>
        <v>303.68510000000003</v>
      </c>
      <c r="K19" s="286">
        <f t="shared" si="2"/>
        <v>366.51240000000001</v>
      </c>
      <c r="L19" s="286">
        <f t="shared" si="2"/>
        <v>453.3614</v>
      </c>
      <c r="M19" s="286">
        <f t="shared" si="2"/>
        <v>562.35589999999991</v>
      </c>
      <c r="N19" s="286">
        <f t="shared" si="2"/>
        <v>689.22352000000001</v>
      </c>
      <c r="O19" s="286">
        <f t="shared" si="2"/>
        <v>828.10350000000005</v>
      </c>
      <c r="P19" s="286">
        <f t="shared" si="2"/>
        <v>966.13860000000011</v>
      </c>
    </row>
    <row r="20" spans="1:16" ht="15.6" x14ac:dyDescent="0.3">
      <c r="A20" s="1" t="s">
        <v>392</v>
      </c>
      <c r="B20" s="282">
        <v>0.72929999999999995</v>
      </c>
      <c r="C20" s="282">
        <v>0.74019999999999997</v>
      </c>
      <c r="D20" s="282">
        <v>0.72319999999999995</v>
      </c>
      <c r="E20" s="282">
        <v>0.70369999999999999</v>
      </c>
      <c r="F20" s="282">
        <v>0.69399999999999995</v>
      </c>
      <c r="G20" s="282">
        <v>0.68559999999999999</v>
      </c>
      <c r="H20" s="282">
        <v>0.68240000000000001</v>
      </c>
      <c r="I20" s="282">
        <v>0.6593</v>
      </c>
      <c r="J20" s="282">
        <v>0.84099999999999997</v>
      </c>
      <c r="K20" s="282">
        <v>0.83450000000000002</v>
      </c>
      <c r="L20" s="282">
        <v>0.82699999999999996</v>
      </c>
      <c r="M20" s="282">
        <v>0.82299999999999995</v>
      </c>
      <c r="N20" s="282">
        <v>0.81530000000000002</v>
      </c>
      <c r="O20" s="282">
        <v>0.80500000000000005</v>
      </c>
      <c r="P20" s="282">
        <v>0.79800000000000004</v>
      </c>
    </row>
    <row r="21" spans="1:16" ht="15.6" x14ac:dyDescent="0.3">
      <c r="A21" s="1" t="s">
        <v>394</v>
      </c>
      <c r="B21" s="282">
        <v>2.8E-3</v>
      </c>
      <c r="C21" s="282">
        <v>2.53E-2</v>
      </c>
      <c r="D21" s="282">
        <v>3.2300000000000002E-2</v>
      </c>
      <c r="E21" s="282">
        <v>2.92E-2</v>
      </c>
      <c r="F21" s="282">
        <v>3.2800000000000003E-2</v>
      </c>
      <c r="G21" s="282">
        <v>3.09E-2</v>
      </c>
      <c r="H21" s="282">
        <v>2.3599999999999999E-2</v>
      </c>
      <c r="I21" s="282">
        <v>6.5799999999999997E-2</v>
      </c>
      <c r="J21" s="282"/>
      <c r="K21" s="282"/>
      <c r="L21" s="282"/>
      <c r="M21" s="282"/>
      <c r="N21" s="282"/>
      <c r="O21" s="282"/>
      <c r="P21" s="282"/>
    </row>
    <row r="23" spans="1:16" ht="58.2" customHeight="1" x14ac:dyDescent="0.3"/>
  </sheetData>
  <mergeCells count="2">
    <mergeCell ref="A2:P2"/>
    <mergeCell ref="A13:P13"/>
  </mergeCells>
  <printOptions horizontalCentered="1" verticalCentered="1"/>
  <pageMargins left="0.70866141732283472" right="0.70866141732283472" top="0.74803149606299213" bottom="0.74803149606299213" header="0.31496062992125984" footer="0.31496062992125984"/>
  <pageSetup paperSize="9" scale="84" orientation="landscape"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28"/>
  <sheetViews>
    <sheetView workbookViewId="0">
      <pane xSplit="1" ySplit="7" topLeftCell="B8" activePane="bottomRight" state="frozen"/>
      <selection pane="topRight"/>
      <selection pane="bottomLeft"/>
      <selection pane="bottomRight"/>
    </sheetView>
  </sheetViews>
  <sheetFormatPr baseColWidth="10" defaultColWidth="11.44140625" defaultRowHeight="13.2" x14ac:dyDescent="0.25"/>
  <cols>
    <col min="1" max="6" width="11.77734375" style="155" customWidth="1"/>
    <col min="7" max="7" width="10.77734375" style="155" customWidth="1"/>
    <col min="8" max="8" width="15.77734375" style="155" customWidth="1"/>
    <col min="9" max="14" width="11.44140625" style="155"/>
    <col min="15" max="15" width="15.77734375" style="155" customWidth="1"/>
    <col min="16" max="256" width="11.44140625" style="155"/>
    <col min="257" max="262" width="11.77734375" style="155" customWidth="1"/>
    <col min="263" max="263" width="10.77734375" style="155" customWidth="1"/>
    <col min="264" max="264" width="15.77734375" style="155" customWidth="1"/>
    <col min="265" max="270" width="11.44140625" style="155"/>
    <col min="271" max="271" width="15.77734375" style="155" customWidth="1"/>
    <col min="272" max="512" width="11.44140625" style="155"/>
    <col min="513" max="518" width="11.77734375" style="155" customWidth="1"/>
    <col min="519" max="519" width="10.77734375" style="155" customWidth="1"/>
    <col min="520" max="520" width="15.77734375" style="155" customWidth="1"/>
    <col min="521" max="526" width="11.44140625" style="155"/>
    <col min="527" max="527" width="15.77734375" style="155" customWidth="1"/>
    <col min="528" max="768" width="11.44140625" style="155"/>
    <col min="769" max="774" width="11.77734375" style="155" customWidth="1"/>
    <col min="775" max="775" width="10.77734375" style="155" customWidth="1"/>
    <col min="776" max="776" width="15.77734375" style="155" customWidth="1"/>
    <col min="777" max="782" width="11.44140625" style="155"/>
    <col min="783" max="783" width="15.77734375" style="155" customWidth="1"/>
    <col min="784" max="1024" width="11.44140625" style="155"/>
    <col min="1025" max="1030" width="11.77734375" style="155" customWidth="1"/>
    <col min="1031" max="1031" width="10.77734375" style="155" customWidth="1"/>
    <col min="1032" max="1032" width="15.77734375" style="155" customWidth="1"/>
    <col min="1033" max="1038" width="11.44140625" style="155"/>
    <col min="1039" max="1039" width="15.77734375" style="155" customWidth="1"/>
    <col min="1040" max="1280" width="11.44140625" style="155"/>
    <col min="1281" max="1286" width="11.77734375" style="155" customWidth="1"/>
    <col min="1287" max="1287" width="10.77734375" style="155" customWidth="1"/>
    <col min="1288" max="1288" width="15.77734375" style="155" customWidth="1"/>
    <col min="1289" max="1294" width="11.44140625" style="155"/>
    <col min="1295" max="1295" width="15.77734375" style="155" customWidth="1"/>
    <col min="1296" max="1536" width="11.44140625" style="155"/>
    <col min="1537" max="1542" width="11.77734375" style="155" customWidth="1"/>
    <col min="1543" max="1543" width="10.77734375" style="155" customWidth="1"/>
    <col min="1544" max="1544" width="15.77734375" style="155" customWidth="1"/>
    <col min="1545" max="1550" width="11.44140625" style="155"/>
    <col min="1551" max="1551" width="15.77734375" style="155" customWidth="1"/>
    <col min="1552" max="1792" width="11.44140625" style="155"/>
    <col min="1793" max="1798" width="11.77734375" style="155" customWidth="1"/>
    <col min="1799" max="1799" width="10.77734375" style="155" customWidth="1"/>
    <col min="1800" max="1800" width="15.77734375" style="155" customWidth="1"/>
    <col min="1801" max="1806" width="11.44140625" style="155"/>
    <col min="1807" max="1807" width="15.77734375" style="155" customWidth="1"/>
    <col min="1808" max="2048" width="11.44140625" style="155"/>
    <col min="2049" max="2054" width="11.77734375" style="155" customWidth="1"/>
    <col min="2055" max="2055" width="10.77734375" style="155" customWidth="1"/>
    <col min="2056" max="2056" width="15.77734375" style="155" customWidth="1"/>
    <col min="2057" max="2062" width="11.44140625" style="155"/>
    <col min="2063" max="2063" width="15.77734375" style="155" customWidth="1"/>
    <col min="2064" max="2304" width="11.44140625" style="155"/>
    <col min="2305" max="2310" width="11.77734375" style="155" customWidth="1"/>
    <col min="2311" max="2311" width="10.77734375" style="155" customWidth="1"/>
    <col min="2312" max="2312" width="15.77734375" style="155" customWidth="1"/>
    <col min="2313" max="2318" width="11.44140625" style="155"/>
    <col min="2319" max="2319" width="15.77734375" style="155" customWidth="1"/>
    <col min="2320" max="2560" width="11.44140625" style="155"/>
    <col min="2561" max="2566" width="11.77734375" style="155" customWidth="1"/>
    <col min="2567" max="2567" width="10.77734375" style="155" customWidth="1"/>
    <col min="2568" max="2568" width="15.77734375" style="155" customWidth="1"/>
    <col min="2569" max="2574" width="11.44140625" style="155"/>
    <col min="2575" max="2575" width="15.77734375" style="155" customWidth="1"/>
    <col min="2576" max="2816" width="11.44140625" style="155"/>
    <col min="2817" max="2822" width="11.77734375" style="155" customWidth="1"/>
    <col min="2823" max="2823" width="10.77734375" style="155" customWidth="1"/>
    <col min="2824" max="2824" width="15.77734375" style="155" customWidth="1"/>
    <col min="2825" max="2830" width="11.44140625" style="155"/>
    <col min="2831" max="2831" width="15.77734375" style="155" customWidth="1"/>
    <col min="2832" max="3072" width="11.44140625" style="155"/>
    <col min="3073" max="3078" width="11.77734375" style="155" customWidth="1"/>
    <col min="3079" max="3079" width="10.77734375" style="155" customWidth="1"/>
    <col min="3080" max="3080" width="15.77734375" style="155" customWidth="1"/>
    <col min="3081" max="3086" width="11.44140625" style="155"/>
    <col min="3087" max="3087" width="15.77734375" style="155" customWidth="1"/>
    <col min="3088" max="3328" width="11.44140625" style="155"/>
    <col min="3329" max="3334" width="11.77734375" style="155" customWidth="1"/>
    <col min="3335" max="3335" width="10.77734375" style="155" customWidth="1"/>
    <col min="3336" max="3336" width="15.77734375" style="155" customWidth="1"/>
    <col min="3337" max="3342" width="11.44140625" style="155"/>
    <col min="3343" max="3343" width="15.77734375" style="155" customWidth="1"/>
    <col min="3344" max="3584" width="11.44140625" style="155"/>
    <col min="3585" max="3590" width="11.77734375" style="155" customWidth="1"/>
    <col min="3591" max="3591" width="10.77734375" style="155" customWidth="1"/>
    <col min="3592" max="3592" width="15.77734375" style="155" customWidth="1"/>
    <col min="3593" max="3598" width="11.44140625" style="155"/>
    <col min="3599" max="3599" width="15.77734375" style="155" customWidth="1"/>
    <col min="3600" max="3840" width="11.44140625" style="155"/>
    <col min="3841" max="3846" width="11.77734375" style="155" customWidth="1"/>
    <col min="3847" max="3847" width="10.77734375" style="155" customWidth="1"/>
    <col min="3848" max="3848" width="15.77734375" style="155" customWidth="1"/>
    <col min="3849" max="3854" width="11.44140625" style="155"/>
    <col min="3855" max="3855" width="15.77734375" style="155" customWidth="1"/>
    <col min="3856" max="4096" width="11.44140625" style="155"/>
    <col min="4097" max="4102" width="11.77734375" style="155" customWidth="1"/>
    <col min="4103" max="4103" width="10.77734375" style="155" customWidth="1"/>
    <col min="4104" max="4104" width="15.77734375" style="155" customWidth="1"/>
    <col min="4105" max="4110" width="11.44140625" style="155"/>
    <col min="4111" max="4111" width="15.77734375" style="155" customWidth="1"/>
    <col min="4112" max="4352" width="11.44140625" style="155"/>
    <col min="4353" max="4358" width="11.77734375" style="155" customWidth="1"/>
    <col min="4359" max="4359" width="10.77734375" style="155" customWidth="1"/>
    <col min="4360" max="4360" width="15.77734375" style="155" customWidth="1"/>
    <col min="4361" max="4366" width="11.44140625" style="155"/>
    <col min="4367" max="4367" width="15.77734375" style="155" customWidth="1"/>
    <col min="4368" max="4608" width="11.44140625" style="155"/>
    <col min="4609" max="4614" width="11.77734375" style="155" customWidth="1"/>
    <col min="4615" max="4615" width="10.77734375" style="155" customWidth="1"/>
    <col min="4616" max="4616" width="15.77734375" style="155" customWidth="1"/>
    <col min="4617" max="4622" width="11.44140625" style="155"/>
    <col min="4623" max="4623" width="15.77734375" style="155" customWidth="1"/>
    <col min="4624" max="4864" width="11.44140625" style="155"/>
    <col min="4865" max="4870" width="11.77734375" style="155" customWidth="1"/>
    <col min="4871" max="4871" width="10.77734375" style="155" customWidth="1"/>
    <col min="4872" max="4872" width="15.77734375" style="155" customWidth="1"/>
    <col min="4873" max="4878" width="11.44140625" style="155"/>
    <col min="4879" max="4879" width="15.77734375" style="155" customWidth="1"/>
    <col min="4880" max="5120" width="11.44140625" style="155"/>
    <col min="5121" max="5126" width="11.77734375" style="155" customWidth="1"/>
    <col min="5127" max="5127" width="10.77734375" style="155" customWidth="1"/>
    <col min="5128" max="5128" width="15.77734375" style="155" customWidth="1"/>
    <col min="5129" max="5134" width="11.44140625" style="155"/>
    <col min="5135" max="5135" width="15.77734375" style="155" customWidth="1"/>
    <col min="5136" max="5376" width="11.44140625" style="155"/>
    <col min="5377" max="5382" width="11.77734375" style="155" customWidth="1"/>
    <col min="5383" max="5383" width="10.77734375" style="155" customWidth="1"/>
    <col min="5384" max="5384" width="15.77734375" style="155" customWidth="1"/>
    <col min="5385" max="5390" width="11.44140625" style="155"/>
    <col min="5391" max="5391" width="15.77734375" style="155" customWidth="1"/>
    <col min="5392" max="5632" width="11.44140625" style="155"/>
    <col min="5633" max="5638" width="11.77734375" style="155" customWidth="1"/>
    <col min="5639" max="5639" width="10.77734375" style="155" customWidth="1"/>
    <col min="5640" max="5640" width="15.77734375" style="155" customWidth="1"/>
    <col min="5641" max="5646" width="11.44140625" style="155"/>
    <col min="5647" max="5647" width="15.77734375" style="155" customWidth="1"/>
    <col min="5648" max="5888" width="11.44140625" style="155"/>
    <col min="5889" max="5894" width="11.77734375" style="155" customWidth="1"/>
    <col min="5895" max="5895" width="10.77734375" style="155" customWidth="1"/>
    <col min="5896" max="5896" width="15.77734375" style="155" customWidth="1"/>
    <col min="5897" max="5902" width="11.44140625" style="155"/>
    <col min="5903" max="5903" width="15.77734375" style="155" customWidth="1"/>
    <col min="5904" max="6144" width="11.44140625" style="155"/>
    <col min="6145" max="6150" width="11.77734375" style="155" customWidth="1"/>
    <col min="6151" max="6151" width="10.77734375" style="155" customWidth="1"/>
    <col min="6152" max="6152" width="15.77734375" style="155" customWidth="1"/>
    <col min="6153" max="6158" width="11.44140625" style="155"/>
    <col min="6159" max="6159" width="15.77734375" style="155" customWidth="1"/>
    <col min="6160" max="6400" width="11.44140625" style="155"/>
    <col min="6401" max="6406" width="11.77734375" style="155" customWidth="1"/>
    <col min="6407" max="6407" width="10.77734375" style="155" customWidth="1"/>
    <col min="6408" max="6408" width="15.77734375" style="155" customWidth="1"/>
    <col min="6409" max="6414" width="11.44140625" style="155"/>
    <col min="6415" max="6415" width="15.77734375" style="155" customWidth="1"/>
    <col min="6416" max="6656" width="11.44140625" style="155"/>
    <col min="6657" max="6662" width="11.77734375" style="155" customWidth="1"/>
    <col min="6663" max="6663" width="10.77734375" style="155" customWidth="1"/>
    <col min="6664" max="6664" width="15.77734375" style="155" customWidth="1"/>
    <col min="6665" max="6670" width="11.44140625" style="155"/>
    <col min="6671" max="6671" width="15.77734375" style="155" customWidth="1"/>
    <col min="6672" max="6912" width="11.44140625" style="155"/>
    <col min="6913" max="6918" width="11.77734375" style="155" customWidth="1"/>
    <col min="6919" max="6919" width="10.77734375" style="155" customWidth="1"/>
    <col min="6920" max="6920" width="15.77734375" style="155" customWidth="1"/>
    <col min="6921" max="6926" width="11.44140625" style="155"/>
    <col min="6927" max="6927" width="15.77734375" style="155" customWidth="1"/>
    <col min="6928" max="7168" width="11.44140625" style="155"/>
    <col min="7169" max="7174" width="11.77734375" style="155" customWidth="1"/>
    <col min="7175" max="7175" width="10.77734375" style="155" customWidth="1"/>
    <col min="7176" max="7176" width="15.77734375" style="155" customWidth="1"/>
    <col min="7177" max="7182" width="11.44140625" style="155"/>
    <col min="7183" max="7183" width="15.77734375" style="155" customWidth="1"/>
    <col min="7184" max="7424" width="11.44140625" style="155"/>
    <col min="7425" max="7430" width="11.77734375" style="155" customWidth="1"/>
    <col min="7431" max="7431" width="10.77734375" style="155" customWidth="1"/>
    <col min="7432" max="7432" width="15.77734375" style="155" customWidth="1"/>
    <col min="7433" max="7438" width="11.44140625" style="155"/>
    <col min="7439" max="7439" width="15.77734375" style="155" customWidth="1"/>
    <col min="7440" max="7680" width="11.44140625" style="155"/>
    <col min="7681" max="7686" width="11.77734375" style="155" customWidth="1"/>
    <col min="7687" max="7687" width="10.77734375" style="155" customWidth="1"/>
    <col min="7688" max="7688" width="15.77734375" style="155" customWidth="1"/>
    <col min="7689" max="7694" width="11.44140625" style="155"/>
    <col min="7695" max="7695" width="15.77734375" style="155" customWidth="1"/>
    <col min="7696" max="7936" width="11.44140625" style="155"/>
    <col min="7937" max="7942" width="11.77734375" style="155" customWidth="1"/>
    <col min="7943" max="7943" width="10.77734375" style="155" customWidth="1"/>
    <col min="7944" max="7944" width="15.77734375" style="155" customWidth="1"/>
    <col min="7945" max="7950" width="11.44140625" style="155"/>
    <col min="7951" max="7951" width="15.77734375" style="155" customWidth="1"/>
    <col min="7952" max="8192" width="11.44140625" style="155"/>
    <col min="8193" max="8198" width="11.77734375" style="155" customWidth="1"/>
    <col min="8199" max="8199" width="10.77734375" style="155" customWidth="1"/>
    <col min="8200" max="8200" width="15.77734375" style="155" customWidth="1"/>
    <col min="8201" max="8206" width="11.44140625" style="155"/>
    <col min="8207" max="8207" width="15.77734375" style="155" customWidth="1"/>
    <col min="8208" max="8448" width="11.44140625" style="155"/>
    <col min="8449" max="8454" width="11.77734375" style="155" customWidth="1"/>
    <col min="8455" max="8455" width="10.77734375" style="155" customWidth="1"/>
    <col min="8456" max="8456" width="15.77734375" style="155" customWidth="1"/>
    <col min="8457" max="8462" width="11.44140625" style="155"/>
    <col min="8463" max="8463" width="15.77734375" style="155" customWidth="1"/>
    <col min="8464" max="8704" width="11.44140625" style="155"/>
    <col min="8705" max="8710" width="11.77734375" style="155" customWidth="1"/>
    <col min="8711" max="8711" width="10.77734375" style="155" customWidth="1"/>
    <col min="8712" max="8712" width="15.77734375" style="155" customWidth="1"/>
    <col min="8713" max="8718" width="11.44140625" style="155"/>
    <col min="8719" max="8719" width="15.77734375" style="155" customWidth="1"/>
    <col min="8720" max="8960" width="11.44140625" style="155"/>
    <col min="8961" max="8966" width="11.77734375" style="155" customWidth="1"/>
    <col min="8967" max="8967" width="10.77734375" style="155" customWidth="1"/>
    <col min="8968" max="8968" width="15.77734375" style="155" customWidth="1"/>
    <col min="8969" max="8974" width="11.44140625" style="155"/>
    <col min="8975" max="8975" width="15.77734375" style="155" customWidth="1"/>
    <col min="8976" max="9216" width="11.44140625" style="155"/>
    <col min="9217" max="9222" width="11.77734375" style="155" customWidth="1"/>
    <col min="9223" max="9223" width="10.77734375" style="155" customWidth="1"/>
    <col min="9224" max="9224" width="15.77734375" style="155" customWidth="1"/>
    <col min="9225" max="9230" width="11.44140625" style="155"/>
    <col min="9231" max="9231" width="15.77734375" style="155" customWidth="1"/>
    <col min="9232" max="9472" width="11.44140625" style="155"/>
    <col min="9473" max="9478" width="11.77734375" style="155" customWidth="1"/>
    <col min="9479" max="9479" width="10.77734375" style="155" customWidth="1"/>
    <col min="9480" max="9480" width="15.77734375" style="155" customWidth="1"/>
    <col min="9481" max="9486" width="11.44140625" style="155"/>
    <col min="9487" max="9487" width="15.77734375" style="155" customWidth="1"/>
    <col min="9488" max="9728" width="11.44140625" style="155"/>
    <col min="9729" max="9734" width="11.77734375" style="155" customWidth="1"/>
    <col min="9735" max="9735" width="10.77734375" style="155" customWidth="1"/>
    <col min="9736" max="9736" width="15.77734375" style="155" customWidth="1"/>
    <col min="9737" max="9742" width="11.44140625" style="155"/>
    <col min="9743" max="9743" width="15.77734375" style="155" customWidth="1"/>
    <col min="9744" max="9984" width="11.44140625" style="155"/>
    <col min="9985" max="9990" width="11.77734375" style="155" customWidth="1"/>
    <col min="9991" max="9991" width="10.77734375" style="155" customWidth="1"/>
    <col min="9992" max="9992" width="15.77734375" style="155" customWidth="1"/>
    <col min="9993" max="9998" width="11.44140625" style="155"/>
    <col min="9999" max="9999" width="15.77734375" style="155" customWidth="1"/>
    <col min="10000" max="10240" width="11.44140625" style="155"/>
    <col min="10241" max="10246" width="11.77734375" style="155" customWidth="1"/>
    <col min="10247" max="10247" width="10.77734375" style="155" customWidth="1"/>
    <col min="10248" max="10248" width="15.77734375" style="155" customWidth="1"/>
    <col min="10249" max="10254" width="11.44140625" style="155"/>
    <col min="10255" max="10255" width="15.77734375" style="155" customWidth="1"/>
    <col min="10256" max="10496" width="11.44140625" style="155"/>
    <col min="10497" max="10502" width="11.77734375" style="155" customWidth="1"/>
    <col min="10503" max="10503" width="10.77734375" style="155" customWidth="1"/>
    <col min="10504" max="10504" width="15.77734375" style="155" customWidth="1"/>
    <col min="10505" max="10510" width="11.44140625" style="155"/>
    <col min="10511" max="10511" width="15.77734375" style="155" customWidth="1"/>
    <col min="10512" max="10752" width="11.44140625" style="155"/>
    <col min="10753" max="10758" width="11.77734375" style="155" customWidth="1"/>
    <col min="10759" max="10759" width="10.77734375" style="155" customWidth="1"/>
    <col min="10760" max="10760" width="15.77734375" style="155" customWidth="1"/>
    <col min="10761" max="10766" width="11.44140625" style="155"/>
    <col min="10767" max="10767" width="15.77734375" style="155" customWidth="1"/>
    <col min="10768" max="11008" width="11.44140625" style="155"/>
    <col min="11009" max="11014" width="11.77734375" style="155" customWidth="1"/>
    <col min="11015" max="11015" width="10.77734375" style="155" customWidth="1"/>
    <col min="11016" max="11016" width="15.77734375" style="155" customWidth="1"/>
    <col min="11017" max="11022" width="11.44140625" style="155"/>
    <col min="11023" max="11023" width="15.77734375" style="155" customWidth="1"/>
    <col min="11024" max="11264" width="11.44140625" style="155"/>
    <col min="11265" max="11270" width="11.77734375" style="155" customWidth="1"/>
    <col min="11271" max="11271" width="10.77734375" style="155" customWidth="1"/>
    <col min="11272" max="11272" width="15.77734375" style="155" customWidth="1"/>
    <col min="11273" max="11278" width="11.44140625" style="155"/>
    <col min="11279" max="11279" width="15.77734375" style="155" customWidth="1"/>
    <col min="11280" max="11520" width="11.44140625" style="155"/>
    <col min="11521" max="11526" width="11.77734375" style="155" customWidth="1"/>
    <col min="11527" max="11527" width="10.77734375" style="155" customWidth="1"/>
    <col min="11528" max="11528" width="15.77734375" style="155" customWidth="1"/>
    <col min="11529" max="11534" width="11.44140625" style="155"/>
    <col min="11535" max="11535" width="15.77734375" style="155" customWidth="1"/>
    <col min="11536" max="11776" width="11.44140625" style="155"/>
    <col min="11777" max="11782" width="11.77734375" style="155" customWidth="1"/>
    <col min="11783" max="11783" width="10.77734375" style="155" customWidth="1"/>
    <col min="11784" max="11784" width="15.77734375" style="155" customWidth="1"/>
    <col min="11785" max="11790" width="11.44140625" style="155"/>
    <col min="11791" max="11791" width="15.77734375" style="155" customWidth="1"/>
    <col min="11792" max="12032" width="11.44140625" style="155"/>
    <col min="12033" max="12038" width="11.77734375" style="155" customWidth="1"/>
    <col min="12039" max="12039" width="10.77734375" style="155" customWidth="1"/>
    <col min="12040" max="12040" width="15.77734375" style="155" customWidth="1"/>
    <col min="12041" max="12046" width="11.44140625" style="155"/>
    <col min="12047" max="12047" width="15.77734375" style="155" customWidth="1"/>
    <col min="12048" max="12288" width="11.44140625" style="155"/>
    <col min="12289" max="12294" width="11.77734375" style="155" customWidth="1"/>
    <col min="12295" max="12295" width="10.77734375" style="155" customWidth="1"/>
    <col min="12296" max="12296" width="15.77734375" style="155" customWidth="1"/>
    <col min="12297" max="12302" width="11.44140625" style="155"/>
    <col min="12303" max="12303" width="15.77734375" style="155" customWidth="1"/>
    <col min="12304" max="12544" width="11.44140625" style="155"/>
    <col min="12545" max="12550" width="11.77734375" style="155" customWidth="1"/>
    <col min="12551" max="12551" width="10.77734375" style="155" customWidth="1"/>
    <col min="12552" max="12552" width="15.77734375" style="155" customWidth="1"/>
    <col min="12553" max="12558" width="11.44140625" style="155"/>
    <col min="12559" max="12559" width="15.77734375" style="155" customWidth="1"/>
    <col min="12560" max="12800" width="11.44140625" style="155"/>
    <col min="12801" max="12806" width="11.77734375" style="155" customWidth="1"/>
    <col min="12807" max="12807" width="10.77734375" style="155" customWidth="1"/>
    <col min="12808" max="12808" width="15.77734375" style="155" customWidth="1"/>
    <col min="12809" max="12814" width="11.44140625" style="155"/>
    <col min="12815" max="12815" width="15.77734375" style="155" customWidth="1"/>
    <col min="12816" max="13056" width="11.44140625" style="155"/>
    <col min="13057" max="13062" width="11.77734375" style="155" customWidth="1"/>
    <col min="13063" max="13063" width="10.77734375" style="155" customWidth="1"/>
    <col min="13064" max="13064" width="15.77734375" style="155" customWidth="1"/>
    <col min="13065" max="13070" width="11.44140625" style="155"/>
    <col min="13071" max="13071" width="15.77734375" style="155" customWidth="1"/>
    <col min="13072" max="13312" width="11.44140625" style="155"/>
    <col min="13313" max="13318" width="11.77734375" style="155" customWidth="1"/>
    <col min="13319" max="13319" width="10.77734375" style="155" customWidth="1"/>
    <col min="13320" max="13320" width="15.77734375" style="155" customWidth="1"/>
    <col min="13321" max="13326" width="11.44140625" style="155"/>
    <col min="13327" max="13327" width="15.77734375" style="155" customWidth="1"/>
    <col min="13328" max="13568" width="11.44140625" style="155"/>
    <col min="13569" max="13574" width="11.77734375" style="155" customWidth="1"/>
    <col min="13575" max="13575" width="10.77734375" style="155" customWidth="1"/>
    <col min="13576" max="13576" width="15.77734375" style="155" customWidth="1"/>
    <col min="13577" max="13582" width="11.44140625" style="155"/>
    <col min="13583" max="13583" width="15.77734375" style="155" customWidth="1"/>
    <col min="13584" max="13824" width="11.44140625" style="155"/>
    <col min="13825" max="13830" width="11.77734375" style="155" customWidth="1"/>
    <col min="13831" max="13831" width="10.77734375" style="155" customWidth="1"/>
    <col min="13832" max="13832" width="15.77734375" style="155" customWidth="1"/>
    <col min="13833" max="13838" width="11.44140625" style="155"/>
    <col min="13839" max="13839" width="15.77734375" style="155" customWidth="1"/>
    <col min="13840" max="14080" width="11.44140625" style="155"/>
    <col min="14081" max="14086" width="11.77734375" style="155" customWidth="1"/>
    <col min="14087" max="14087" width="10.77734375" style="155" customWidth="1"/>
    <col min="14088" max="14088" width="15.77734375" style="155" customWidth="1"/>
    <col min="14089" max="14094" width="11.44140625" style="155"/>
    <col min="14095" max="14095" width="15.77734375" style="155" customWidth="1"/>
    <col min="14096" max="14336" width="11.44140625" style="155"/>
    <col min="14337" max="14342" width="11.77734375" style="155" customWidth="1"/>
    <col min="14343" max="14343" width="10.77734375" style="155" customWidth="1"/>
    <col min="14344" max="14344" width="15.77734375" style="155" customWidth="1"/>
    <col min="14345" max="14350" width="11.44140625" style="155"/>
    <col min="14351" max="14351" width="15.77734375" style="155" customWidth="1"/>
    <col min="14352" max="14592" width="11.44140625" style="155"/>
    <col min="14593" max="14598" width="11.77734375" style="155" customWidth="1"/>
    <col min="14599" max="14599" width="10.77734375" style="155" customWidth="1"/>
    <col min="14600" max="14600" width="15.77734375" style="155" customWidth="1"/>
    <col min="14601" max="14606" width="11.44140625" style="155"/>
    <col min="14607" max="14607" width="15.77734375" style="155" customWidth="1"/>
    <col min="14608" max="14848" width="11.44140625" style="155"/>
    <col min="14849" max="14854" width="11.77734375" style="155" customWidth="1"/>
    <col min="14855" max="14855" width="10.77734375" style="155" customWidth="1"/>
    <col min="14856" max="14856" width="15.77734375" style="155" customWidth="1"/>
    <col min="14857" max="14862" width="11.44140625" style="155"/>
    <col min="14863" max="14863" width="15.77734375" style="155" customWidth="1"/>
    <col min="14864" max="15104" width="11.44140625" style="155"/>
    <col min="15105" max="15110" width="11.77734375" style="155" customWidth="1"/>
    <col min="15111" max="15111" width="10.77734375" style="155" customWidth="1"/>
    <col min="15112" max="15112" width="15.77734375" style="155" customWidth="1"/>
    <col min="15113" max="15118" width="11.44140625" style="155"/>
    <col min="15119" max="15119" width="15.77734375" style="155" customWidth="1"/>
    <col min="15120" max="15360" width="11.44140625" style="155"/>
    <col min="15361" max="15366" width="11.77734375" style="155" customWidth="1"/>
    <col min="15367" max="15367" width="10.77734375" style="155" customWidth="1"/>
    <col min="15368" max="15368" width="15.77734375" style="155" customWidth="1"/>
    <col min="15369" max="15374" width="11.44140625" style="155"/>
    <col min="15375" max="15375" width="15.77734375" style="155" customWidth="1"/>
    <col min="15376" max="15616" width="11.44140625" style="155"/>
    <col min="15617" max="15622" width="11.77734375" style="155" customWidth="1"/>
    <col min="15623" max="15623" width="10.77734375" style="155" customWidth="1"/>
    <col min="15624" max="15624" width="15.77734375" style="155" customWidth="1"/>
    <col min="15625" max="15630" width="11.44140625" style="155"/>
    <col min="15631" max="15631" width="15.77734375" style="155" customWidth="1"/>
    <col min="15632" max="15872" width="11.44140625" style="155"/>
    <col min="15873" max="15878" width="11.77734375" style="155" customWidth="1"/>
    <col min="15879" max="15879" width="10.77734375" style="155" customWidth="1"/>
    <col min="15880" max="15880" width="15.77734375" style="155" customWidth="1"/>
    <col min="15881" max="15886" width="11.44140625" style="155"/>
    <col min="15887" max="15887" width="15.77734375" style="155" customWidth="1"/>
    <col min="15888" max="16128" width="11.44140625" style="155"/>
    <col min="16129" max="16134" width="11.77734375" style="155" customWidth="1"/>
    <col min="16135" max="16135" width="10.77734375" style="155" customWidth="1"/>
    <col min="16136" max="16136" width="15.77734375" style="155" customWidth="1"/>
    <col min="16137" max="16142" width="11.44140625" style="155"/>
    <col min="16143" max="16143" width="15.77734375" style="155" customWidth="1"/>
    <col min="16144" max="16384" width="11.44140625" style="155"/>
  </cols>
  <sheetData>
    <row r="1" spans="1:29" ht="15.6" x14ac:dyDescent="0.3">
      <c r="A1" s="153" t="s">
        <v>341</v>
      </c>
      <c r="B1" s="201"/>
      <c r="C1" s="200"/>
      <c r="D1" s="200"/>
      <c r="E1" s="200"/>
      <c r="F1" s="200"/>
    </row>
    <row r="2" spans="1:29" x14ac:dyDescent="0.25">
      <c r="A2" s="155" t="s">
        <v>338</v>
      </c>
    </row>
    <row r="3" spans="1:29" ht="13.8" thickBot="1" x14ac:dyDescent="0.3"/>
    <row r="4" spans="1:29" ht="34.799999999999997" customHeight="1" thickTop="1" thickBot="1" x14ac:dyDescent="0.3">
      <c r="A4" s="396" t="s">
        <v>337</v>
      </c>
      <c r="B4" s="397"/>
      <c r="C4" s="397"/>
      <c r="D4" s="397"/>
      <c r="E4" s="397"/>
      <c r="F4" s="397"/>
      <c r="G4" s="397"/>
      <c r="H4" s="397"/>
      <c r="I4" s="397"/>
      <c r="J4" s="397"/>
      <c r="K4" s="397"/>
      <c r="L4" s="398"/>
      <c r="M4" s="199"/>
      <c r="N4" s="396" t="s">
        <v>336</v>
      </c>
      <c r="O4" s="399"/>
      <c r="P4" s="399"/>
      <c r="Q4" s="399"/>
      <c r="R4" s="399"/>
      <c r="S4" s="399"/>
      <c r="T4" s="399"/>
      <c r="U4" s="399"/>
      <c r="V4" s="399"/>
      <c r="W4" s="399"/>
      <c r="X4" s="399"/>
      <c r="Y4" s="399"/>
      <c r="Z4" s="399"/>
      <c r="AA4" s="399"/>
      <c r="AB4" s="399"/>
      <c r="AC4" s="400"/>
    </row>
    <row r="5" spans="1:29" ht="13.8" thickTop="1" x14ac:dyDescent="0.25">
      <c r="A5" s="196"/>
      <c r="B5" s="196"/>
      <c r="C5" s="196"/>
      <c r="D5" s="196"/>
      <c r="E5" s="196"/>
      <c r="F5" s="196"/>
      <c r="G5" s="196"/>
    </row>
    <row r="6" spans="1:29" ht="13.8" thickBot="1" x14ac:dyDescent="0.3">
      <c r="A6" s="196"/>
      <c r="B6" s="198"/>
      <c r="C6" s="197"/>
      <c r="D6" s="197"/>
      <c r="E6" s="197"/>
      <c r="F6" s="197"/>
      <c r="G6" s="196"/>
    </row>
    <row r="7" spans="1:29" ht="60" customHeight="1" thickTop="1" thickBot="1" x14ac:dyDescent="0.3">
      <c r="A7" s="195"/>
      <c r="B7" s="194" t="s">
        <v>335</v>
      </c>
      <c r="C7" s="193" t="s">
        <v>334</v>
      </c>
      <c r="D7" s="193" t="s">
        <v>333</v>
      </c>
      <c r="E7" s="193" t="s">
        <v>332</v>
      </c>
      <c r="F7" s="192" t="s">
        <v>331</v>
      </c>
      <c r="G7" s="164"/>
      <c r="H7" s="194" t="s">
        <v>330</v>
      </c>
      <c r="I7" s="193" t="s">
        <v>334</v>
      </c>
      <c r="J7" s="193" t="s">
        <v>333</v>
      </c>
      <c r="K7" s="193" t="s">
        <v>332</v>
      </c>
      <c r="L7" s="192" t="s">
        <v>331</v>
      </c>
      <c r="M7" s="191"/>
      <c r="N7" s="190"/>
      <c r="O7" s="189" t="s">
        <v>330</v>
      </c>
      <c r="P7" s="187" t="s">
        <v>329</v>
      </c>
      <c r="Q7" s="188" t="s">
        <v>328</v>
      </c>
      <c r="R7" s="184" t="s">
        <v>327</v>
      </c>
      <c r="S7" s="186" t="s">
        <v>326</v>
      </c>
      <c r="T7" s="184" t="s">
        <v>325</v>
      </c>
      <c r="U7" s="187" t="s">
        <v>324</v>
      </c>
      <c r="V7" s="184" t="s">
        <v>323</v>
      </c>
      <c r="W7" s="186" t="s">
        <v>322</v>
      </c>
      <c r="X7" s="185" t="s">
        <v>321</v>
      </c>
      <c r="Y7" s="185" t="s">
        <v>320</v>
      </c>
      <c r="Z7" s="185" t="s">
        <v>319</v>
      </c>
      <c r="AA7" s="185" t="s">
        <v>318</v>
      </c>
      <c r="AB7" s="185" t="s">
        <v>317</v>
      </c>
      <c r="AC7" s="184" t="s">
        <v>316</v>
      </c>
    </row>
    <row r="8" spans="1:29" ht="13.8" thickTop="1" x14ac:dyDescent="0.25">
      <c r="A8" s="178">
        <v>0</v>
      </c>
      <c r="B8" s="177">
        <f t="shared" ref="B8:B18" si="0">H8/$H8</f>
        <v>1</v>
      </c>
      <c r="C8" s="176">
        <f t="shared" ref="C8:C18" si="1">I8/$H8</f>
        <v>0.14680879691681836</v>
      </c>
      <c r="D8" s="175">
        <f t="shared" ref="D8:D18" si="2">J8/$H8</f>
        <v>2.8164024444247624E-2</v>
      </c>
      <c r="E8" s="175">
        <f t="shared" ref="E8:E18" si="3">K8/$H8</f>
        <v>7.5281197413869447E-2</v>
      </c>
      <c r="F8" s="174">
        <f t="shared" ref="F8:F18" si="4">L8/$H8</f>
        <v>0.74974598122506453</v>
      </c>
      <c r="G8" s="164"/>
      <c r="H8" s="172">
        <f t="shared" ref="H8:H18" si="5">O8</f>
        <v>225.82000000000002</v>
      </c>
      <c r="I8" s="163">
        <f t="shared" ref="I8:I18" si="6">P8+Q8+R8</f>
        <v>33.152362519755926</v>
      </c>
      <c r="J8" s="163">
        <f t="shared" ref="J8:J18" si="7">S8+T8</f>
        <v>6.3599999999999994</v>
      </c>
      <c r="K8" s="163">
        <f t="shared" ref="K8:K18" si="8">U8+V8</f>
        <v>17</v>
      </c>
      <c r="L8" s="169">
        <f t="shared" ref="L8:L18" si="9">W8+X8+Y8+Z8+AA8+AB8+AC8</f>
        <v>169.3076374802441</v>
      </c>
      <c r="M8" s="163"/>
      <c r="N8" s="183">
        <v>0</v>
      </c>
      <c r="O8" s="182">
        <f t="shared" ref="O8:O18" si="10">SUM(P8:AC8)</f>
        <v>225.82000000000002</v>
      </c>
      <c r="P8" s="181">
        <v>25.05</v>
      </c>
      <c r="Q8" s="180">
        <v>4.75</v>
      </c>
      <c r="R8" s="179">
        <v>3.3523625197559221</v>
      </c>
      <c r="S8" s="180">
        <v>0.76</v>
      </c>
      <c r="T8" s="180">
        <v>5.6</v>
      </c>
      <c r="U8" s="181">
        <v>8.6999999999999993</v>
      </c>
      <c r="V8" s="179">
        <v>8.3000000000000007</v>
      </c>
      <c r="W8" s="180">
        <v>59.6</v>
      </c>
      <c r="X8" s="180">
        <v>75</v>
      </c>
      <c r="Y8" s="180">
        <v>3</v>
      </c>
      <c r="Z8" s="180">
        <v>0.36</v>
      </c>
      <c r="AA8" s="180">
        <v>19.399999999999999</v>
      </c>
      <c r="AB8" s="180">
        <v>0.54763748024407766</v>
      </c>
      <c r="AC8" s="179">
        <v>11.4</v>
      </c>
    </row>
    <row r="9" spans="1:29" x14ac:dyDescent="0.25">
      <c r="A9" s="178">
        <v>1000</v>
      </c>
      <c r="B9" s="177">
        <f t="shared" si="0"/>
        <v>1</v>
      </c>
      <c r="C9" s="176">
        <f t="shared" si="1"/>
        <v>0.14275621496361174</v>
      </c>
      <c r="D9" s="175">
        <f t="shared" si="2"/>
        <v>4.8105337971795163E-2</v>
      </c>
      <c r="E9" s="175">
        <f t="shared" si="3"/>
        <v>0.12082444918265814</v>
      </c>
      <c r="F9" s="174">
        <f t="shared" si="4"/>
        <v>0.68831399788193504</v>
      </c>
      <c r="G9" s="164"/>
      <c r="H9" s="172">
        <f t="shared" si="5"/>
        <v>267.33</v>
      </c>
      <c r="I9" s="163">
        <f t="shared" si="6"/>
        <v>38.163018946222323</v>
      </c>
      <c r="J9" s="163">
        <f t="shared" si="7"/>
        <v>12.86</v>
      </c>
      <c r="K9" s="163">
        <f t="shared" si="8"/>
        <v>32.299999999999997</v>
      </c>
      <c r="L9" s="169">
        <f t="shared" si="9"/>
        <v>184.00698105377768</v>
      </c>
      <c r="M9" s="163"/>
      <c r="N9" s="178">
        <v>1000</v>
      </c>
      <c r="O9" s="172">
        <f t="shared" si="10"/>
        <v>267.33</v>
      </c>
      <c r="P9" s="171">
        <v>25.56</v>
      </c>
      <c r="Q9" s="163">
        <v>6.5</v>
      </c>
      <c r="R9" s="169">
        <v>6.1030189462223197</v>
      </c>
      <c r="S9" s="163">
        <v>1.46</v>
      </c>
      <c r="T9" s="163">
        <v>11.4</v>
      </c>
      <c r="U9" s="171">
        <v>10.5</v>
      </c>
      <c r="V9" s="170">
        <v>21.8</v>
      </c>
      <c r="W9" s="163">
        <v>59</v>
      </c>
      <c r="X9" s="163">
        <v>75</v>
      </c>
      <c r="Y9" s="163">
        <v>7.5</v>
      </c>
      <c r="Z9" s="163">
        <v>0.41</v>
      </c>
      <c r="AA9" s="163">
        <v>20</v>
      </c>
      <c r="AB9" s="163">
        <v>0.99698105377767987</v>
      </c>
      <c r="AC9" s="169">
        <v>21.1</v>
      </c>
    </row>
    <row r="10" spans="1:29" x14ac:dyDescent="0.25">
      <c r="A10" s="178">
        <v>1500</v>
      </c>
      <c r="B10" s="177">
        <f t="shared" si="0"/>
        <v>1</v>
      </c>
      <c r="C10" s="176">
        <f t="shared" si="1"/>
        <v>0.19464514871071006</v>
      </c>
      <c r="D10" s="175">
        <f t="shared" si="2"/>
        <v>4.5047305372832025E-2</v>
      </c>
      <c r="E10" s="175">
        <f t="shared" si="3"/>
        <v>0.10631164067988357</v>
      </c>
      <c r="F10" s="174">
        <f t="shared" si="4"/>
        <v>0.65399590523657436</v>
      </c>
      <c r="G10" s="164"/>
      <c r="H10" s="172">
        <f t="shared" si="5"/>
        <v>438.42800000000005</v>
      </c>
      <c r="I10" s="163">
        <f t="shared" si="6"/>
        <v>85.3378832589392</v>
      </c>
      <c r="J10" s="163">
        <f t="shared" si="7"/>
        <v>19.75</v>
      </c>
      <c r="K10" s="163">
        <f t="shared" si="8"/>
        <v>46.61</v>
      </c>
      <c r="L10" s="169">
        <f t="shared" si="9"/>
        <v>286.73011674106084</v>
      </c>
      <c r="M10" s="163"/>
      <c r="N10" s="178">
        <v>1500</v>
      </c>
      <c r="O10" s="172">
        <f t="shared" si="10"/>
        <v>438.42800000000005</v>
      </c>
      <c r="P10" s="171">
        <v>57.268000000000001</v>
      </c>
      <c r="Q10" s="163">
        <v>13.5</v>
      </c>
      <c r="R10" s="169">
        <v>14.5698832589392</v>
      </c>
      <c r="S10" s="163">
        <v>2.25</v>
      </c>
      <c r="T10" s="163">
        <v>17.5</v>
      </c>
      <c r="U10" s="171">
        <v>8.3000000000000007</v>
      </c>
      <c r="V10" s="170">
        <v>38.31</v>
      </c>
      <c r="W10" s="163">
        <v>103</v>
      </c>
      <c r="X10" s="163">
        <v>110</v>
      </c>
      <c r="Y10" s="163">
        <v>15.4</v>
      </c>
      <c r="Z10" s="163">
        <v>0.55000000000000004</v>
      </c>
      <c r="AA10" s="163">
        <v>17.8</v>
      </c>
      <c r="AB10" s="163">
        <v>2.3801167410607991</v>
      </c>
      <c r="AC10" s="169">
        <v>37.6</v>
      </c>
    </row>
    <row r="11" spans="1:29" x14ac:dyDescent="0.25">
      <c r="A11" s="178">
        <v>1700</v>
      </c>
      <c r="B11" s="177">
        <f t="shared" si="0"/>
        <v>1</v>
      </c>
      <c r="C11" s="176">
        <f t="shared" si="1"/>
        <v>0.20395011108442296</v>
      </c>
      <c r="D11" s="175">
        <f t="shared" si="2"/>
        <v>2.1955624782515042E-2</v>
      </c>
      <c r="E11" s="175">
        <f t="shared" si="3"/>
        <v>0.10121128767668065</v>
      </c>
      <c r="F11" s="174">
        <f t="shared" si="4"/>
        <v>0.67288297645638151</v>
      </c>
      <c r="G11" s="164"/>
      <c r="H11" s="172">
        <f t="shared" si="5"/>
        <v>603.4899999999999</v>
      </c>
      <c r="I11" s="163">
        <f t="shared" si="6"/>
        <v>123.08185253833838</v>
      </c>
      <c r="J11" s="163">
        <f t="shared" si="7"/>
        <v>13.25</v>
      </c>
      <c r="K11" s="163">
        <f t="shared" si="8"/>
        <v>61.08</v>
      </c>
      <c r="L11" s="169">
        <f t="shared" si="9"/>
        <v>406.07814746166162</v>
      </c>
      <c r="M11" s="163"/>
      <c r="N11" s="178">
        <v>1700</v>
      </c>
      <c r="O11" s="172">
        <f t="shared" si="10"/>
        <v>603.4899999999999</v>
      </c>
      <c r="P11" s="171">
        <v>81.459999999999994</v>
      </c>
      <c r="Q11" s="163">
        <v>18.8</v>
      </c>
      <c r="R11" s="169">
        <v>22.821852538338394</v>
      </c>
      <c r="S11" s="163">
        <v>1.2</v>
      </c>
      <c r="T11" s="163">
        <v>12.05</v>
      </c>
      <c r="U11" s="171">
        <v>9.3000000000000007</v>
      </c>
      <c r="V11" s="170">
        <v>51.78</v>
      </c>
      <c r="W11" s="163">
        <v>138</v>
      </c>
      <c r="X11" s="163">
        <v>165</v>
      </c>
      <c r="Y11" s="163">
        <v>27</v>
      </c>
      <c r="Z11" s="163">
        <v>0.55000000000000004</v>
      </c>
      <c r="AA11" s="163">
        <v>20.8</v>
      </c>
      <c r="AB11" s="163">
        <v>3.7281474616616062</v>
      </c>
      <c r="AC11" s="169">
        <v>51</v>
      </c>
    </row>
    <row r="12" spans="1:29" x14ac:dyDescent="0.25">
      <c r="A12" s="178">
        <v>1820</v>
      </c>
      <c r="B12" s="177">
        <f t="shared" si="0"/>
        <v>1</v>
      </c>
      <c r="C12" s="176">
        <f t="shared" si="1"/>
        <v>0.20788926660678309</v>
      </c>
      <c r="D12" s="175">
        <f t="shared" si="2"/>
        <v>3.1091206094466355E-2</v>
      </c>
      <c r="E12" s="175">
        <f t="shared" si="3"/>
        <v>7.1263734275553631E-2</v>
      </c>
      <c r="F12" s="174">
        <f t="shared" si="4"/>
        <v>0.68975579302319678</v>
      </c>
      <c r="G12" s="164"/>
      <c r="H12" s="172">
        <f t="shared" si="5"/>
        <v>1041.7079704657854</v>
      </c>
      <c r="I12" s="163">
        <f t="shared" si="6"/>
        <v>216.55990599857256</v>
      </c>
      <c r="J12" s="163">
        <f t="shared" si="7"/>
        <v>32.387957200000002</v>
      </c>
      <c r="K12" s="163">
        <f t="shared" si="8"/>
        <v>74.236000000000004</v>
      </c>
      <c r="L12" s="169">
        <f t="shared" si="9"/>
        <v>718.52410726721268</v>
      </c>
      <c r="M12" s="163"/>
      <c r="N12" s="178">
        <v>1820</v>
      </c>
      <c r="O12" s="172">
        <f t="shared" si="10"/>
        <v>1041.7079704657854</v>
      </c>
      <c r="P12" s="171">
        <v>133.02799999999999</v>
      </c>
      <c r="Q12" s="163">
        <v>36.457000000000001</v>
      </c>
      <c r="R12" s="169">
        <v>47.074905998572589</v>
      </c>
      <c r="S12" s="163">
        <v>10.796510200000002</v>
      </c>
      <c r="T12" s="163">
        <v>21.591446999999999</v>
      </c>
      <c r="U12" s="171">
        <v>10.984999999999999</v>
      </c>
      <c r="V12" s="170">
        <v>63.251000000000005</v>
      </c>
      <c r="W12" s="163">
        <v>381</v>
      </c>
      <c r="X12" s="163">
        <v>209.00001326578524</v>
      </c>
      <c r="Y12" s="163">
        <v>31</v>
      </c>
      <c r="Z12" s="163">
        <v>0.434</v>
      </c>
      <c r="AA12" s="163">
        <v>25.146999999999998</v>
      </c>
      <c r="AB12" s="163">
        <v>7.690094001427414</v>
      </c>
      <c r="AC12" s="169">
        <v>64.2530000000001</v>
      </c>
    </row>
    <row r="13" spans="1:29" x14ac:dyDescent="0.25">
      <c r="A13" s="178">
        <v>1870</v>
      </c>
      <c r="B13" s="177">
        <f t="shared" si="0"/>
        <v>1</v>
      </c>
      <c r="C13" s="176">
        <f t="shared" si="1"/>
        <v>0.24870166519528852</v>
      </c>
      <c r="D13" s="175">
        <f t="shared" si="2"/>
        <v>6.6175492988041512E-2</v>
      </c>
      <c r="E13" s="175">
        <f t="shared" si="3"/>
        <v>7.0913009315389519E-2</v>
      </c>
      <c r="F13" s="174">
        <f t="shared" si="4"/>
        <v>0.61420983250128047</v>
      </c>
      <c r="G13" s="164"/>
      <c r="H13" s="172">
        <f t="shared" si="5"/>
        <v>1275.7320676894062</v>
      </c>
      <c r="I13" s="163">
        <f t="shared" si="6"/>
        <v>317.27668957738388</v>
      </c>
      <c r="J13" s="163">
        <f t="shared" si="7"/>
        <v>84.422198500000007</v>
      </c>
      <c r="K13" s="163">
        <f t="shared" si="8"/>
        <v>90.465999999999994</v>
      </c>
      <c r="L13" s="169">
        <f t="shared" si="9"/>
        <v>783.56717961202241</v>
      </c>
      <c r="M13" s="163"/>
      <c r="N13" s="178">
        <v>1870</v>
      </c>
      <c r="O13" s="172">
        <f t="shared" si="10"/>
        <v>1275.7320676894062</v>
      </c>
      <c r="P13" s="171">
        <v>187.499</v>
      </c>
      <c r="Q13" s="163">
        <v>53.557000000000002</v>
      </c>
      <c r="R13" s="169">
        <v>76.22068957738388</v>
      </c>
      <c r="S13" s="163">
        <v>44.021629500000003</v>
      </c>
      <c r="T13" s="163">
        <v>40.400569000000004</v>
      </c>
      <c r="U13" s="171">
        <v>15.776999999999999</v>
      </c>
      <c r="V13" s="170">
        <v>74.688999999999993</v>
      </c>
      <c r="W13" s="163">
        <v>358</v>
      </c>
      <c r="X13" s="163">
        <v>253.00001676234464</v>
      </c>
      <c r="Y13" s="163">
        <v>34.436999999999998</v>
      </c>
      <c r="Z13" s="163">
        <v>2.0659999999999998</v>
      </c>
      <c r="AA13" s="163">
        <v>30.286000000000001</v>
      </c>
      <c r="AB13" s="163">
        <v>12.451310422616118</v>
      </c>
      <c r="AC13" s="169">
        <v>93.326852427061553</v>
      </c>
    </row>
    <row r="14" spans="1:29" x14ac:dyDescent="0.25">
      <c r="A14" s="173">
        <v>1913</v>
      </c>
      <c r="B14" s="177">
        <f t="shared" si="0"/>
        <v>1</v>
      </c>
      <c r="C14" s="176">
        <f t="shared" si="1"/>
        <v>0.26479892849296277</v>
      </c>
      <c r="D14" s="175">
        <f t="shared" si="2"/>
        <v>0.10390209901553032</v>
      </c>
      <c r="E14" s="175">
        <f t="shared" si="3"/>
        <v>6.9549490730833538E-2</v>
      </c>
      <c r="F14" s="174">
        <f t="shared" si="4"/>
        <v>0.56174948176067341</v>
      </c>
      <c r="G14" s="164"/>
      <c r="H14" s="172">
        <f t="shared" si="5"/>
        <v>1792.9247028219831</v>
      </c>
      <c r="I14" s="163">
        <f t="shared" si="6"/>
        <v>474.76454017582489</v>
      </c>
      <c r="J14" s="163">
        <f t="shared" si="7"/>
        <v>186.28863999999999</v>
      </c>
      <c r="K14" s="163">
        <f t="shared" si="8"/>
        <v>124.697</v>
      </c>
      <c r="L14" s="169">
        <f t="shared" si="9"/>
        <v>1007.1745226461584</v>
      </c>
      <c r="M14" s="163"/>
      <c r="N14" s="173">
        <v>1913</v>
      </c>
      <c r="O14" s="172">
        <f t="shared" si="10"/>
        <v>1792.9247028219831</v>
      </c>
      <c r="P14" s="171">
        <v>260.97500000000002</v>
      </c>
      <c r="Q14" s="163">
        <v>79.53</v>
      </c>
      <c r="R14" s="169">
        <v>134.2595401758249</v>
      </c>
      <c r="S14" s="163">
        <v>105.458</v>
      </c>
      <c r="T14" s="163">
        <v>80.830640000000002</v>
      </c>
      <c r="U14" s="171">
        <v>24.622</v>
      </c>
      <c r="V14" s="170">
        <v>100.075</v>
      </c>
      <c r="W14" s="163">
        <v>437.14</v>
      </c>
      <c r="X14" s="163">
        <v>303.7</v>
      </c>
      <c r="Y14" s="163">
        <v>51.671999999999997</v>
      </c>
      <c r="Z14" s="163">
        <v>5.9429999999999996</v>
      </c>
      <c r="AA14" s="163">
        <v>38.956000000000003</v>
      </c>
      <c r="AB14" s="163">
        <v>21.932459824175123</v>
      </c>
      <c r="AC14" s="169">
        <v>147.83106282198332</v>
      </c>
    </row>
    <row r="15" spans="1:29" x14ac:dyDescent="0.25">
      <c r="A15" s="173">
        <v>1950</v>
      </c>
      <c r="B15" s="177">
        <f t="shared" si="0"/>
        <v>1</v>
      </c>
      <c r="C15" s="176">
        <f t="shared" si="1"/>
        <v>0.21662583180107628</v>
      </c>
      <c r="D15" s="175">
        <f t="shared" si="2"/>
        <v>0.13124020071076498</v>
      </c>
      <c r="E15" s="175">
        <f t="shared" si="3"/>
        <v>9.016719231057424E-2</v>
      </c>
      <c r="F15" s="174">
        <f t="shared" si="4"/>
        <v>0.56196677517758431</v>
      </c>
      <c r="G15" s="164"/>
      <c r="H15" s="172">
        <f t="shared" si="5"/>
        <v>2527.9598949347428</v>
      </c>
      <c r="I15" s="163">
        <f t="shared" si="6"/>
        <v>547.62141500000007</v>
      </c>
      <c r="J15" s="163">
        <f t="shared" si="7"/>
        <v>331.76996399999996</v>
      </c>
      <c r="K15" s="163">
        <f t="shared" si="8"/>
        <v>227.93904599999999</v>
      </c>
      <c r="L15" s="169">
        <f t="shared" si="9"/>
        <v>1420.6294699347422</v>
      </c>
      <c r="M15" s="163"/>
      <c r="N15" s="173">
        <v>1950</v>
      </c>
      <c r="O15" s="172">
        <f t="shared" si="10"/>
        <v>2527.9598949347428</v>
      </c>
      <c r="P15" s="171">
        <v>305.62913600000002</v>
      </c>
      <c r="Q15" s="163">
        <v>87.636755000000008</v>
      </c>
      <c r="R15" s="169">
        <v>154.355524</v>
      </c>
      <c r="S15" s="163">
        <v>166.282422</v>
      </c>
      <c r="T15" s="163">
        <v>165.48754199999999</v>
      </c>
      <c r="U15" s="171">
        <v>43.912307999999996</v>
      </c>
      <c r="V15" s="170">
        <v>184.02673799999999</v>
      </c>
      <c r="W15" s="163">
        <v>546.81500000000005</v>
      </c>
      <c r="X15" s="163">
        <v>359</v>
      </c>
      <c r="Y15" s="163">
        <v>83.805000000000007</v>
      </c>
      <c r="Z15" s="163">
        <v>10.175647</v>
      </c>
      <c r="AA15" s="163">
        <v>59.835209999999989</v>
      </c>
      <c r="AB15" s="163">
        <v>25.215312999999998</v>
      </c>
      <c r="AC15" s="169">
        <v>335.78329993474222</v>
      </c>
    </row>
    <row r="16" spans="1:29" x14ac:dyDescent="0.25">
      <c r="A16" s="173">
        <v>1970</v>
      </c>
      <c r="B16" s="177">
        <f t="shared" si="0"/>
        <v>1</v>
      </c>
      <c r="C16" s="176">
        <f t="shared" si="1"/>
        <v>0.17833329838060089</v>
      </c>
      <c r="D16" s="175">
        <f t="shared" si="2"/>
        <v>0.13873724867373405</v>
      </c>
      <c r="E16" s="175">
        <f t="shared" si="3"/>
        <v>9.9128141815841175E-2</v>
      </c>
      <c r="F16" s="174">
        <f t="shared" si="4"/>
        <v>0.5838013111298237</v>
      </c>
      <c r="G16" s="164"/>
      <c r="H16" s="172">
        <f t="shared" si="5"/>
        <v>3691.1574281273156</v>
      </c>
      <c r="I16" s="163">
        <f t="shared" si="6"/>
        <v>658.25627899999995</v>
      </c>
      <c r="J16" s="163">
        <f t="shared" si="7"/>
        <v>512.10102600000005</v>
      </c>
      <c r="K16" s="163">
        <f t="shared" si="8"/>
        <v>365.89757700000013</v>
      </c>
      <c r="L16" s="169">
        <f t="shared" si="9"/>
        <v>2154.902546127315</v>
      </c>
      <c r="M16" s="163"/>
      <c r="N16" s="173">
        <v>1970</v>
      </c>
      <c r="O16" s="172">
        <f t="shared" si="10"/>
        <v>3691.1574281273156</v>
      </c>
      <c r="P16" s="171">
        <v>353.37092399999995</v>
      </c>
      <c r="Q16" s="163">
        <v>107.920563</v>
      </c>
      <c r="R16" s="169">
        <v>196.96479199999999</v>
      </c>
      <c r="S16" s="163">
        <v>226.801986</v>
      </c>
      <c r="T16" s="163">
        <v>285.29903999999999</v>
      </c>
      <c r="U16" s="171">
        <v>70.512935999999982</v>
      </c>
      <c r="V16" s="170">
        <v>295.38464100000016</v>
      </c>
      <c r="W16" s="163">
        <v>818.31500000000005</v>
      </c>
      <c r="X16" s="163">
        <v>541</v>
      </c>
      <c r="Y16" s="163">
        <v>104.344973</v>
      </c>
      <c r="Z16" s="163">
        <v>15.488209999999999</v>
      </c>
      <c r="AA16" s="163">
        <v>103.48725400000002</v>
      </c>
      <c r="AB16" s="163">
        <v>45.513320999999998</v>
      </c>
      <c r="AC16" s="169">
        <v>526.75378812731503</v>
      </c>
    </row>
    <row r="17" spans="1:29" x14ac:dyDescent="0.25">
      <c r="A17" s="173">
        <v>1990</v>
      </c>
      <c r="B17" s="177">
        <f t="shared" si="0"/>
        <v>1</v>
      </c>
      <c r="C17" s="176">
        <f t="shared" si="1"/>
        <v>0.13577825223010767</v>
      </c>
      <c r="D17" s="175">
        <f t="shared" si="2"/>
        <v>0.1364747859402296</v>
      </c>
      <c r="E17" s="175">
        <f t="shared" si="3"/>
        <v>0.11972032970654804</v>
      </c>
      <c r="F17" s="174">
        <f t="shared" si="4"/>
        <v>0.60802663212311459</v>
      </c>
      <c r="G17" s="164"/>
      <c r="H17" s="172">
        <f t="shared" si="5"/>
        <v>5306.4251540000005</v>
      </c>
      <c r="I17" s="163">
        <f t="shared" si="6"/>
        <v>720.49713300000008</v>
      </c>
      <c r="J17" s="163">
        <f t="shared" si="7"/>
        <v>724.19323699999995</v>
      </c>
      <c r="K17" s="163">
        <f t="shared" si="8"/>
        <v>635.286969</v>
      </c>
      <c r="L17" s="169">
        <f t="shared" si="9"/>
        <v>3226.447815</v>
      </c>
      <c r="M17" s="163"/>
      <c r="N17" s="173">
        <v>1990</v>
      </c>
      <c r="O17" s="172">
        <f t="shared" si="10"/>
        <v>5306.4251540000005</v>
      </c>
      <c r="P17" s="171">
        <v>375.89822999999996</v>
      </c>
      <c r="Q17" s="163">
        <v>130.08683800000009</v>
      </c>
      <c r="R17" s="169">
        <v>214.51206499999998</v>
      </c>
      <c r="S17" s="163">
        <v>281.16157699999997</v>
      </c>
      <c r="T17" s="163">
        <v>443.03165999999999</v>
      </c>
      <c r="U17" s="171">
        <v>119.693926</v>
      </c>
      <c r="V17" s="170">
        <v>515.59304299999997</v>
      </c>
      <c r="W17" s="163">
        <v>1145.1952290000002</v>
      </c>
      <c r="X17" s="163">
        <v>873.78544899999997</v>
      </c>
      <c r="Y17" s="163">
        <v>122.25118399999999</v>
      </c>
      <c r="Z17" s="163">
        <v>20.494135999999997</v>
      </c>
      <c r="AA17" s="163">
        <v>187.22896799999998</v>
      </c>
      <c r="AB17" s="163">
        <v>66.627288000000007</v>
      </c>
      <c r="AC17" s="169">
        <v>810.86556100000007</v>
      </c>
    </row>
    <row r="18" spans="1:29" ht="13.8" thickBot="1" x14ac:dyDescent="0.3">
      <c r="A18" s="162">
        <v>2012</v>
      </c>
      <c r="B18" s="168">
        <f t="shared" si="0"/>
        <v>1</v>
      </c>
      <c r="C18" s="167">
        <f t="shared" si="1"/>
        <v>0.10495763609005229</v>
      </c>
      <c r="D18" s="166">
        <f t="shared" si="2"/>
        <v>0.13524538692894522</v>
      </c>
      <c r="E18" s="166">
        <f t="shared" si="3"/>
        <v>0.15174073095864968</v>
      </c>
      <c r="F18" s="165">
        <f t="shared" si="4"/>
        <v>0.60805624602235275</v>
      </c>
      <c r="G18" s="164"/>
      <c r="H18" s="161">
        <f t="shared" si="5"/>
        <v>7052.1353050000007</v>
      </c>
      <c r="I18" s="158">
        <f t="shared" si="6"/>
        <v>740.17545099999995</v>
      </c>
      <c r="J18" s="158">
        <f t="shared" si="7"/>
        <v>953.76876800000014</v>
      </c>
      <c r="K18" s="158">
        <f t="shared" si="8"/>
        <v>1070.096166</v>
      </c>
      <c r="L18" s="157">
        <f t="shared" si="9"/>
        <v>4288.0949200000005</v>
      </c>
      <c r="M18" s="163"/>
      <c r="N18" s="162">
        <v>2012</v>
      </c>
      <c r="O18" s="161">
        <f t="shared" si="10"/>
        <v>7052.1353050000007</v>
      </c>
      <c r="P18" s="160">
        <v>413.57516700000008</v>
      </c>
      <c r="Q18" s="158">
        <v>125.91007099999993</v>
      </c>
      <c r="R18" s="157">
        <v>200.690213</v>
      </c>
      <c r="S18" s="158">
        <v>350.594539</v>
      </c>
      <c r="T18" s="158">
        <v>603.17422900000008</v>
      </c>
      <c r="U18" s="160">
        <v>170.78379100000001</v>
      </c>
      <c r="V18" s="159">
        <v>899.31237499999997</v>
      </c>
      <c r="W18" s="158">
        <v>1353.6006869999999</v>
      </c>
      <c r="X18" s="158">
        <v>1258.3509709999998</v>
      </c>
      <c r="Y18" s="158">
        <v>126.43465300000001</v>
      </c>
      <c r="Z18" s="158">
        <v>27.379944999999999</v>
      </c>
      <c r="AA18" s="158">
        <v>300.25903099999994</v>
      </c>
      <c r="AB18" s="158">
        <v>78.989851000000016</v>
      </c>
      <c r="AC18" s="157">
        <v>1143.0797820000007</v>
      </c>
    </row>
    <row r="19" spans="1:29" ht="14.4" thickTop="1" thickBot="1" x14ac:dyDescent="0.3"/>
    <row r="20" spans="1:29" ht="100.05" customHeight="1" thickTop="1" thickBot="1" x14ac:dyDescent="0.3">
      <c r="A20" s="401" t="s">
        <v>315</v>
      </c>
      <c r="B20" s="402"/>
      <c r="C20" s="402"/>
      <c r="D20" s="402"/>
      <c r="E20" s="402"/>
      <c r="F20" s="402"/>
      <c r="G20" s="403"/>
      <c r="H20" s="403"/>
      <c r="I20" s="403"/>
      <c r="J20" s="403"/>
      <c r="K20" s="403"/>
      <c r="L20" s="404"/>
      <c r="M20" s="156"/>
    </row>
    <row r="21" spans="1:29" ht="13.8" thickTop="1" x14ac:dyDescent="0.25"/>
    <row r="22" spans="1:29" x14ac:dyDescent="0.25">
      <c r="W22" s="155">
        <f t="shared" ref="W22:W28" si="11">W13/X13</f>
        <v>1.4150196690946744</v>
      </c>
    </row>
    <row r="23" spans="1:29" x14ac:dyDescent="0.25">
      <c r="W23" s="155">
        <f t="shared" si="11"/>
        <v>1.439380968060586</v>
      </c>
    </row>
    <row r="24" spans="1:29" x14ac:dyDescent="0.25">
      <c r="W24" s="155">
        <f t="shared" si="11"/>
        <v>1.5231615598885795</v>
      </c>
    </row>
    <row r="25" spans="1:29" x14ac:dyDescent="0.25">
      <c r="W25" s="155">
        <f t="shared" si="11"/>
        <v>1.5125970425138633</v>
      </c>
    </row>
    <row r="26" spans="1:29" x14ac:dyDescent="0.25">
      <c r="W26" s="155">
        <f t="shared" si="11"/>
        <v>1.3106137557115582</v>
      </c>
    </row>
    <row r="27" spans="1:29" x14ac:dyDescent="0.25">
      <c r="W27" s="155">
        <f t="shared" si="11"/>
        <v>1.0756940775627215</v>
      </c>
    </row>
    <row r="28" spans="1:29" x14ac:dyDescent="0.25">
      <c r="W28" s="155" t="e">
        <f t="shared" si="11"/>
        <v>#DIV/0!</v>
      </c>
    </row>
  </sheetData>
  <mergeCells count="3">
    <mergeCell ref="A4:L4"/>
    <mergeCell ref="N4:AC4"/>
    <mergeCell ref="A20:L20"/>
  </mergeCells>
  <printOptions horizontalCentered="1" verticalCentered="1"/>
  <pageMargins left="0.78740157480314965" right="0.78740157480314965" top="0.98425196850393704" bottom="0.98425196850393704" header="0.51181102362204722" footer="0.51181102362204722"/>
  <pageSetup paperSize="9" scale="38" orientation="landscape" horizontalDpi="4294967292" verticalDpi="4294967292" r:id="rId1"/>
  <headerFooter alignWithMargins="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G44"/>
  <sheetViews>
    <sheetView workbookViewId="0">
      <pane xSplit="1" ySplit="7" topLeftCell="B8" activePane="bottomRight" state="frozen"/>
      <selection pane="topRight"/>
      <selection pane="bottomLeft"/>
      <selection pane="bottomRight"/>
    </sheetView>
  </sheetViews>
  <sheetFormatPr baseColWidth="10" defaultColWidth="11.44140625" defaultRowHeight="13.2" x14ac:dyDescent="0.25"/>
  <cols>
    <col min="1" max="1" width="14.109375" style="202" customWidth="1"/>
    <col min="2" max="2" width="11.77734375" style="202" customWidth="1"/>
    <col min="3" max="7" width="9.77734375" style="202" customWidth="1"/>
    <col min="8" max="8" width="18.77734375" style="202" customWidth="1"/>
    <col min="9" max="25" width="10.77734375" style="202" customWidth="1"/>
    <col min="26" max="16384" width="11.44140625" style="202"/>
  </cols>
  <sheetData>
    <row r="1" spans="1:48" ht="15.6" x14ac:dyDescent="0.3">
      <c r="A1" s="153" t="s">
        <v>341</v>
      </c>
      <c r="B1" s="278"/>
      <c r="C1" s="277"/>
      <c r="D1" s="277"/>
      <c r="E1" s="277"/>
      <c r="F1" s="277"/>
      <c r="G1" s="277"/>
    </row>
    <row r="2" spans="1:48" x14ac:dyDescent="0.25">
      <c r="A2" s="155" t="s">
        <v>381</v>
      </c>
    </row>
    <row r="3" spans="1:48" ht="13.8" thickBot="1" x14ac:dyDescent="0.3"/>
    <row r="4" spans="1:48" ht="49.95" customHeight="1" thickTop="1" thickBot="1" x14ac:dyDescent="0.3">
      <c r="A4" s="405" t="s">
        <v>380</v>
      </c>
      <c r="B4" s="406"/>
      <c r="C4" s="406"/>
      <c r="D4" s="406"/>
      <c r="E4" s="406"/>
      <c r="F4" s="407"/>
      <c r="G4" s="276"/>
      <c r="H4" s="417" t="s">
        <v>379</v>
      </c>
      <c r="I4" s="418"/>
      <c r="J4" s="418"/>
      <c r="K4" s="418"/>
      <c r="L4" s="418"/>
      <c r="M4" s="418"/>
      <c r="N4" s="418"/>
      <c r="O4" s="418"/>
      <c r="P4" s="418"/>
      <c r="Q4" s="418"/>
      <c r="R4" s="418"/>
      <c r="S4" s="418"/>
      <c r="T4" s="418"/>
      <c r="U4" s="418"/>
      <c r="V4" s="418"/>
      <c r="W4" s="419"/>
      <c r="X4" s="272"/>
      <c r="Y4" s="417" t="s">
        <v>378</v>
      </c>
      <c r="Z4" s="420"/>
      <c r="AA4" s="420"/>
      <c r="AB4" s="420"/>
      <c r="AC4" s="420"/>
      <c r="AD4" s="421"/>
      <c r="AE4" s="276"/>
      <c r="AF4" s="417" t="s">
        <v>377</v>
      </c>
      <c r="AG4" s="418"/>
      <c r="AH4" s="418"/>
      <c r="AI4" s="418"/>
      <c r="AJ4" s="418"/>
      <c r="AK4" s="418"/>
      <c r="AL4" s="418"/>
      <c r="AM4" s="418"/>
      <c r="AN4" s="418"/>
      <c r="AO4" s="418"/>
      <c r="AP4" s="418"/>
      <c r="AQ4" s="418"/>
      <c r="AR4" s="418"/>
      <c r="AS4" s="418"/>
      <c r="AT4" s="418"/>
      <c r="AU4" s="419"/>
    </row>
    <row r="5" spans="1:48" ht="13.8" thickTop="1" x14ac:dyDescent="0.25">
      <c r="A5" s="275"/>
      <c r="B5" s="275"/>
      <c r="C5" s="275"/>
      <c r="D5" s="275"/>
      <c r="E5" s="275"/>
      <c r="F5" s="275"/>
      <c r="G5" s="272"/>
      <c r="H5" s="272"/>
      <c r="I5" s="272"/>
      <c r="J5" s="272"/>
      <c r="K5" s="272"/>
      <c r="L5" s="272"/>
      <c r="M5" s="272"/>
      <c r="N5" s="272"/>
      <c r="O5" s="272"/>
      <c r="P5" s="272"/>
      <c r="Q5" s="272"/>
      <c r="R5" s="272"/>
      <c r="S5" s="272"/>
      <c r="T5" s="272"/>
      <c r="U5" s="272"/>
      <c r="V5" s="272"/>
      <c r="W5" s="272"/>
      <c r="X5" s="272"/>
      <c r="Y5" s="272"/>
    </row>
    <row r="6" spans="1:48" ht="13.8" thickBot="1" x14ac:dyDescent="0.3">
      <c r="A6" s="272"/>
      <c r="B6" s="274"/>
      <c r="C6" s="273"/>
      <c r="D6" s="273"/>
      <c r="E6" s="273"/>
      <c r="F6" s="273"/>
      <c r="G6" s="273"/>
      <c r="H6" s="272"/>
      <c r="I6" s="272"/>
      <c r="J6" s="272"/>
      <c r="K6" s="272"/>
      <c r="L6" s="272"/>
      <c r="M6" s="272"/>
      <c r="N6" s="272"/>
      <c r="O6" s="272"/>
      <c r="P6" s="272"/>
      <c r="Q6" s="272"/>
      <c r="R6" s="272"/>
      <c r="S6" s="272"/>
      <c r="T6" s="272"/>
      <c r="U6" s="272"/>
      <c r="V6" s="272"/>
      <c r="W6" s="272"/>
      <c r="X6" s="272"/>
      <c r="Y6" s="272"/>
    </row>
    <row r="7" spans="1:48" ht="60" customHeight="1" thickTop="1" thickBot="1" x14ac:dyDescent="0.3">
      <c r="A7" s="271"/>
      <c r="B7" s="267" t="s">
        <v>376</v>
      </c>
      <c r="C7" s="266" t="s">
        <v>334</v>
      </c>
      <c r="D7" s="266" t="s">
        <v>333</v>
      </c>
      <c r="E7" s="266" t="s">
        <v>332</v>
      </c>
      <c r="F7" s="262" t="s">
        <v>331</v>
      </c>
      <c r="G7" s="261"/>
      <c r="H7" s="250"/>
      <c r="I7" s="267" t="s">
        <v>376</v>
      </c>
      <c r="J7" s="265" t="s">
        <v>329</v>
      </c>
      <c r="K7" s="266" t="s">
        <v>328</v>
      </c>
      <c r="L7" s="262" t="s">
        <v>327</v>
      </c>
      <c r="M7" s="264" t="s">
        <v>326</v>
      </c>
      <c r="N7" s="262" t="s">
        <v>325</v>
      </c>
      <c r="O7" s="265" t="s">
        <v>324</v>
      </c>
      <c r="P7" s="262" t="s">
        <v>323</v>
      </c>
      <c r="Q7" s="264" t="s">
        <v>322</v>
      </c>
      <c r="R7" s="263" t="s">
        <v>321</v>
      </c>
      <c r="S7" s="263" t="s">
        <v>320</v>
      </c>
      <c r="T7" s="263" t="s">
        <v>319</v>
      </c>
      <c r="U7" s="263" t="s">
        <v>318</v>
      </c>
      <c r="V7" s="263" t="s">
        <v>317</v>
      </c>
      <c r="W7" s="262" t="s">
        <v>316</v>
      </c>
      <c r="X7" s="250"/>
      <c r="Y7" s="250"/>
      <c r="Z7" s="270" t="s">
        <v>330</v>
      </c>
      <c r="AA7" s="269" t="s">
        <v>334</v>
      </c>
      <c r="AB7" s="269" t="s">
        <v>333</v>
      </c>
      <c r="AC7" s="269" t="s">
        <v>332</v>
      </c>
      <c r="AD7" s="268" t="s">
        <v>331</v>
      </c>
      <c r="AE7" s="261"/>
      <c r="AG7" s="267" t="s">
        <v>330</v>
      </c>
      <c r="AH7" s="265" t="s">
        <v>329</v>
      </c>
      <c r="AI7" s="266" t="s">
        <v>328</v>
      </c>
      <c r="AJ7" s="262" t="s">
        <v>327</v>
      </c>
      <c r="AK7" s="264" t="s">
        <v>326</v>
      </c>
      <c r="AL7" s="262" t="s">
        <v>325</v>
      </c>
      <c r="AM7" s="265" t="s">
        <v>324</v>
      </c>
      <c r="AN7" s="262" t="s">
        <v>323</v>
      </c>
      <c r="AO7" s="264" t="s">
        <v>322</v>
      </c>
      <c r="AP7" s="263" t="s">
        <v>321</v>
      </c>
      <c r="AQ7" s="263" t="s">
        <v>320</v>
      </c>
      <c r="AR7" s="263" t="s">
        <v>319</v>
      </c>
      <c r="AS7" s="263" t="s">
        <v>318</v>
      </c>
      <c r="AT7" s="263" t="s">
        <v>317</v>
      </c>
      <c r="AU7" s="262" t="s">
        <v>316</v>
      </c>
      <c r="AV7" s="261"/>
    </row>
    <row r="8" spans="1:48" ht="15" customHeight="1" thickTop="1" x14ac:dyDescent="0.25">
      <c r="A8" s="260" t="s">
        <v>375</v>
      </c>
      <c r="B8" s="245">
        <f>(Z9/Z8)^(1/1000)-1</f>
        <v>1.6875986688491551E-4</v>
      </c>
      <c r="C8" s="249">
        <f>(AA9/AA8)^(1/1000)-1</f>
        <v>1.4076288080522303E-4</v>
      </c>
      <c r="D8" s="248">
        <f>(AB9/AB8)^(1/1000)-1</f>
        <v>7.0434127335983199E-4</v>
      </c>
      <c r="E8" s="248">
        <f>(AC9/AC8)^(1/1000)-1</f>
        <v>6.4205991845645016E-4</v>
      </c>
      <c r="F8" s="247">
        <f>(AD9/AD8)^(1/1000)-1</f>
        <v>8.3259763068888049E-5</v>
      </c>
      <c r="G8" s="224"/>
      <c r="H8" s="239" t="s">
        <v>375</v>
      </c>
      <c r="I8" s="259">
        <f t="shared" ref="I8:W8" si="0">(AG9/AG8)^(1/1000)-1</f>
        <v>1.6875986688491551E-4</v>
      </c>
      <c r="J8" s="258">
        <f t="shared" si="0"/>
        <v>2.0155005087785227E-5</v>
      </c>
      <c r="K8" s="257">
        <f t="shared" si="0"/>
        <v>3.1370675453046282E-4</v>
      </c>
      <c r="L8" s="256">
        <f t="shared" si="0"/>
        <v>5.9929773808575781E-4</v>
      </c>
      <c r="M8" s="258">
        <f t="shared" si="0"/>
        <v>6.5308644957084994E-4</v>
      </c>
      <c r="N8" s="256">
        <f t="shared" si="0"/>
        <v>7.110994690919803E-4</v>
      </c>
      <c r="O8" s="258">
        <f t="shared" si="0"/>
        <v>1.8806991443232057E-4</v>
      </c>
      <c r="P8" s="256">
        <f t="shared" si="0"/>
        <v>9.661208493689788E-4</v>
      </c>
      <c r="Q8" s="258">
        <f t="shared" si="0"/>
        <v>-1.0118078977439104E-5</v>
      </c>
      <c r="R8" s="257">
        <f t="shared" si="0"/>
        <v>0</v>
      </c>
      <c r="S8" s="257">
        <f t="shared" si="0"/>
        <v>9.1671065447407329E-4</v>
      </c>
      <c r="T8" s="257">
        <f t="shared" si="0"/>
        <v>1.3006158552286706E-4</v>
      </c>
      <c r="U8" s="257">
        <f t="shared" si="0"/>
        <v>3.0459671371163566E-5</v>
      </c>
      <c r="V8" s="257">
        <f t="shared" si="0"/>
        <v>5.9929773808575781E-4</v>
      </c>
      <c r="W8" s="256">
        <f t="shared" si="0"/>
        <v>6.1584924240443151E-4</v>
      </c>
      <c r="X8" s="250"/>
      <c r="Y8" s="239">
        <v>0</v>
      </c>
      <c r="Z8" s="215">
        <f t="shared" ref="Z8:Z29" si="1">AG8</f>
        <v>225.82000000000002</v>
      </c>
      <c r="AA8" s="218">
        <f t="shared" ref="AA8:AA29" si="2">AH8+AI8+AJ8</f>
        <v>33.152362519755926</v>
      </c>
      <c r="AB8" s="218">
        <f t="shared" ref="AB8:AB29" si="3">AK8+AL8</f>
        <v>6.3599999999999994</v>
      </c>
      <c r="AC8" s="218">
        <f t="shared" ref="AC8:AC29" si="4">AM8+AN8</f>
        <v>17</v>
      </c>
      <c r="AD8" s="217">
        <f t="shared" ref="AD8:AD29" si="5">AO8+AP8+AQ8+AR8+AS8+AT8+AU8</f>
        <v>169.3076374802441</v>
      </c>
      <c r="AE8" s="218"/>
      <c r="AF8" s="239">
        <v>0</v>
      </c>
      <c r="AG8" s="238">
        <f t="shared" ref="AG8:AG29" si="6">SUM(AH8:AU8)</f>
        <v>225.82000000000002</v>
      </c>
      <c r="AH8" s="255">
        <v>25.05</v>
      </c>
      <c r="AI8" s="241">
        <v>4.75</v>
      </c>
      <c r="AJ8" s="240">
        <v>3.3523625197559221</v>
      </c>
      <c r="AK8" s="241">
        <v>0.76</v>
      </c>
      <c r="AL8" s="241">
        <v>5.6</v>
      </c>
      <c r="AM8" s="255">
        <v>8.6999999999999993</v>
      </c>
      <c r="AN8" s="240">
        <v>8.3000000000000007</v>
      </c>
      <c r="AO8" s="241">
        <v>59.6</v>
      </c>
      <c r="AP8" s="241">
        <v>75</v>
      </c>
      <c r="AQ8" s="241">
        <v>3</v>
      </c>
      <c r="AR8" s="241">
        <v>0.36</v>
      </c>
      <c r="AS8" s="241">
        <v>19.399999999999999</v>
      </c>
      <c r="AT8" s="241">
        <v>0.54763748024407766</v>
      </c>
      <c r="AU8" s="240">
        <v>11.4</v>
      </c>
      <c r="AV8" s="218"/>
    </row>
    <row r="9" spans="1:48" ht="15" customHeight="1" x14ac:dyDescent="0.25">
      <c r="A9" s="253" t="s">
        <v>374</v>
      </c>
      <c r="B9" s="230">
        <f>(Z10/Z9)^(1/500)-1</f>
        <v>9.8991314473839687E-4</v>
      </c>
      <c r="C9" s="234">
        <f>(AA10/AA9)^(1/500)-1</f>
        <v>1.610798980259398E-3</v>
      </c>
      <c r="D9" s="233">
        <f>(AB10/AB9)^(1/500)-1</f>
        <v>8.5843178691646926E-4</v>
      </c>
      <c r="E9" s="233">
        <f>(AC10/AC9)^(1/500)-1</f>
        <v>7.337648341114722E-4</v>
      </c>
      <c r="F9" s="232">
        <f>(AD10/AD9)^(1/500)-1</f>
        <v>8.875290533429947E-4</v>
      </c>
      <c r="G9" s="224"/>
      <c r="H9" s="253" t="s">
        <v>374</v>
      </c>
      <c r="I9" s="230">
        <f t="shared" ref="I9:W9" si="7">(AG10/AG9)^(1/500)-1</f>
        <v>9.8991314473839687E-4</v>
      </c>
      <c r="J9" s="229">
        <f t="shared" si="7"/>
        <v>1.6147290211929732E-3</v>
      </c>
      <c r="K9" s="224">
        <f t="shared" si="7"/>
        <v>1.4628439309596342E-3</v>
      </c>
      <c r="L9" s="228">
        <f t="shared" si="7"/>
        <v>1.7418613807418382E-3</v>
      </c>
      <c r="M9" s="229">
        <f t="shared" si="7"/>
        <v>8.6536177062024322E-4</v>
      </c>
      <c r="N9" s="228">
        <f t="shared" si="7"/>
        <v>8.5754253058278884E-4</v>
      </c>
      <c r="O9" s="229">
        <f t="shared" si="7"/>
        <v>-4.701289394636321E-4</v>
      </c>
      <c r="P9" s="228">
        <f t="shared" si="7"/>
        <v>1.1282379599677483E-3</v>
      </c>
      <c r="Q9" s="229">
        <f t="shared" si="7"/>
        <v>1.1150042441956387E-3</v>
      </c>
      <c r="R9" s="224">
        <f t="shared" si="7"/>
        <v>7.6627794556172191E-4</v>
      </c>
      <c r="S9" s="224">
        <f t="shared" si="7"/>
        <v>1.4399647327891785E-3</v>
      </c>
      <c r="T9" s="224">
        <f t="shared" si="7"/>
        <v>5.8769486205112464E-4</v>
      </c>
      <c r="U9" s="224">
        <f t="shared" si="7"/>
        <v>-2.3304047436112363E-4</v>
      </c>
      <c r="V9" s="224">
        <f t="shared" si="7"/>
        <v>1.7418613807418382E-3</v>
      </c>
      <c r="W9" s="228">
        <f t="shared" si="7"/>
        <v>1.1561298232496409E-3</v>
      </c>
      <c r="X9" s="250"/>
      <c r="Y9" s="253">
        <v>1000</v>
      </c>
      <c r="Z9" s="215">
        <f t="shared" si="1"/>
        <v>267.33</v>
      </c>
      <c r="AA9" s="218">
        <f t="shared" si="2"/>
        <v>38.163018946222323</v>
      </c>
      <c r="AB9" s="218">
        <f t="shared" si="3"/>
        <v>12.86</v>
      </c>
      <c r="AC9" s="218">
        <f t="shared" si="4"/>
        <v>32.299999999999997</v>
      </c>
      <c r="AD9" s="217">
        <f t="shared" si="5"/>
        <v>184.00698105377768</v>
      </c>
      <c r="AE9" s="218"/>
      <c r="AF9" s="253">
        <v>1000</v>
      </c>
      <c r="AG9" s="215">
        <f t="shared" si="6"/>
        <v>267.33</v>
      </c>
      <c r="AH9" s="254">
        <v>25.56</v>
      </c>
      <c r="AI9" s="218">
        <v>6.5</v>
      </c>
      <c r="AJ9" s="217">
        <v>6.1030189462223197</v>
      </c>
      <c r="AK9" s="218">
        <v>1.46</v>
      </c>
      <c r="AL9" s="218">
        <v>11.4</v>
      </c>
      <c r="AM9" s="254">
        <v>10.5</v>
      </c>
      <c r="AN9" s="217">
        <v>21.8</v>
      </c>
      <c r="AO9" s="218">
        <v>59</v>
      </c>
      <c r="AP9" s="218">
        <v>75</v>
      </c>
      <c r="AQ9" s="218">
        <v>7.5</v>
      </c>
      <c r="AR9" s="218">
        <v>0.41</v>
      </c>
      <c r="AS9" s="218">
        <v>20</v>
      </c>
      <c r="AT9" s="218">
        <v>0.99698105377767987</v>
      </c>
      <c r="AU9" s="217">
        <v>21.1</v>
      </c>
      <c r="AV9" s="218"/>
    </row>
    <row r="10" spans="1:48" ht="15" customHeight="1" x14ac:dyDescent="0.25">
      <c r="A10" s="253" t="s">
        <v>373</v>
      </c>
      <c r="B10" s="230">
        <f>(Z11/Z10)^(1/200)-1</f>
        <v>1.5989462945438238E-3</v>
      </c>
      <c r="C10" s="234">
        <f>(AA11/AA10)^(1/200)-1</f>
        <v>1.8328332293462424E-3</v>
      </c>
      <c r="D10" s="233">
        <f>(AB11/AB10)^(1/200)-1</f>
        <v>-1.9937894505296372E-3</v>
      </c>
      <c r="E10" s="233">
        <f>(AC11/AC10)^(1/200)-1</f>
        <v>1.3527610066685902E-3</v>
      </c>
      <c r="F10" s="232">
        <f>(AD11/AD10)^(1/200)-1</f>
        <v>1.7415357598133951E-3</v>
      </c>
      <c r="G10" s="224"/>
      <c r="H10" s="253" t="s">
        <v>373</v>
      </c>
      <c r="I10" s="230">
        <f t="shared" ref="I10:W10" si="8">(AG11/AG10)^(1/200)-1</f>
        <v>1.5989462945438238E-3</v>
      </c>
      <c r="J10" s="229">
        <f t="shared" si="8"/>
        <v>1.7634034640918728E-3</v>
      </c>
      <c r="K10" s="224">
        <f t="shared" si="8"/>
        <v>1.6572075752310234E-3</v>
      </c>
      <c r="L10" s="228">
        <f t="shared" si="8"/>
        <v>2.2463287938667698E-3</v>
      </c>
      <c r="M10" s="229">
        <f t="shared" si="8"/>
        <v>-3.1381091073391376E-3</v>
      </c>
      <c r="N10" s="228">
        <f t="shared" si="8"/>
        <v>-1.8639418037998956E-3</v>
      </c>
      <c r="O10" s="229">
        <f t="shared" si="8"/>
        <v>5.6895622100761045E-4</v>
      </c>
      <c r="P10" s="228">
        <f t="shared" si="8"/>
        <v>1.5076003665890347E-3</v>
      </c>
      <c r="Q10" s="229">
        <f t="shared" si="8"/>
        <v>1.4636936400480582E-3</v>
      </c>
      <c r="R10" s="224">
        <f t="shared" si="8"/>
        <v>2.0293819544030534E-3</v>
      </c>
      <c r="S10" s="224">
        <f t="shared" si="8"/>
        <v>2.8112910710347272E-3</v>
      </c>
      <c r="T10" s="224">
        <f t="shared" si="8"/>
        <v>0</v>
      </c>
      <c r="U10" s="224">
        <f t="shared" si="8"/>
        <v>7.7907596919857269E-4</v>
      </c>
      <c r="V10" s="224">
        <f t="shared" si="8"/>
        <v>2.2463287938667698E-3</v>
      </c>
      <c r="W10" s="228">
        <f t="shared" si="8"/>
        <v>1.5252699543901738E-3</v>
      </c>
      <c r="X10" s="250"/>
      <c r="Y10" s="253">
        <v>1500</v>
      </c>
      <c r="Z10" s="215">
        <f t="shared" si="1"/>
        <v>438.42800000000005</v>
      </c>
      <c r="AA10" s="218">
        <f t="shared" si="2"/>
        <v>85.3378832589392</v>
      </c>
      <c r="AB10" s="218">
        <f t="shared" si="3"/>
        <v>19.75</v>
      </c>
      <c r="AC10" s="218">
        <f t="shared" si="4"/>
        <v>46.61</v>
      </c>
      <c r="AD10" s="217">
        <f t="shared" si="5"/>
        <v>286.73011674106084</v>
      </c>
      <c r="AE10" s="218"/>
      <c r="AF10" s="253">
        <v>1500</v>
      </c>
      <c r="AG10" s="215">
        <f t="shared" si="6"/>
        <v>438.42800000000005</v>
      </c>
      <c r="AH10" s="214">
        <v>57.268000000000001</v>
      </c>
      <c r="AI10" s="205">
        <v>13.5</v>
      </c>
      <c r="AJ10" s="213">
        <v>14.5698832589392</v>
      </c>
      <c r="AK10" s="205">
        <v>2.25</v>
      </c>
      <c r="AL10" s="205">
        <v>17.5</v>
      </c>
      <c r="AM10" s="214">
        <v>8.3000000000000007</v>
      </c>
      <c r="AN10" s="213">
        <v>38.31</v>
      </c>
      <c r="AO10" s="205">
        <v>103</v>
      </c>
      <c r="AP10" s="205">
        <v>110</v>
      </c>
      <c r="AQ10" s="205">
        <v>15.4</v>
      </c>
      <c r="AR10" s="205">
        <v>0.55000000000000004</v>
      </c>
      <c r="AS10" s="205">
        <v>17.8</v>
      </c>
      <c r="AT10" s="205">
        <v>2.3801167410607991</v>
      </c>
      <c r="AU10" s="213">
        <v>37.6</v>
      </c>
      <c r="AV10" s="205"/>
    </row>
    <row r="11" spans="1:48" ht="15" customHeight="1" x14ac:dyDescent="0.25">
      <c r="A11" s="253" t="s">
        <v>372</v>
      </c>
      <c r="B11" s="230">
        <f>(Z12/Z11)^(1/120)-1</f>
        <v>4.5594248070472965E-3</v>
      </c>
      <c r="C11" s="234">
        <f>(AA12/AA11)^(1/120)-1</f>
        <v>4.7195823888310784E-3</v>
      </c>
      <c r="D11" s="233">
        <f>(AB12/AB11)^(1/120)-1</f>
        <v>7.4760497366692658E-3</v>
      </c>
      <c r="E11" s="233">
        <f>(AC12/AC11)^(1/120)-1</f>
        <v>1.6268613000480769E-3</v>
      </c>
      <c r="F11" s="232">
        <f>(AD12/AD11)^(1/120)-1</f>
        <v>4.7667720382003065E-3</v>
      </c>
      <c r="G11" s="224"/>
      <c r="H11" s="253" t="s">
        <v>372</v>
      </c>
      <c r="I11" s="230">
        <f t="shared" ref="I11:W11" si="9">(AG12/AG11)^(1/120)-1</f>
        <v>4.5594248070472965E-3</v>
      </c>
      <c r="J11" s="229">
        <f t="shared" si="9"/>
        <v>4.0954261823717975E-3</v>
      </c>
      <c r="K11" s="224">
        <f t="shared" si="9"/>
        <v>5.5342293645515017E-3</v>
      </c>
      <c r="L11" s="228">
        <f t="shared" si="9"/>
        <v>6.0517512686542041E-3</v>
      </c>
      <c r="M11" s="229">
        <f t="shared" si="9"/>
        <v>1.8476121490739406E-2</v>
      </c>
      <c r="N11" s="228">
        <f t="shared" si="9"/>
        <v>4.8721019798074749E-3</v>
      </c>
      <c r="O11" s="229">
        <f t="shared" si="9"/>
        <v>1.3885990927910985E-3</v>
      </c>
      <c r="P11" s="228">
        <f t="shared" si="9"/>
        <v>1.6689491766881392E-3</v>
      </c>
      <c r="Q11" s="229">
        <f t="shared" si="9"/>
        <v>8.4987921582093673E-3</v>
      </c>
      <c r="R11" s="224">
        <f t="shared" si="9"/>
        <v>1.9718485543029907E-3</v>
      </c>
      <c r="S11" s="224">
        <f t="shared" si="9"/>
        <v>1.1519157665837998E-3</v>
      </c>
      <c r="T11" s="224">
        <f t="shared" si="9"/>
        <v>-1.9720009138978201E-3</v>
      </c>
      <c r="U11" s="224">
        <f t="shared" si="9"/>
        <v>1.5827981249951772E-3</v>
      </c>
      <c r="V11" s="224">
        <f t="shared" si="9"/>
        <v>6.0517512686542041E-3</v>
      </c>
      <c r="W11" s="228">
        <f t="shared" si="9"/>
        <v>1.9268772347069696E-3</v>
      </c>
      <c r="X11" s="250"/>
      <c r="Y11" s="253">
        <v>1700</v>
      </c>
      <c r="Z11" s="215">
        <f t="shared" si="1"/>
        <v>603.4899999999999</v>
      </c>
      <c r="AA11" s="218">
        <f t="shared" si="2"/>
        <v>123.08185253833838</v>
      </c>
      <c r="AB11" s="218">
        <f t="shared" si="3"/>
        <v>13.25</v>
      </c>
      <c r="AC11" s="218">
        <f t="shared" si="4"/>
        <v>61.08</v>
      </c>
      <c r="AD11" s="217">
        <f t="shared" si="5"/>
        <v>406.07814746166162</v>
      </c>
      <c r="AE11" s="218"/>
      <c r="AF11" s="253">
        <v>1700</v>
      </c>
      <c r="AG11" s="215">
        <f t="shared" si="6"/>
        <v>603.4899999999999</v>
      </c>
      <c r="AH11" s="214">
        <v>81.459999999999994</v>
      </c>
      <c r="AI11" s="205">
        <v>18.8</v>
      </c>
      <c r="AJ11" s="213">
        <v>22.821852538338394</v>
      </c>
      <c r="AK11" s="205">
        <v>1.2</v>
      </c>
      <c r="AL11" s="205">
        <v>12.05</v>
      </c>
      <c r="AM11" s="214">
        <v>9.3000000000000007</v>
      </c>
      <c r="AN11" s="213">
        <v>51.78</v>
      </c>
      <c r="AO11" s="205">
        <v>138</v>
      </c>
      <c r="AP11" s="205">
        <v>165</v>
      </c>
      <c r="AQ11" s="205">
        <v>27</v>
      </c>
      <c r="AR11" s="205">
        <v>0.55000000000000004</v>
      </c>
      <c r="AS11" s="205">
        <v>20.8</v>
      </c>
      <c r="AT11" s="205">
        <v>3.7281474616616062</v>
      </c>
      <c r="AU11" s="213">
        <v>51</v>
      </c>
      <c r="AV11" s="205"/>
    </row>
    <row r="12" spans="1:48" ht="15" customHeight="1" x14ac:dyDescent="0.25">
      <c r="A12" s="253" t="s">
        <v>371</v>
      </c>
      <c r="B12" s="230">
        <f>(Z13/Z12)^(1/93)-1</f>
        <v>5.8556427303122494E-3</v>
      </c>
      <c r="C12" s="234">
        <f>(AA13/AA12)^(1/93)-1</f>
        <v>8.4760616678696277E-3</v>
      </c>
      <c r="D12" s="233">
        <f>(AB13/AB12)^(1/93)-1</f>
        <v>1.8990001709900062E-2</v>
      </c>
      <c r="E12" s="233">
        <f>(AC13/AC12)^(1/93)-1</f>
        <v>5.592327253794549E-3</v>
      </c>
      <c r="F12" s="232">
        <f>(AD13/AD12)^(1/93)-1</f>
        <v>3.6378367307170478E-3</v>
      </c>
      <c r="G12" s="224"/>
      <c r="H12" s="253" t="s">
        <v>371</v>
      </c>
      <c r="I12" s="230">
        <f t="shared" ref="I12:W12" si="10">(AG13/AG12)^(1/93)-1</f>
        <v>5.8556427303122494E-3</v>
      </c>
      <c r="J12" s="229">
        <f t="shared" si="10"/>
        <v>7.2721748160966548E-3</v>
      </c>
      <c r="K12" s="224">
        <f t="shared" si="10"/>
        <v>8.4223759526347308E-3</v>
      </c>
      <c r="L12" s="228">
        <f t="shared" si="10"/>
        <v>1.13329270157152E-2</v>
      </c>
      <c r="M12" s="229">
        <f t="shared" si="10"/>
        <v>2.4809090548192581E-2</v>
      </c>
      <c r="N12" s="228">
        <f t="shared" si="10"/>
        <v>1.4295396760774182E-2</v>
      </c>
      <c r="O12" s="229">
        <f t="shared" si="10"/>
        <v>8.7163665622358444E-3</v>
      </c>
      <c r="P12" s="228">
        <f t="shared" si="10"/>
        <v>4.9456191554815288E-3</v>
      </c>
      <c r="Q12" s="229">
        <f t="shared" si="10"/>
        <v>1.479094231866096E-3</v>
      </c>
      <c r="R12" s="224">
        <f t="shared" si="10"/>
        <v>4.0264290667904046E-3</v>
      </c>
      <c r="S12" s="224">
        <f t="shared" si="10"/>
        <v>5.5089774554795135E-3</v>
      </c>
      <c r="T12" s="224">
        <f t="shared" si="10"/>
        <v>2.8538617039819414E-2</v>
      </c>
      <c r="U12" s="224">
        <f t="shared" si="10"/>
        <v>4.7174816809361086E-3</v>
      </c>
      <c r="V12" s="224">
        <f t="shared" si="10"/>
        <v>1.13329270157152E-2</v>
      </c>
      <c r="W12" s="228">
        <f t="shared" si="10"/>
        <v>8.9998458458142583E-3</v>
      </c>
      <c r="X12" s="250"/>
      <c r="Y12" s="253">
        <v>1820</v>
      </c>
      <c r="Z12" s="215">
        <f t="shared" si="1"/>
        <v>1041.7079704657854</v>
      </c>
      <c r="AA12" s="218">
        <f t="shared" si="2"/>
        <v>216.55990599857256</v>
      </c>
      <c r="AB12" s="218">
        <f t="shared" si="3"/>
        <v>32.387957200000002</v>
      </c>
      <c r="AC12" s="218">
        <f t="shared" si="4"/>
        <v>74.236000000000004</v>
      </c>
      <c r="AD12" s="217">
        <f t="shared" si="5"/>
        <v>718.52410726721268</v>
      </c>
      <c r="AE12" s="218"/>
      <c r="AF12" s="253">
        <v>1820</v>
      </c>
      <c r="AG12" s="215">
        <f t="shared" si="6"/>
        <v>1041.7079704657854</v>
      </c>
      <c r="AH12" s="214">
        <v>133.02799999999999</v>
      </c>
      <c r="AI12" s="205">
        <v>36.457000000000001</v>
      </c>
      <c r="AJ12" s="213">
        <v>47.074905998572589</v>
      </c>
      <c r="AK12" s="205">
        <v>10.796510200000002</v>
      </c>
      <c r="AL12" s="205">
        <v>21.591446999999999</v>
      </c>
      <c r="AM12" s="214">
        <v>10.984999999999999</v>
      </c>
      <c r="AN12" s="213">
        <v>63.251000000000005</v>
      </c>
      <c r="AO12" s="205">
        <v>381</v>
      </c>
      <c r="AP12" s="205">
        <v>209.00001326578524</v>
      </c>
      <c r="AQ12" s="205">
        <v>31</v>
      </c>
      <c r="AR12" s="205">
        <v>0.434</v>
      </c>
      <c r="AS12" s="205">
        <v>25.146999999999998</v>
      </c>
      <c r="AT12" s="205">
        <v>7.690094001427414</v>
      </c>
      <c r="AU12" s="213">
        <v>64.2530000000001</v>
      </c>
      <c r="AV12" s="205"/>
    </row>
    <row r="13" spans="1:48" ht="15" customHeight="1" x14ac:dyDescent="0.25">
      <c r="A13" s="231" t="s">
        <v>370</v>
      </c>
      <c r="B13" s="230">
        <f>(Z14/Z13)^(1/37)-1</f>
        <v>9.3287689088881187E-3</v>
      </c>
      <c r="C13" s="234">
        <f>(AA14/AA13)^(1/37)-1</f>
        <v>3.8659732221586474E-3</v>
      </c>
      <c r="D13" s="233">
        <f>(AB14/AB13)^(1/37)-1</f>
        <v>1.5720793013103584E-2</v>
      </c>
      <c r="E13" s="233">
        <f>(AC14/AC13)^(1/37)-1</f>
        <v>1.6436082161531695E-2</v>
      </c>
      <c r="F13" s="232">
        <f>(AD14/AD13)^(1/37)-1</f>
        <v>9.3393189245452035E-3</v>
      </c>
      <c r="G13" s="224"/>
      <c r="H13" s="231" t="s">
        <v>370</v>
      </c>
      <c r="I13" s="230">
        <f t="shared" ref="I13:W13" si="11">(AG14/AG13)^(1/37)-1</f>
        <v>9.3287689088881187E-3</v>
      </c>
      <c r="J13" s="229">
        <f t="shared" si="11"/>
        <v>4.2779833614694507E-3</v>
      </c>
      <c r="K13" s="224">
        <f t="shared" si="11"/>
        <v>2.6268543842269398E-3</v>
      </c>
      <c r="L13" s="228">
        <f t="shared" si="11"/>
        <v>3.7769457091216818E-3</v>
      </c>
      <c r="M13" s="229">
        <f t="shared" si="11"/>
        <v>1.2383478100580936E-2</v>
      </c>
      <c r="N13" s="228">
        <f t="shared" si="11"/>
        <v>1.9554677176615964E-2</v>
      </c>
      <c r="O13" s="229">
        <f t="shared" si="11"/>
        <v>1.5759493882273823E-2</v>
      </c>
      <c r="P13" s="228">
        <f t="shared" si="11"/>
        <v>1.6600090511910581E-2</v>
      </c>
      <c r="Q13" s="229">
        <f t="shared" si="11"/>
        <v>6.0685292817153069E-3</v>
      </c>
      <c r="R13" s="224">
        <f t="shared" si="11"/>
        <v>4.5313713327597149E-3</v>
      </c>
      <c r="S13" s="224">
        <f t="shared" si="11"/>
        <v>1.3155419481682529E-2</v>
      </c>
      <c r="T13" s="224">
        <f t="shared" si="11"/>
        <v>1.4640824831240185E-2</v>
      </c>
      <c r="U13" s="224">
        <f t="shared" si="11"/>
        <v>1.1666487666426084E-2</v>
      </c>
      <c r="V13" s="224">
        <f t="shared" si="11"/>
        <v>3.7769457091216818E-3</v>
      </c>
      <c r="W13" s="228">
        <f t="shared" si="11"/>
        <v>2.2420505822909886E-2</v>
      </c>
      <c r="X13" s="250"/>
      <c r="Y13" s="231">
        <v>1913</v>
      </c>
      <c r="Z13" s="215">
        <f t="shared" si="1"/>
        <v>1792.9247028219831</v>
      </c>
      <c r="AA13" s="218">
        <f t="shared" si="2"/>
        <v>474.76454017582489</v>
      </c>
      <c r="AB13" s="218">
        <f t="shared" si="3"/>
        <v>186.28863999999999</v>
      </c>
      <c r="AC13" s="218">
        <f t="shared" si="4"/>
        <v>124.697</v>
      </c>
      <c r="AD13" s="217">
        <f t="shared" si="5"/>
        <v>1007.1745226461584</v>
      </c>
      <c r="AE13" s="218"/>
      <c r="AF13" s="231">
        <v>1913</v>
      </c>
      <c r="AG13" s="215">
        <f t="shared" si="6"/>
        <v>1792.9247028219831</v>
      </c>
      <c r="AH13" s="214">
        <v>260.97500000000002</v>
      </c>
      <c r="AI13" s="205">
        <v>79.53</v>
      </c>
      <c r="AJ13" s="213">
        <v>134.2595401758249</v>
      </c>
      <c r="AK13" s="205">
        <v>105.458</v>
      </c>
      <c r="AL13" s="205">
        <v>80.830640000000002</v>
      </c>
      <c r="AM13" s="214">
        <v>24.622</v>
      </c>
      <c r="AN13" s="213">
        <v>100.075</v>
      </c>
      <c r="AO13" s="205">
        <v>437.14</v>
      </c>
      <c r="AP13" s="205">
        <v>303.7</v>
      </c>
      <c r="AQ13" s="205">
        <v>51.671999999999997</v>
      </c>
      <c r="AR13" s="205">
        <v>5.9429999999999996</v>
      </c>
      <c r="AS13" s="205">
        <v>38.956000000000003</v>
      </c>
      <c r="AT13" s="205">
        <v>21.932459824175123</v>
      </c>
      <c r="AU13" s="213">
        <v>147.83106282198332</v>
      </c>
      <c r="AV13" s="205"/>
    </row>
    <row r="14" spans="1:48" ht="15" customHeight="1" x14ac:dyDescent="0.25">
      <c r="A14" s="231" t="s">
        <v>369</v>
      </c>
      <c r="B14" s="230">
        <f t="shared" ref="B14:F15" si="12">(Z15/Z14)^(1/20)-1</f>
        <v>1.9106612256393873E-2</v>
      </c>
      <c r="C14" s="234">
        <f t="shared" si="12"/>
        <v>9.2429616452147645E-3</v>
      </c>
      <c r="D14" s="233">
        <f t="shared" si="12"/>
        <v>2.1941248804815849E-2</v>
      </c>
      <c r="E14" s="233">
        <f t="shared" si="12"/>
        <v>2.3945968351480884E-2</v>
      </c>
      <c r="F14" s="232">
        <f t="shared" si="12"/>
        <v>2.1050778379568369E-2</v>
      </c>
      <c r="G14" s="224"/>
      <c r="H14" s="231" t="s">
        <v>369</v>
      </c>
      <c r="I14" s="230">
        <f t="shared" ref="I14:W15" si="13">(AG15/AG14)^(1/20)-1</f>
        <v>1.9106612256393873E-2</v>
      </c>
      <c r="J14" s="229">
        <f t="shared" si="13"/>
        <v>7.283692401641062E-3</v>
      </c>
      <c r="K14" s="224">
        <f t="shared" si="13"/>
        <v>1.0464116969303605E-2</v>
      </c>
      <c r="L14" s="228">
        <f t="shared" si="13"/>
        <v>1.226290294202359E-2</v>
      </c>
      <c r="M14" s="229">
        <f t="shared" si="13"/>
        <v>1.5640534998901501E-2</v>
      </c>
      <c r="N14" s="228">
        <f t="shared" si="13"/>
        <v>2.7606281286035372E-2</v>
      </c>
      <c r="O14" s="229">
        <f t="shared" si="13"/>
        <v>2.3962676123450155E-2</v>
      </c>
      <c r="P14" s="228">
        <f t="shared" si="13"/>
        <v>2.394198079117249E-2</v>
      </c>
      <c r="Q14" s="229">
        <f t="shared" si="13"/>
        <v>2.0361361527075017E-2</v>
      </c>
      <c r="R14" s="224">
        <f t="shared" si="13"/>
        <v>2.0716513110644819E-2</v>
      </c>
      <c r="S14" s="224">
        <f t="shared" si="13"/>
        <v>1.1020775535734773E-2</v>
      </c>
      <c r="T14" s="224">
        <f t="shared" si="13"/>
        <v>2.1226227055186175E-2</v>
      </c>
      <c r="U14" s="224">
        <f t="shared" si="13"/>
        <v>2.777133814992383E-2</v>
      </c>
      <c r="V14" s="224">
        <f t="shared" si="13"/>
        <v>2.9967943747588155E-2</v>
      </c>
      <c r="W14" s="228">
        <f t="shared" si="13"/>
        <v>2.2768699947388837E-2</v>
      </c>
      <c r="X14" s="250"/>
      <c r="Y14" s="231">
        <v>1950</v>
      </c>
      <c r="Z14" s="215">
        <f t="shared" si="1"/>
        <v>2527.9598949347428</v>
      </c>
      <c r="AA14" s="218">
        <f t="shared" si="2"/>
        <v>547.62141500000007</v>
      </c>
      <c r="AB14" s="218">
        <f t="shared" si="3"/>
        <v>331.76996399999996</v>
      </c>
      <c r="AC14" s="218">
        <f t="shared" si="4"/>
        <v>227.93904599999999</v>
      </c>
      <c r="AD14" s="217">
        <f t="shared" si="5"/>
        <v>1420.6294699347422</v>
      </c>
      <c r="AE14" s="218"/>
      <c r="AF14" s="231">
        <v>1950</v>
      </c>
      <c r="AG14" s="215">
        <f t="shared" si="6"/>
        <v>2527.9598949347428</v>
      </c>
      <c r="AH14" s="214">
        <v>305.62913600000002</v>
      </c>
      <c r="AI14" s="205">
        <v>87.636755000000008</v>
      </c>
      <c r="AJ14" s="213">
        <v>154.355524</v>
      </c>
      <c r="AK14" s="205">
        <v>166.282422</v>
      </c>
      <c r="AL14" s="205">
        <v>165.48754199999999</v>
      </c>
      <c r="AM14" s="214">
        <v>43.912307999999996</v>
      </c>
      <c r="AN14" s="213">
        <v>184.02673799999999</v>
      </c>
      <c r="AO14" s="205">
        <v>546.81500000000005</v>
      </c>
      <c r="AP14" s="205">
        <v>359</v>
      </c>
      <c r="AQ14" s="205">
        <v>83.805000000000007</v>
      </c>
      <c r="AR14" s="205">
        <v>10.175647</v>
      </c>
      <c r="AS14" s="205">
        <v>59.835209999999989</v>
      </c>
      <c r="AT14" s="205">
        <v>25.215312999999998</v>
      </c>
      <c r="AU14" s="213">
        <v>335.78329993474222</v>
      </c>
      <c r="AV14" s="205"/>
    </row>
    <row r="15" spans="1:48" ht="15" customHeight="1" x14ac:dyDescent="0.25">
      <c r="A15" s="231" t="s">
        <v>368</v>
      </c>
      <c r="B15" s="230">
        <f t="shared" si="12"/>
        <v>1.8314607648478587E-2</v>
      </c>
      <c r="C15" s="234">
        <f t="shared" si="12"/>
        <v>4.5275735786658444E-3</v>
      </c>
      <c r="D15" s="233">
        <f t="shared" si="12"/>
        <v>1.7477796867719997E-2</v>
      </c>
      <c r="E15" s="233">
        <f t="shared" si="12"/>
        <v>2.7970189761330255E-2</v>
      </c>
      <c r="F15" s="232">
        <f t="shared" si="12"/>
        <v>2.0386843984014913E-2</v>
      </c>
      <c r="G15" s="224"/>
      <c r="H15" s="231" t="s">
        <v>368</v>
      </c>
      <c r="I15" s="230">
        <f t="shared" si="13"/>
        <v>1.8314607648478587E-2</v>
      </c>
      <c r="J15" s="229">
        <f t="shared" si="13"/>
        <v>3.0947870159703239E-3</v>
      </c>
      <c r="K15" s="224">
        <f t="shared" si="13"/>
        <v>9.3840962649229809E-3</v>
      </c>
      <c r="L15" s="228">
        <f t="shared" si="13"/>
        <v>4.2761664147794587E-3</v>
      </c>
      <c r="M15" s="229">
        <f t="shared" si="13"/>
        <v>1.0800518142827453E-2</v>
      </c>
      <c r="N15" s="228">
        <f t="shared" si="13"/>
        <v>2.2249066490573011E-2</v>
      </c>
      <c r="O15" s="229">
        <f t="shared" si="13"/>
        <v>2.6810180007814433E-2</v>
      </c>
      <c r="P15" s="228">
        <f t="shared" si="13"/>
        <v>2.8243462435521005E-2</v>
      </c>
      <c r="Q15" s="229">
        <f t="shared" si="13"/>
        <v>1.6946136924076205E-2</v>
      </c>
      <c r="R15" s="224">
        <f t="shared" si="13"/>
        <v>2.4260387795589367E-2</v>
      </c>
      <c r="S15" s="224">
        <f t="shared" si="13"/>
        <v>7.9502041373116228E-3</v>
      </c>
      <c r="T15" s="224">
        <f t="shared" si="13"/>
        <v>1.4101486387804618E-2</v>
      </c>
      <c r="U15" s="224">
        <f t="shared" si="13"/>
        <v>3.0087955221754781E-2</v>
      </c>
      <c r="V15" s="224">
        <f t="shared" si="13"/>
        <v>1.9238172522231256E-2</v>
      </c>
      <c r="W15" s="228">
        <f t="shared" si="13"/>
        <v>2.1802731709067213E-2</v>
      </c>
      <c r="X15" s="250"/>
      <c r="Y15" s="231">
        <v>1970</v>
      </c>
      <c r="Z15" s="215">
        <f t="shared" si="1"/>
        <v>3691.1574281273156</v>
      </c>
      <c r="AA15" s="218">
        <f t="shared" si="2"/>
        <v>658.25627899999995</v>
      </c>
      <c r="AB15" s="218">
        <f t="shared" si="3"/>
        <v>512.10102600000005</v>
      </c>
      <c r="AC15" s="218">
        <f t="shared" si="4"/>
        <v>365.89757700000013</v>
      </c>
      <c r="AD15" s="217">
        <f t="shared" si="5"/>
        <v>2154.902546127315</v>
      </c>
      <c r="AE15" s="218"/>
      <c r="AF15" s="231">
        <v>1970</v>
      </c>
      <c r="AG15" s="215">
        <f t="shared" si="6"/>
        <v>3691.1574281273156</v>
      </c>
      <c r="AH15" s="214">
        <v>353.37092399999995</v>
      </c>
      <c r="AI15" s="205">
        <v>107.920563</v>
      </c>
      <c r="AJ15" s="213">
        <v>196.96479199999999</v>
      </c>
      <c r="AK15" s="205">
        <v>226.801986</v>
      </c>
      <c r="AL15" s="205">
        <v>285.29903999999999</v>
      </c>
      <c r="AM15" s="214">
        <v>70.512935999999982</v>
      </c>
      <c r="AN15" s="213">
        <v>295.38464100000016</v>
      </c>
      <c r="AO15" s="205">
        <v>818.31500000000005</v>
      </c>
      <c r="AP15" s="205">
        <v>541</v>
      </c>
      <c r="AQ15" s="205">
        <v>104.344973</v>
      </c>
      <c r="AR15" s="205">
        <v>15.488209999999999</v>
      </c>
      <c r="AS15" s="205">
        <v>103.48725400000002</v>
      </c>
      <c r="AT15" s="205">
        <v>45.513320999999998</v>
      </c>
      <c r="AU15" s="213">
        <v>526.75378812731503</v>
      </c>
      <c r="AV15" s="205"/>
    </row>
    <row r="16" spans="1:48" ht="15" customHeight="1" thickBot="1" x14ac:dyDescent="0.3">
      <c r="A16" s="231" t="s">
        <v>367</v>
      </c>
      <c r="B16" s="230">
        <f>(Z17/Z16)^(1/22)-1</f>
        <v>1.3011746987008133E-2</v>
      </c>
      <c r="C16" s="234">
        <f>(AA17/AA16)^(1/22)-1</f>
        <v>1.2255602855566483E-3</v>
      </c>
      <c r="D16" s="233">
        <f>(AB17/AB16)^(1/22)-1</f>
        <v>1.2595159306247217E-2</v>
      </c>
      <c r="E16" s="233">
        <f>(AC17/AC16)^(1/22)-1</f>
        <v>2.3984332738797853E-2</v>
      </c>
      <c r="F16" s="232">
        <f>(AD17/AD16)^(1/22)-1</f>
        <v>1.301398960187905E-2</v>
      </c>
      <c r="G16" s="224"/>
      <c r="H16" s="231" t="s">
        <v>367</v>
      </c>
      <c r="I16" s="230">
        <f t="shared" ref="I16:W16" si="14">(AG17/AG16)^(1/22)-1</f>
        <v>1.3011746987008133E-2</v>
      </c>
      <c r="J16" s="229">
        <f t="shared" si="14"/>
        <v>4.351295806997113E-3</v>
      </c>
      <c r="K16" s="224">
        <f t="shared" si="14"/>
        <v>-1.4822768027692446E-3</v>
      </c>
      <c r="L16" s="228">
        <f t="shared" si="14"/>
        <v>-3.0228534768019788E-3</v>
      </c>
      <c r="M16" s="229">
        <f t="shared" si="14"/>
        <v>1.008234618876247E-2</v>
      </c>
      <c r="N16" s="228">
        <f t="shared" si="14"/>
        <v>1.4124496583246327E-2</v>
      </c>
      <c r="O16" s="229">
        <f t="shared" si="14"/>
        <v>1.6288530799403844E-2</v>
      </c>
      <c r="P16" s="228">
        <f t="shared" si="14"/>
        <v>2.5609365985991728E-2</v>
      </c>
      <c r="Q16" s="229">
        <f t="shared" si="14"/>
        <v>7.628636780791398E-3</v>
      </c>
      <c r="R16" s="224">
        <f t="shared" si="14"/>
        <v>1.671647913995189E-2</v>
      </c>
      <c r="S16" s="224">
        <f t="shared" si="14"/>
        <v>1.5306149353349063E-3</v>
      </c>
      <c r="T16" s="224">
        <f t="shared" si="14"/>
        <v>1.3253975221077408E-2</v>
      </c>
      <c r="U16" s="224">
        <f t="shared" si="14"/>
        <v>2.1700896197499375E-2</v>
      </c>
      <c r="V16" s="224">
        <f t="shared" si="14"/>
        <v>7.7666026424356716E-3</v>
      </c>
      <c r="W16" s="228">
        <f t="shared" si="14"/>
        <v>1.5730588346282603E-2</v>
      </c>
      <c r="X16" s="250"/>
      <c r="Y16" s="231">
        <v>1990</v>
      </c>
      <c r="Z16" s="215">
        <f t="shared" si="1"/>
        <v>5306.4251540000005</v>
      </c>
      <c r="AA16" s="218">
        <f t="shared" si="2"/>
        <v>720.49713300000008</v>
      </c>
      <c r="AB16" s="218">
        <f t="shared" si="3"/>
        <v>724.19323699999995</v>
      </c>
      <c r="AC16" s="218">
        <f t="shared" si="4"/>
        <v>635.286969</v>
      </c>
      <c r="AD16" s="217">
        <f t="shared" si="5"/>
        <v>3226.447815</v>
      </c>
      <c r="AE16" s="218"/>
      <c r="AF16" s="231">
        <v>1990</v>
      </c>
      <c r="AG16" s="215">
        <f t="shared" si="6"/>
        <v>5306.4251540000005</v>
      </c>
      <c r="AH16" s="214">
        <v>375.89822999999996</v>
      </c>
      <c r="AI16" s="205">
        <v>130.08683800000009</v>
      </c>
      <c r="AJ16" s="213">
        <v>214.51206499999998</v>
      </c>
      <c r="AK16" s="205">
        <v>281.16157699999997</v>
      </c>
      <c r="AL16" s="205">
        <v>443.03165999999999</v>
      </c>
      <c r="AM16" s="214">
        <v>119.693926</v>
      </c>
      <c r="AN16" s="213">
        <v>515.59304299999997</v>
      </c>
      <c r="AO16" s="205">
        <v>1145.1952290000002</v>
      </c>
      <c r="AP16" s="205">
        <v>873.78544899999997</v>
      </c>
      <c r="AQ16" s="205">
        <v>122.25118399999999</v>
      </c>
      <c r="AR16" s="205">
        <v>20.494135999999997</v>
      </c>
      <c r="AS16" s="205">
        <v>187.22896799999998</v>
      </c>
      <c r="AT16" s="205">
        <v>66.627288000000007</v>
      </c>
      <c r="AU16" s="213">
        <v>810.86556100000007</v>
      </c>
      <c r="AV16" s="205"/>
    </row>
    <row r="17" spans="1:59" ht="15" customHeight="1" thickTop="1" thickBot="1" x14ac:dyDescent="0.3">
      <c r="A17" s="246" t="s">
        <v>366</v>
      </c>
      <c r="B17" s="245">
        <f>(Z18/Z17)^(1/18)-1</f>
        <v>9.2367091045337801E-3</v>
      </c>
      <c r="C17" s="249">
        <f>(AA18/AA17)^(1/18)-1</f>
        <v>7.9313275358927626E-5</v>
      </c>
      <c r="D17" s="248">
        <f>(AB18/AB17)^(1/18)-1</f>
        <v>8.1220334853413512E-3</v>
      </c>
      <c r="E17" s="248">
        <f>(AC18/AC17)^(1/18)-1</f>
        <v>2.1236156760290115E-2</v>
      </c>
      <c r="F17" s="247">
        <f>(AD18/AD17)^(1/18)-1</f>
        <v>7.607457301284537E-3</v>
      </c>
      <c r="G17" s="224"/>
      <c r="H17" s="246" t="s">
        <v>366</v>
      </c>
      <c r="I17" s="245">
        <f t="shared" ref="I17:W17" si="15">(AG18/AG17)^(1/18)-1</f>
        <v>9.2367091045337801E-3</v>
      </c>
      <c r="J17" s="244">
        <f t="shared" si="15"/>
        <v>2.1775763880729215E-3</v>
      </c>
      <c r="K17" s="243">
        <f t="shared" si="15"/>
        <v>-1.6741777357334175E-3</v>
      </c>
      <c r="L17" s="242">
        <f t="shared" si="15"/>
        <v>-3.3361916327858676E-3</v>
      </c>
      <c r="M17" s="244">
        <f t="shared" si="15"/>
        <v>7.5823403538464174E-3</v>
      </c>
      <c r="N17" s="242">
        <f t="shared" si="15"/>
        <v>8.4334870664257711E-3</v>
      </c>
      <c r="O17" s="244">
        <f t="shared" si="15"/>
        <v>1.1086522134950094E-2</v>
      </c>
      <c r="P17" s="242">
        <f t="shared" si="15"/>
        <v>2.2983466414502329E-2</v>
      </c>
      <c r="Q17" s="244">
        <f t="shared" si="15"/>
        <v>1.5982805145455803E-3</v>
      </c>
      <c r="R17" s="243">
        <f t="shared" si="15"/>
        <v>1.0678648175593386E-2</v>
      </c>
      <c r="S17" s="243">
        <f t="shared" si="15"/>
        <v>-2.7973350265767527E-3</v>
      </c>
      <c r="T17" s="243">
        <f t="shared" si="15"/>
        <v>1.0395707462975023E-2</v>
      </c>
      <c r="U17" s="243">
        <f t="shared" si="15"/>
        <v>1.4222185925605313E-2</v>
      </c>
      <c r="V17" s="243">
        <f t="shared" si="15"/>
        <v>8.3638481271843812E-3</v>
      </c>
      <c r="W17" s="242">
        <f t="shared" si="15"/>
        <v>9.9531691951790791E-3</v>
      </c>
      <c r="X17" s="250"/>
      <c r="Y17" s="223">
        <v>2012</v>
      </c>
      <c r="Z17" s="215">
        <f t="shared" si="1"/>
        <v>7052.1353050000007</v>
      </c>
      <c r="AA17" s="218">
        <f t="shared" si="2"/>
        <v>740.17545099999995</v>
      </c>
      <c r="AB17" s="218">
        <f t="shared" si="3"/>
        <v>953.76876800000014</v>
      </c>
      <c r="AC17" s="218">
        <f t="shared" si="4"/>
        <v>1070.096166</v>
      </c>
      <c r="AD17" s="217">
        <f t="shared" si="5"/>
        <v>4288.0949200000005</v>
      </c>
      <c r="AE17" s="218"/>
      <c r="AF17" s="223">
        <v>2012</v>
      </c>
      <c r="AG17" s="215">
        <f t="shared" si="6"/>
        <v>7052.1353050000007</v>
      </c>
      <c r="AH17" s="214">
        <v>413.57516700000008</v>
      </c>
      <c r="AI17" s="205">
        <v>125.91007099999993</v>
      </c>
      <c r="AJ17" s="213">
        <v>200.690213</v>
      </c>
      <c r="AK17" s="205">
        <v>350.594539</v>
      </c>
      <c r="AL17" s="205">
        <v>603.17422900000008</v>
      </c>
      <c r="AM17" s="214">
        <v>170.78379100000001</v>
      </c>
      <c r="AN17" s="213">
        <v>899.31237499999997</v>
      </c>
      <c r="AO17" s="205">
        <v>1353.6006869999999</v>
      </c>
      <c r="AP17" s="205">
        <v>1258.3509709999998</v>
      </c>
      <c r="AQ17" s="205">
        <v>126.43465300000001</v>
      </c>
      <c r="AR17" s="205">
        <v>27.379944999999999</v>
      </c>
      <c r="AS17" s="205">
        <v>300.25903099999994</v>
      </c>
      <c r="AT17" s="205">
        <v>78.989851000000016</v>
      </c>
      <c r="AU17" s="213">
        <v>1143.0797820000007</v>
      </c>
      <c r="AV17" s="205"/>
    </row>
    <row r="18" spans="1:59" ht="15" customHeight="1" thickTop="1" x14ac:dyDescent="0.25">
      <c r="A18" s="231" t="s">
        <v>365</v>
      </c>
      <c r="B18" s="230">
        <f t="shared" ref="B18:F20" si="16">(Z19/Z18)^(1/20)-1</f>
        <v>5.6079181716328641E-3</v>
      </c>
      <c r="C18" s="234">
        <f t="shared" si="16"/>
        <v>-1.5036630882596658E-3</v>
      </c>
      <c r="D18" s="233">
        <f t="shared" si="16"/>
        <v>4.1199565522509474E-3</v>
      </c>
      <c r="E18" s="233">
        <f t="shared" si="16"/>
        <v>1.7075865749658359E-2</v>
      </c>
      <c r="F18" s="232">
        <f t="shared" si="16"/>
        <v>2.7994229457315445E-3</v>
      </c>
      <c r="G18" s="224"/>
      <c r="H18" s="231" t="s">
        <v>365</v>
      </c>
      <c r="I18" s="230">
        <f t="shared" ref="I18:W20" si="17">(AG19/AG18)^(1/20)-1</f>
        <v>5.6079181716328641E-3</v>
      </c>
      <c r="J18" s="229">
        <f t="shared" si="17"/>
        <v>3.704278999310251E-4</v>
      </c>
      <c r="K18" s="224">
        <f t="shared" si="17"/>
        <v>-3.8732109395004377E-3</v>
      </c>
      <c r="L18" s="228">
        <f t="shared" si="17"/>
        <v>-4.4279705147295401E-3</v>
      </c>
      <c r="M18" s="229">
        <f t="shared" si="17"/>
        <v>5.3469048346288517E-3</v>
      </c>
      <c r="N18" s="228">
        <f t="shared" si="17"/>
        <v>3.4045154149253687E-3</v>
      </c>
      <c r="O18" s="229">
        <f t="shared" si="17"/>
        <v>5.2994109783326415E-3</v>
      </c>
      <c r="P18" s="228">
        <f t="shared" si="17"/>
        <v>1.8677357574492293E-2</v>
      </c>
      <c r="Q18" s="229">
        <f t="shared" si="17"/>
        <v>-3.620305228932974E-3</v>
      </c>
      <c r="R18" s="224">
        <f t="shared" si="17"/>
        <v>5.2596359178722629E-3</v>
      </c>
      <c r="S18" s="224">
        <f t="shared" si="17"/>
        <v>-5.0922056107598479E-3</v>
      </c>
      <c r="T18" s="224">
        <f t="shared" si="17"/>
        <v>5.8498436356597683E-3</v>
      </c>
      <c r="U18" s="224">
        <f t="shared" si="17"/>
        <v>8.9860421117602396E-3</v>
      </c>
      <c r="V18" s="224">
        <f t="shared" si="17"/>
        <v>4.0511603347777037E-3</v>
      </c>
      <c r="W18" s="228">
        <f t="shared" si="17"/>
        <v>4.741910650380099E-3</v>
      </c>
      <c r="X18" s="250"/>
      <c r="Y18" s="239" t="s">
        <v>364</v>
      </c>
      <c r="Z18" s="238">
        <f t="shared" si="1"/>
        <v>8321.37961</v>
      </c>
      <c r="AA18" s="241">
        <f t="shared" si="2"/>
        <v>741.23286699999994</v>
      </c>
      <c r="AB18" s="241">
        <f t="shared" si="3"/>
        <v>1103.2629119999999</v>
      </c>
      <c r="AC18" s="241">
        <f t="shared" si="4"/>
        <v>1562.0469890000002</v>
      </c>
      <c r="AD18" s="240">
        <f t="shared" si="5"/>
        <v>4914.8368419999988</v>
      </c>
      <c r="AE18" s="218"/>
      <c r="AF18" s="239" t="s">
        <v>364</v>
      </c>
      <c r="AG18" s="238">
        <f t="shared" si="6"/>
        <v>8321.37961</v>
      </c>
      <c r="AH18" s="237">
        <v>430.08937700000001</v>
      </c>
      <c r="AI18" s="236">
        <v>122.16926199999992</v>
      </c>
      <c r="AJ18" s="235">
        <v>188.97422800000001</v>
      </c>
      <c r="AK18" s="236">
        <v>401.65668099999999</v>
      </c>
      <c r="AL18" s="236">
        <v>701.60623099999998</v>
      </c>
      <c r="AM18" s="237">
        <v>208.27465899999999</v>
      </c>
      <c r="AN18" s="235">
        <v>1353.7723300000002</v>
      </c>
      <c r="AO18" s="236">
        <v>1393.0760680000001</v>
      </c>
      <c r="AP18" s="236">
        <v>1523.4823349999999</v>
      </c>
      <c r="AQ18" s="236">
        <v>120.21754900000001</v>
      </c>
      <c r="AR18" s="236">
        <v>32.982185999999999</v>
      </c>
      <c r="AS18" s="236">
        <v>387.16134899999992</v>
      </c>
      <c r="AT18" s="236">
        <v>91.766062999999988</v>
      </c>
      <c r="AU18" s="235">
        <v>1366.1512919999986</v>
      </c>
      <c r="AV18" s="205"/>
    </row>
    <row r="19" spans="1:59" ht="15" customHeight="1" x14ac:dyDescent="0.25">
      <c r="A19" s="231" t="s">
        <v>363</v>
      </c>
      <c r="B19" s="230">
        <f t="shared" si="16"/>
        <v>2.7273155397222748E-3</v>
      </c>
      <c r="C19" s="234">
        <f t="shared" si="16"/>
        <v>-2.3100986788094913E-3</v>
      </c>
      <c r="D19" s="233">
        <f t="shared" si="16"/>
        <v>1.3214431717565311E-3</v>
      </c>
      <c r="E19" s="233">
        <f t="shared" si="16"/>
        <v>1.2685150187024208E-2</v>
      </c>
      <c r="F19" s="232">
        <f t="shared" si="16"/>
        <v>-1.0392318796523803E-3</v>
      </c>
      <c r="G19" s="224"/>
      <c r="H19" s="231" t="s">
        <v>363</v>
      </c>
      <c r="I19" s="230">
        <f t="shared" si="17"/>
        <v>2.7273155397222748E-3</v>
      </c>
      <c r="J19" s="229">
        <f t="shared" si="17"/>
        <v>-8.7317343552739679E-4</v>
      </c>
      <c r="K19" s="224">
        <f t="shared" si="17"/>
        <v>-4.7207780826999945E-3</v>
      </c>
      <c r="L19" s="228">
        <f t="shared" si="17"/>
        <v>-4.4635247277646783E-3</v>
      </c>
      <c r="M19" s="229">
        <f t="shared" si="17"/>
        <v>4.0711711302434672E-3</v>
      </c>
      <c r="N19" s="228">
        <f t="shared" si="17"/>
        <v>-3.8556758568297766E-4</v>
      </c>
      <c r="O19" s="229">
        <f t="shared" si="17"/>
        <v>3.7485154461869286E-4</v>
      </c>
      <c r="P19" s="228">
        <f t="shared" si="17"/>
        <v>1.3967249857360864E-2</v>
      </c>
      <c r="Q19" s="229">
        <f t="shared" si="17"/>
        <v>-6.9950083339561653E-3</v>
      </c>
      <c r="R19" s="224">
        <f t="shared" si="17"/>
        <v>4.7634558531672866E-4</v>
      </c>
      <c r="S19" s="224">
        <f t="shared" si="17"/>
        <v>-5.0347275039329675E-3</v>
      </c>
      <c r="T19" s="224">
        <f t="shared" si="17"/>
        <v>3.3445316624569621E-3</v>
      </c>
      <c r="U19" s="224">
        <f t="shared" si="17"/>
        <v>4.3695953178659597E-3</v>
      </c>
      <c r="V19" s="224">
        <f t="shared" si="17"/>
        <v>5.1538797622674437E-4</v>
      </c>
      <c r="W19" s="228">
        <f t="shared" si="17"/>
        <v>3.7111208654683203E-4</v>
      </c>
      <c r="X19" s="250"/>
      <c r="Y19" s="216" t="s">
        <v>362</v>
      </c>
      <c r="Z19" s="215">
        <f t="shared" si="1"/>
        <v>9306.1279859999995</v>
      </c>
      <c r="AA19" s="218">
        <f t="shared" si="2"/>
        <v>719.25714899999991</v>
      </c>
      <c r="AB19" s="218">
        <f t="shared" si="3"/>
        <v>1197.8184309999999</v>
      </c>
      <c r="AC19" s="218">
        <f t="shared" si="4"/>
        <v>2191.5989049999998</v>
      </c>
      <c r="AD19" s="217">
        <f t="shared" si="5"/>
        <v>5197.453501</v>
      </c>
      <c r="AE19" s="218"/>
      <c r="AF19" s="216" t="s">
        <v>362</v>
      </c>
      <c r="AG19" s="215">
        <f t="shared" si="6"/>
        <v>9306.1279859999995</v>
      </c>
      <c r="AH19" s="214">
        <v>433.28695699999997</v>
      </c>
      <c r="AI19" s="205">
        <v>113.04577800000001</v>
      </c>
      <c r="AJ19" s="213">
        <v>172.92441399999998</v>
      </c>
      <c r="AK19" s="205">
        <v>446.86248799999998</v>
      </c>
      <c r="AL19" s="205">
        <v>750.95594299999993</v>
      </c>
      <c r="AM19" s="214">
        <v>231.49680100000003</v>
      </c>
      <c r="AN19" s="213">
        <v>1960.1021039999998</v>
      </c>
      <c r="AO19" s="205">
        <v>1295.6037630000001</v>
      </c>
      <c r="AP19" s="205">
        <v>1692.0076309999999</v>
      </c>
      <c r="AQ19" s="205">
        <v>108.548677</v>
      </c>
      <c r="AR19" s="205">
        <v>37.063164</v>
      </c>
      <c r="AS19" s="205">
        <v>463.01510899999994</v>
      </c>
      <c r="AT19" s="205">
        <v>99.494471000000004</v>
      </c>
      <c r="AU19" s="213">
        <v>1501.7206859999997</v>
      </c>
      <c r="AV19" s="205"/>
      <c r="BA19" s="252"/>
      <c r="BD19" s="251"/>
      <c r="BE19" s="251"/>
      <c r="BF19" s="251"/>
      <c r="BG19" s="251"/>
    </row>
    <row r="20" spans="1:59" ht="15" customHeight="1" thickBot="1" x14ac:dyDescent="0.3">
      <c r="A20" s="223" t="s">
        <v>361</v>
      </c>
      <c r="B20" s="222">
        <f t="shared" si="16"/>
        <v>1.4938724189139663E-3</v>
      </c>
      <c r="C20" s="227">
        <f t="shared" si="16"/>
        <v>-8.7728665206776579E-4</v>
      </c>
      <c r="D20" s="226">
        <f t="shared" si="16"/>
        <v>-6.5165466997696431E-4</v>
      </c>
      <c r="E20" s="226">
        <f t="shared" si="16"/>
        <v>1.1919792657392403E-2</v>
      </c>
      <c r="F20" s="225">
        <f t="shared" si="16"/>
        <v>-4.3863271517823321E-3</v>
      </c>
      <c r="G20" s="224"/>
      <c r="H20" s="223" t="s">
        <v>361</v>
      </c>
      <c r="I20" s="222">
        <f t="shared" si="17"/>
        <v>1.4938724189139663E-3</v>
      </c>
      <c r="J20" s="221">
        <f t="shared" si="17"/>
        <v>4.7359199730023782E-4</v>
      </c>
      <c r="K20" s="220">
        <f t="shared" si="17"/>
        <v>-3.9913204854746809E-3</v>
      </c>
      <c r="L20" s="219">
        <f t="shared" si="17"/>
        <v>-2.6242375245060234E-3</v>
      </c>
      <c r="M20" s="221">
        <f t="shared" si="17"/>
        <v>4.138863203075438E-3</v>
      </c>
      <c r="N20" s="219">
        <f t="shared" si="17"/>
        <v>-4.0192607999729457E-3</v>
      </c>
      <c r="O20" s="221">
        <f t="shared" si="17"/>
        <v>-3.8107341618159873E-3</v>
      </c>
      <c r="P20" s="219">
        <f t="shared" si="17"/>
        <v>1.3133077414026584E-2</v>
      </c>
      <c r="Q20" s="221">
        <f t="shared" si="17"/>
        <v>-8.9275385904401539E-3</v>
      </c>
      <c r="R20" s="220">
        <f t="shared" si="17"/>
        <v>-4.8186247231617463E-3</v>
      </c>
      <c r="S20" s="220">
        <f t="shared" si="17"/>
        <v>-3.5822089749711905E-3</v>
      </c>
      <c r="T20" s="220">
        <f t="shared" si="17"/>
        <v>3.1937193351996296E-3</v>
      </c>
      <c r="U20" s="220">
        <f t="shared" si="17"/>
        <v>2.2477359998578361E-3</v>
      </c>
      <c r="V20" s="220">
        <f t="shared" si="17"/>
        <v>-1.5466877753584907E-3</v>
      </c>
      <c r="W20" s="219">
        <f t="shared" si="17"/>
        <v>-3.4921530665565914E-3</v>
      </c>
      <c r="X20" s="250"/>
      <c r="Y20" s="216" t="s">
        <v>360</v>
      </c>
      <c r="Z20" s="215">
        <f t="shared" si="1"/>
        <v>9827.1127190000025</v>
      </c>
      <c r="AA20" s="218">
        <f t="shared" si="2"/>
        <v>686.74532700000009</v>
      </c>
      <c r="AB20" s="218">
        <f t="shared" si="3"/>
        <v>1229.875992</v>
      </c>
      <c r="AC20" s="218">
        <f t="shared" si="4"/>
        <v>2820.0051869999998</v>
      </c>
      <c r="AD20" s="217">
        <f t="shared" si="5"/>
        <v>5090.4862130000001</v>
      </c>
      <c r="AE20" s="218"/>
      <c r="AF20" s="216" t="s">
        <v>360</v>
      </c>
      <c r="AG20" s="215">
        <f t="shared" si="6"/>
        <v>9827.1127190000025</v>
      </c>
      <c r="AH20" s="214">
        <v>425.78270300000003</v>
      </c>
      <c r="AI20" s="205">
        <v>102.83787599999999</v>
      </c>
      <c r="AJ20" s="213">
        <v>158.12474800000001</v>
      </c>
      <c r="AK20" s="205">
        <v>484.689772</v>
      </c>
      <c r="AL20" s="205">
        <v>745.18621999999993</v>
      </c>
      <c r="AM20" s="214">
        <v>233.23853400000002</v>
      </c>
      <c r="AN20" s="213">
        <v>2586.7666529999997</v>
      </c>
      <c r="AO20" s="205">
        <v>1125.9026289999999</v>
      </c>
      <c r="AP20" s="205">
        <v>1708.2003929999998</v>
      </c>
      <c r="AQ20" s="205">
        <v>98.125749999999996</v>
      </c>
      <c r="AR20" s="205">
        <v>39.622716999999994</v>
      </c>
      <c r="AS20" s="205">
        <v>505.20344700000004</v>
      </c>
      <c r="AT20" s="205">
        <v>100.52507299999999</v>
      </c>
      <c r="AU20" s="213">
        <v>1512.9062040000003</v>
      </c>
      <c r="AV20" s="205"/>
    </row>
    <row r="21" spans="1:59" ht="15" customHeight="1" thickTop="1" thickBot="1" x14ac:dyDescent="0.3">
      <c r="A21" s="246" t="s">
        <v>359</v>
      </c>
      <c r="B21" s="245">
        <f>(Z22/Z$17)^(1/18)-1</f>
        <v>1.2226681191560784E-2</v>
      </c>
      <c r="C21" s="249">
        <f>(AA22/AA$17)^(1/18)-1</f>
        <v>2.7874040999860128E-3</v>
      </c>
      <c r="D21" s="248">
        <f>(AB22/AB$17)^(1/18)-1</f>
        <v>1.1169895251770035E-2</v>
      </c>
      <c r="E21" s="248">
        <f>(AC22/AC$17)^(1/18)-1</f>
        <v>2.4052149209173201E-2</v>
      </c>
      <c r="F21" s="247">
        <f>(AD22/AD$17)^(1/18)-1</f>
        <v>1.0683014116972478E-2</v>
      </c>
      <c r="G21" s="224"/>
      <c r="H21" s="246" t="s">
        <v>359</v>
      </c>
      <c r="I21" s="245">
        <f t="shared" ref="I21:W21" si="18">(AG22/AG$17)^(1/18)-1</f>
        <v>1.2226681191560784E-2</v>
      </c>
      <c r="J21" s="244">
        <f t="shared" si="18"/>
        <v>4.7449775173675768E-3</v>
      </c>
      <c r="K21" s="243">
        <f t="shared" si="18"/>
        <v>1.2207828999895032E-3</v>
      </c>
      <c r="L21" s="242">
        <f t="shared" si="18"/>
        <v>-4.3070026701330644E-4</v>
      </c>
      <c r="M21" s="244">
        <f t="shared" si="18"/>
        <v>1.0268510006377296E-2</v>
      </c>
      <c r="N21" s="242">
        <f t="shared" si="18"/>
        <v>1.1687614352445586E-2</v>
      </c>
      <c r="O21" s="244">
        <f t="shared" si="18"/>
        <v>1.4351305291449457E-2</v>
      </c>
      <c r="P21" s="242">
        <f t="shared" si="18"/>
        <v>2.5729719324410372E-2</v>
      </c>
      <c r="Q21" s="244">
        <f t="shared" si="18"/>
        <v>4.495992156356321E-3</v>
      </c>
      <c r="R21" s="243">
        <f t="shared" si="18"/>
        <v>1.3855748398329482E-2</v>
      </c>
      <c r="S21" s="243">
        <f t="shared" si="18"/>
        <v>-3.8561138315229559E-4</v>
      </c>
      <c r="T21" s="243">
        <f t="shared" si="18"/>
        <v>1.3098260854956356E-2</v>
      </c>
      <c r="U21" s="243">
        <f t="shared" si="18"/>
        <v>1.7340783394913295E-2</v>
      </c>
      <c r="V21" s="243">
        <f t="shared" si="18"/>
        <v>1.1600725743404983E-2</v>
      </c>
      <c r="W21" s="242">
        <f t="shared" si="18"/>
        <v>1.3144825144422834E-2</v>
      </c>
      <c r="Y21" s="210" t="s">
        <v>358</v>
      </c>
      <c r="Z21" s="209">
        <f t="shared" si="1"/>
        <v>10124.926196</v>
      </c>
      <c r="AA21" s="212">
        <f t="shared" si="2"/>
        <v>674.79577300000005</v>
      </c>
      <c r="AB21" s="212">
        <f t="shared" si="3"/>
        <v>1213.9457480000001</v>
      </c>
      <c r="AC21" s="212">
        <f t="shared" si="4"/>
        <v>3574.1413069999999</v>
      </c>
      <c r="AD21" s="211">
        <f t="shared" si="5"/>
        <v>4662.0433680000006</v>
      </c>
      <c r="AE21" s="218"/>
      <c r="AF21" s="210" t="s">
        <v>358</v>
      </c>
      <c r="AG21" s="209">
        <f t="shared" si="6"/>
        <v>10124.926196</v>
      </c>
      <c r="AH21" s="208">
        <v>429.83384500000005</v>
      </c>
      <c r="AI21" s="207">
        <v>94.932639999999992</v>
      </c>
      <c r="AJ21" s="206">
        <v>150.02928800000001</v>
      </c>
      <c r="AK21" s="207">
        <v>526.42847600000005</v>
      </c>
      <c r="AL21" s="207">
        <v>687.51727200000005</v>
      </c>
      <c r="AM21" s="208">
        <v>216.09138799999997</v>
      </c>
      <c r="AN21" s="206">
        <v>3358.049919</v>
      </c>
      <c r="AO21" s="207">
        <v>941.04200100000003</v>
      </c>
      <c r="AP21" s="207">
        <v>1550.8993370000001</v>
      </c>
      <c r="AQ21" s="207">
        <v>91.329789000000005</v>
      </c>
      <c r="AR21" s="207">
        <v>42.231873</v>
      </c>
      <c r="AS21" s="207">
        <v>528.406295</v>
      </c>
      <c r="AT21" s="207">
        <v>97.460725000000011</v>
      </c>
      <c r="AU21" s="206">
        <v>1410.6733480000003</v>
      </c>
      <c r="AV21" s="205"/>
    </row>
    <row r="22" spans="1:59" ht="15" customHeight="1" thickTop="1" x14ac:dyDescent="0.25">
      <c r="A22" s="231" t="s">
        <v>357</v>
      </c>
      <c r="B22" s="230">
        <f t="shared" ref="B22:F24" si="19">(Z23/Z22)^(1/20)-1</f>
        <v>9.5517127713595773E-3</v>
      </c>
      <c r="C22" s="234">
        <f t="shared" si="19"/>
        <v>2.2520700558277262E-3</v>
      </c>
      <c r="D22" s="233">
        <f t="shared" si="19"/>
        <v>8.1485928158682164E-3</v>
      </c>
      <c r="E22" s="233">
        <f t="shared" si="19"/>
        <v>2.0637885817131441E-2</v>
      </c>
      <c r="F22" s="232">
        <f t="shared" si="19"/>
        <v>6.9248567513189307E-3</v>
      </c>
      <c r="G22" s="224"/>
      <c r="H22" s="231" t="s">
        <v>357</v>
      </c>
      <c r="I22" s="230">
        <f t="shared" ref="I22:W24" si="20">(AG23/AG22)^(1/20)-1</f>
        <v>9.5517127713595773E-3</v>
      </c>
      <c r="J22" s="229">
        <f t="shared" si="20"/>
        <v>3.8096902356434814E-3</v>
      </c>
      <c r="K22" s="224">
        <f t="shared" si="20"/>
        <v>5.0442494321512044E-5</v>
      </c>
      <c r="L22" s="228">
        <f t="shared" si="20"/>
        <v>2.4175673166038081E-5</v>
      </c>
      <c r="M22" s="229">
        <f t="shared" si="20"/>
        <v>8.7244579638015018E-3</v>
      </c>
      <c r="N22" s="228">
        <f t="shared" si="20"/>
        <v>7.8194268028870528E-3</v>
      </c>
      <c r="O22" s="229">
        <f t="shared" si="20"/>
        <v>9.2939267300842232E-3</v>
      </c>
      <c r="P22" s="228">
        <f t="shared" si="20"/>
        <v>2.2203008242629441E-2</v>
      </c>
      <c r="Q22" s="229">
        <f t="shared" si="20"/>
        <v>4.031224981368986E-4</v>
      </c>
      <c r="R22" s="224">
        <f t="shared" si="20"/>
        <v>9.6311429503388446E-3</v>
      </c>
      <c r="S22" s="224">
        <f t="shared" si="20"/>
        <v>-1.6521480639258845E-3</v>
      </c>
      <c r="T22" s="224">
        <f t="shared" si="20"/>
        <v>9.1426895062853841E-3</v>
      </c>
      <c r="U22" s="224">
        <f t="shared" si="20"/>
        <v>1.2744738961949276E-2</v>
      </c>
      <c r="V22" s="224">
        <f t="shared" si="20"/>
        <v>8.3170268957646343E-3</v>
      </c>
      <c r="W22" s="228">
        <f t="shared" si="20"/>
        <v>8.8198673426500562E-3</v>
      </c>
      <c r="Y22" s="239" t="s">
        <v>356</v>
      </c>
      <c r="Z22" s="238">
        <f t="shared" si="1"/>
        <v>8776.4864770000004</v>
      </c>
      <c r="AA22" s="241">
        <f t="shared" si="2"/>
        <v>778.20558000000005</v>
      </c>
      <c r="AB22" s="241">
        <f t="shared" si="3"/>
        <v>1164.8699959999999</v>
      </c>
      <c r="AC22" s="241">
        <f t="shared" si="4"/>
        <v>1641.4215419999998</v>
      </c>
      <c r="AD22" s="240">
        <f t="shared" si="5"/>
        <v>5191.9893590000001</v>
      </c>
      <c r="AF22" s="239" t="s">
        <v>356</v>
      </c>
      <c r="AG22" s="238">
        <f t="shared" si="6"/>
        <v>8776.4864770000004</v>
      </c>
      <c r="AH22" s="237">
        <v>450.35982799999994</v>
      </c>
      <c r="AI22" s="236">
        <v>128.70572800000005</v>
      </c>
      <c r="AJ22" s="235">
        <v>199.14002400000001</v>
      </c>
      <c r="AK22" s="236">
        <v>421.37410199999999</v>
      </c>
      <c r="AL22" s="236">
        <v>743.49589400000002</v>
      </c>
      <c r="AM22" s="237">
        <v>220.71797999999995</v>
      </c>
      <c r="AN22" s="235">
        <v>1420.7035619999999</v>
      </c>
      <c r="AO22" s="236">
        <v>1467.433115</v>
      </c>
      <c r="AP22" s="236">
        <v>1612.0288519999999</v>
      </c>
      <c r="AQ22" s="236">
        <v>125.55994</v>
      </c>
      <c r="AR22" s="236">
        <v>34.606750999999996</v>
      </c>
      <c r="AS22" s="236">
        <v>409.15915000000001</v>
      </c>
      <c r="AT22" s="236">
        <v>97.215536000000029</v>
      </c>
      <c r="AU22" s="235">
        <v>1445.986015</v>
      </c>
      <c r="AV22" s="205"/>
    </row>
    <row r="23" spans="1:59" ht="15" customHeight="1" x14ac:dyDescent="0.25">
      <c r="A23" s="231" t="s">
        <v>355</v>
      </c>
      <c r="B23" s="230">
        <f t="shared" si="19"/>
        <v>8.2043441073320622E-3</v>
      </c>
      <c r="C23" s="234">
        <f t="shared" si="19"/>
        <v>3.4239045497581611E-3</v>
      </c>
      <c r="D23" s="233">
        <f t="shared" si="19"/>
        <v>6.9546014916892496E-3</v>
      </c>
      <c r="E23" s="233">
        <f t="shared" si="19"/>
        <v>1.724058974666165E-2</v>
      </c>
      <c r="F23" s="232">
        <f t="shared" si="19"/>
        <v>4.9327430398649064E-3</v>
      </c>
      <c r="G23" s="224"/>
      <c r="H23" s="231" t="s">
        <v>355</v>
      </c>
      <c r="I23" s="230">
        <f t="shared" si="20"/>
        <v>8.2043441073320622E-3</v>
      </c>
      <c r="J23" s="229">
        <f t="shared" si="20"/>
        <v>4.4413798291089712E-3</v>
      </c>
      <c r="K23" s="224">
        <f t="shared" si="20"/>
        <v>1.4892220026854197E-3</v>
      </c>
      <c r="L23" s="228">
        <f t="shared" si="20"/>
        <v>2.130888232235284E-3</v>
      </c>
      <c r="M23" s="229">
        <f t="shared" si="20"/>
        <v>8.8612348780743311E-3</v>
      </c>
      <c r="N23" s="228">
        <f t="shared" si="20"/>
        <v>5.822420572534126E-3</v>
      </c>
      <c r="O23" s="229">
        <f t="shared" si="20"/>
        <v>6.0921011366414923E-3</v>
      </c>
      <c r="P23" s="228">
        <f t="shared" si="20"/>
        <v>1.8439265003461047E-2</v>
      </c>
      <c r="Q23" s="229">
        <f t="shared" si="20"/>
        <v>-5.1337948403396005E-4</v>
      </c>
      <c r="R23" s="224">
        <f t="shared" si="20"/>
        <v>6.5153544088458748E-3</v>
      </c>
      <c r="S23" s="224">
        <f t="shared" si="20"/>
        <v>6.2455583951281923E-4</v>
      </c>
      <c r="T23" s="224">
        <f t="shared" si="20"/>
        <v>8.141123167854758E-3</v>
      </c>
      <c r="U23" s="224">
        <f t="shared" si="20"/>
        <v>9.5670265059377702E-3</v>
      </c>
      <c r="V23" s="224">
        <f t="shared" si="20"/>
        <v>6.4681909882022826E-3</v>
      </c>
      <c r="W23" s="228">
        <f t="shared" si="20"/>
        <v>6.1665976313576287E-3</v>
      </c>
      <c r="Y23" s="216" t="s">
        <v>354</v>
      </c>
      <c r="Z23" s="215">
        <f t="shared" si="1"/>
        <v>10614.317801999998</v>
      </c>
      <c r="AA23" s="218">
        <f t="shared" si="2"/>
        <v>814.0171949999999</v>
      </c>
      <c r="AB23" s="218">
        <f t="shared" si="3"/>
        <v>1370.1509760000001</v>
      </c>
      <c r="AC23" s="218">
        <f t="shared" si="4"/>
        <v>2469.7547689999997</v>
      </c>
      <c r="AD23" s="217">
        <f t="shared" si="5"/>
        <v>5960.3948620000001</v>
      </c>
      <c r="AF23" s="216" t="s">
        <v>354</v>
      </c>
      <c r="AG23" s="215">
        <f t="shared" si="6"/>
        <v>10614.317801999998</v>
      </c>
      <c r="AH23" s="214">
        <v>485.94522699999993</v>
      </c>
      <c r="AI23" s="205">
        <v>128.835635</v>
      </c>
      <c r="AJ23" s="213">
        <v>199.23633299999997</v>
      </c>
      <c r="AK23" s="205">
        <v>501.32442099999997</v>
      </c>
      <c r="AL23" s="205">
        <v>868.8265550000001</v>
      </c>
      <c r="AM23" s="214">
        <v>265.57727600000004</v>
      </c>
      <c r="AN23" s="213">
        <v>2204.1774929999997</v>
      </c>
      <c r="AO23" s="205">
        <v>1479.3096399999999</v>
      </c>
      <c r="AP23" s="205">
        <v>1952.664256</v>
      </c>
      <c r="AQ23" s="205">
        <v>121.475545</v>
      </c>
      <c r="AR23" s="205">
        <v>41.515703000000002</v>
      </c>
      <c r="AS23" s="205">
        <v>527.09898900000007</v>
      </c>
      <c r="AT23" s="205">
        <v>114.73018499999999</v>
      </c>
      <c r="AU23" s="213">
        <v>1723.6005439999999</v>
      </c>
      <c r="AV23" s="205"/>
    </row>
    <row r="24" spans="1:59" ht="15" customHeight="1" thickBot="1" x14ac:dyDescent="0.3">
      <c r="A24" s="223" t="s">
        <v>353</v>
      </c>
      <c r="B24" s="222">
        <f t="shared" si="19"/>
        <v>1.1803977096412233E-2</v>
      </c>
      <c r="C24" s="227">
        <f t="shared" si="19"/>
        <v>9.6583542216153173E-3</v>
      </c>
      <c r="D24" s="226">
        <f t="shared" si="19"/>
        <v>1.0260297537296292E-2</v>
      </c>
      <c r="E24" s="226">
        <f t="shared" si="19"/>
        <v>2.032199206407892E-2</v>
      </c>
      <c r="F24" s="225">
        <f t="shared" si="19"/>
        <v>7.3868779911074878E-3</v>
      </c>
      <c r="G24" s="224"/>
      <c r="H24" s="223" t="s">
        <v>353</v>
      </c>
      <c r="I24" s="222">
        <f t="shared" si="20"/>
        <v>1.1803977096412233E-2</v>
      </c>
      <c r="J24" s="221">
        <f t="shared" si="20"/>
        <v>1.0349138098607824E-2</v>
      </c>
      <c r="K24" s="220">
        <f t="shared" si="20"/>
        <v>7.5336388569515744E-3</v>
      </c>
      <c r="L24" s="219">
        <f t="shared" si="20"/>
        <v>9.2103659467690502E-3</v>
      </c>
      <c r="M24" s="221">
        <f t="shared" si="20"/>
        <v>1.3159682110253534E-2</v>
      </c>
      <c r="N24" s="219">
        <f t="shared" si="20"/>
        <v>8.40185398894433E-3</v>
      </c>
      <c r="O24" s="221">
        <f t="shared" si="20"/>
        <v>7.6293251545092033E-3</v>
      </c>
      <c r="P24" s="219">
        <f t="shared" si="20"/>
        <v>2.1378219240084873E-2</v>
      </c>
      <c r="Q24" s="221">
        <f t="shared" si="20"/>
        <v>4.033205934462325E-3</v>
      </c>
      <c r="R24" s="220">
        <f t="shared" si="20"/>
        <v>7.2626191761138159E-3</v>
      </c>
      <c r="S24" s="220">
        <f t="shared" si="20"/>
        <v>7.1180125776628689E-3</v>
      </c>
      <c r="T24" s="220">
        <f t="shared" si="20"/>
        <v>1.2398821506497182E-2</v>
      </c>
      <c r="U24" s="220">
        <f t="shared" si="20"/>
        <v>1.2347952303483511E-2</v>
      </c>
      <c r="V24" s="220">
        <f t="shared" si="20"/>
        <v>9.8133960181765456E-3</v>
      </c>
      <c r="W24" s="219">
        <f t="shared" si="20"/>
        <v>7.9840150529026932E-3</v>
      </c>
      <c r="Y24" s="216" t="s">
        <v>352</v>
      </c>
      <c r="Z24" s="215">
        <f t="shared" si="1"/>
        <v>12498.657698000001</v>
      </c>
      <c r="AA24" s="218">
        <f t="shared" si="2"/>
        <v>871.61047099999996</v>
      </c>
      <c r="AB24" s="218">
        <f t="shared" si="3"/>
        <v>1573.8605200000002</v>
      </c>
      <c r="AC24" s="218">
        <f t="shared" si="4"/>
        <v>3476.3816790000001</v>
      </c>
      <c r="AD24" s="217">
        <f t="shared" si="5"/>
        <v>6576.8050280000007</v>
      </c>
      <c r="AF24" s="216" t="s">
        <v>352</v>
      </c>
      <c r="AG24" s="215">
        <f t="shared" si="6"/>
        <v>12498.657698000001</v>
      </c>
      <c r="AH24" s="214">
        <v>530.98131699999999</v>
      </c>
      <c r="AI24" s="205">
        <v>132.72770900000006</v>
      </c>
      <c r="AJ24" s="213">
        <v>207.90144499999997</v>
      </c>
      <c r="AK24" s="205">
        <v>598.06385499999999</v>
      </c>
      <c r="AL24" s="205">
        <v>975.79666500000008</v>
      </c>
      <c r="AM24" s="214">
        <v>299.87875499999996</v>
      </c>
      <c r="AN24" s="213">
        <v>3176.5029240000003</v>
      </c>
      <c r="AO24" s="205">
        <v>1464.1945460000002</v>
      </c>
      <c r="AP24" s="205">
        <v>2223.4924819999997</v>
      </c>
      <c r="AQ24" s="205">
        <v>123.001947</v>
      </c>
      <c r="AR24" s="205">
        <v>48.824635000000001</v>
      </c>
      <c r="AS24" s="205">
        <v>637.66904599999987</v>
      </c>
      <c r="AT24" s="205">
        <v>130.520512</v>
      </c>
      <c r="AU24" s="213">
        <v>1949.1018600000007</v>
      </c>
      <c r="AV24" s="205"/>
    </row>
    <row r="25" spans="1:59" ht="14.4" thickTop="1" thickBot="1" x14ac:dyDescent="0.3">
      <c r="A25" s="246" t="s">
        <v>351</v>
      </c>
      <c r="B25" s="245">
        <f>(Z26/Z$17)^(1/18)-1</f>
        <v>6.0956466909691809E-3</v>
      </c>
      <c r="C25" s="249">
        <f>(AA26/AA$17)^(1/18)-1</f>
        <v>-2.7572644379458833E-3</v>
      </c>
      <c r="D25" s="248">
        <f>(AB26/AB$17)^(1/18)-1</f>
        <v>4.9228683596289624E-3</v>
      </c>
      <c r="E25" s="248">
        <f>(AC26/AC$17)^(1/18)-1</f>
        <v>1.8287788963361473E-2</v>
      </c>
      <c r="F25" s="247">
        <f>(AD26/AD$17)^(1/18)-1</f>
        <v>4.3708772947914643E-3</v>
      </c>
      <c r="G25" s="224"/>
      <c r="H25" s="246" t="s">
        <v>351</v>
      </c>
      <c r="I25" s="245">
        <f t="shared" ref="I25:W25" si="21">(AG26/AG$17)^(1/18)-1</f>
        <v>6.0956466909691809E-3</v>
      </c>
      <c r="J25" s="244">
        <f t="shared" si="21"/>
        <v>-5.0490821587689805E-4</v>
      </c>
      <c r="K25" s="243">
        <f t="shared" si="21"/>
        <v>-4.7185672535968726E-3</v>
      </c>
      <c r="L25" s="242">
        <f t="shared" si="21"/>
        <v>-6.3891711979117138E-3</v>
      </c>
      <c r="M25" s="244">
        <f t="shared" si="21"/>
        <v>4.7692576124684916E-3</v>
      </c>
      <c r="N25" s="242">
        <f t="shared" si="21"/>
        <v>5.0119713836211943E-3</v>
      </c>
      <c r="O25" s="244">
        <f t="shared" si="21"/>
        <v>7.6363169325708302E-3</v>
      </c>
      <c r="P25" s="242">
        <f t="shared" si="21"/>
        <v>2.0112304560610861E-2</v>
      </c>
      <c r="Q25" s="244">
        <f t="shared" si="21"/>
        <v>-1.4448514030300785E-3</v>
      </c>
      <c r="R25" s="243">
        <f t="shared" si="21"/>
        <v>7.3357372328337611E-3</v>
      </c>
      <c r="S25" s="243">
        <f t="shared" si="21"/>
        <v>-5.3098415469382543E-3</v>
      </c>
      <c r="T25" s="243">
        <f t="shared" si="21"/>
        <v>7.5650233531108224E-3</v>
      </c>
      <c r="U25" s="243">
        <f t="shared" si="21"/>
        <v>1.0935202553273182E-2</v>
      </c>
      <c r="V25" s="243">
        <f t="shared" si="21"/>
        <v>4.9451313344630599E-3</v>
      </c>
      <c r="W25" s="242">
        <f t="shared" si="21"/>
        <v>6.5853448979784623E-3</v>
      </c>
      <c r="Y25" s="210" t="s">
        <v>350</v>
      </c>
      <c r="Z25" s="209">
        <f t="shared" si="1"/>
        <v>15804.873250000001</v>
      </c>
      <c r="AA25" s="212">
        <f t="shared" si="2"/>
        <v>1056.3584269999999</v>
      </c>
      <c r="AB25" s="212">
        <f t="shared" si="3"/>
        <v>1930.331772</v>
      </c>
      <c r="AC25" s="212">
        <f t="shared" si="4"/>
        <v>5198.4324329999999</v>
      </c>
      <c r="AD25" s="211">
        <f t="shared" si="5"/>
        <v>7619.7506180000009</v>
      </c>
      <c r="AF25" s="210" t="s">
        <v>350</v>
      </c>
      <c r="AG25" s="209">
        <f t="shared" si="6"/>
        <v>15804.873250000001</v>
      </c>
      <c r="AH25" s="208">
        <v>652.39217999999971</v>
      </c>
      <c r="AI25" s="207">
        <v>154.22426100000013</v>
      </c>
      <c r="AJ25" s="206">
        <v>249.741986</v>
      </c>
      <c r="AK25" s="207">
        <v>776.79341799999997</v>
      </c>
      <c r="AL25" s="207">
        <v>1153.538354</v>
      </c>
      <c r="AM25" s="208">
        <v>349.10949900000003</v>
      </c>
      <c r="AN25" s="206">
        <v>4849.3229339999998</v>
      </c>
      <c r="AO25" s="207">
        <v>1586.9392809999999</v>
      </c>
      <c r="AP25" s="207">
        <v>2569.744858</v>
      </c>
      <c r="AQ25" s="207">
        <v>141.74875599999999</v>
      </c>
      <c r="AR25" s="207">
        <v>62.470016999999999</v>
      </c>
      <c r="AS25" s="207">
        <v>815.06362300000001</v>
      </c>
      <c r="AT25" s="207">
        <v>158.67237499999999</v>
      </c>
      <c r="AU25" s="206">
        <v>2285.1117080000013</v>
      </c>
      <c r="AV25" s="205"/>
    </row>
    <row r="26" spans="1:59" ht="13.8" thickTop="1" x14ac:dyDescent="0.25">
      <c r="A26" s="231" t="s">
        <v>349</v>
      </c>
      <c r="B26" s="230">
        <f t="shared" ref="B26:F28" si="22">(Z27/Z26)^(1/20)-1</f>
        <v>1.5336215589996094E-3</v>
      </c>
      <c r="C26" s="234">
        <f t="shared" si="22"/>
        <v>-5.3900851468852151E-3</v>
      </c>
      <c r="D26" s="233">
        <f t="shared" si="22"/>
        <v>-4.1644206256741256E-6</v>
      </c>
      <c r="E26" s="233">
        <f t="shared" si="22"/>
        <v>1.3314130908684385E-2</v>
      </c>
      <c r="F26" s="232">
        <f t="shared" si="22"/>
        <v>-1.4416145463296282E-3</v>
      </c>
      <c r="G26" s="224"/>
      <c r="H26" s="231" t="s">
        <v>349</v>
      </c>
      <c r="I26" s="230">
        <f t="shared" ref="I26:W28" si="23">(AG27/AG26)^(1/20)-1</f>
        <v>1.5336215589996094E-3</v>
      </c>
      <c r="J26" s="229">
        <f t="shared" si="23"/>
        <v>-3.1994833295591052E-3</v>
      </c>
      <c r="K26" s="224">
        <f t="shared" si="23"/>
        <v>-7.9428896211380939E-3</v>
      </c>
      <c r="L26" s="228">
        <f t="shared" si="23"/>
        <v>-9.0297381770071405E-3</v>
      </c>
      <c r="M26" s="229">
        <f t="shared" si="23"/>
        <v>1.8033817834770538E-3</v>
      </c>
      <c r="N26" s="228">
        <f t="shared" si="23"/>
        <v>-1.0793116748069043E-3</v>
      </c>
      <c r="O26" s="229">
        <f t="shared" si="23"/>
        <v>1.0779671810330349E-3</v>
      </c>
      <c r="P26" s="228">
        <f t="shared" si="23"/>
        <v>1.4951874222827399E-2</v>
      </c>
      <c r="Q26" s="229">
        <f t="shared" si="23"/>
        <v>-7.6871750713016773E-3</v>
      </c>
      <c r="R26" s="224">
        <f t="shared" si="23"/>
        <v>7.6595085429742582E-4</v>
      </c>
      <c r="S26" s="224">
        <f t="shared" si="23"/>
        <v>-8.6449739117036017E-3</v>
      </c>
      <c r="T26" s="224">
        <f t="shared" si="23"/>
        <v>2.408894305766518E-3</v>
      </c>
      <c r="U26" s="224">
        <f t="shared" si="23"/>
        <v>5.0914143884353003E-3</v>
      </c>
      <c r="V26" s="224">
        <f t="shared" si="23"/>
        <v>-4.2985106193138556E-4</v>
      </c>
      <c r="W26" s="228">
        <f t="shared" si="23"/>
        <v>5.0345061756584819E-4</v>
      </c>
      <c r="Y26" s="239" t="s">
        <v>348</v>
      </c>
      <c r="Z26" s="238">
        <f t="shared" si="1"/>
        <v>7867.3322840000001</v>
      </c>
      <c r="AA26" s="241">
        <f t="shared" si="2"/>
        <v>704.28841</v>
      </c>
      <c r="AB26" s="241">
        <f t="shared" si="3"/>
        <v>1041.914841</v>
      </c>
      <c r="AC26" s="241">
        <f t="shared" si="4"/>
        <v>1482.8337200000001</v>
      </c>
      <c r="AD26" s="240">
        <f t="shared" si="5"/>
        <v>4638.2953130000005</v>
      </c>
      <c r="AF26" s="239" t="s">
        <v>348</v>
      </c>
      <c r="AG26" s="238">
        <f t="shared" si="6"/>
        <v>7867.3322840000001</v>
      </c>
      <c r="AH26" s="237">
        <v>409.83254000000011</v>
      </c>
      <c r="AI26" s="236">
        <v>115.63430899999994</v>
      </c>
      <c r="AJ26" s="235">
        <v>178.821561</v>
      </c>
      <c r="AK26" s="236">
        <v>381.94360600000005</v>
      </c>
      <c r="AL26" s="236">
        <v>659.97123499999998</v>
      </c>
      <c r="AM26" s="237">
        <v>195.84625100000005</v>
      </c>
      <c r="AN26" s="235">
        <v>1286.9874690000001</v>
      </c>
      <c r="AO26" s="236">
        <v>1318.8261829999999</v>
      </c>
      <c r="AP26" s="236">
        <v>1435.2849759999999</v>
      </c>
      <c r="AQ26" s="236">
        <v>114.88065399999999</v>
      </c>
      <c r="AR26" s="236">
        <v>31.357979</v>
      </c>
      <c r="AS26" s="236">
        <v>365.18744099999998</v>
      </c>
      <c r="AT26" s="236">
        <v>86.324407000000008</v>
      </c>
      <c r="AU26" s="235">
        <v>1286.4336730000005</v>
      </c>
      <c r="AV26" s="205"/>
    </row>
    <row r="27" spans="1:59" x14ac:dyDescent="0.25">
      <c r="A27" s="231" t="s">
        <v>347</v>
      </c>
      <c r="B27" s="230">
        <f t="shared" si="22"/>
        <v>-3.0969925241107754E-3</v>
      </c>
      <c r="C27" s="234">
        <f t="shared" si="22"/>
        <v>-8.5296719034726465E-3</v>
      </c>
      <c r="D27" s="233">
        <f t="shared" si="22"/>
        <v>-4.5590605633192283E-3</v>
      </c>
      <c r="E27" s="233">
        <f t="shared" si="22"/>
        <v>7.8097233717415726E-3</v>
      </c>
      <c r="F27" s="232">
        <f t="shared" si="22"/>
        <v>-7.4073523540917341E-3</v>
      </c>
      <c r="G27" s="224"/>
      <c r="H27" s="231" t="s">
        <v>347</v>
      </c>
      <c r="I27" s="230">
        <f t="shared" si="23"/>
        <v>-3.0969925241107754E-3</v>
      </c>
      <c r="J27" s="229">
        <f t="shared" si="23"/>
        <v>-6.5712523795898869E-3</v>
      </c>
      <c r="K27" s="224">
        <f t="shared" si="23"/>
        <v>-1.1579492381036616E-2</v>
      </c>
      <c r="L27" s="228">
        <f t="shared" si="23"/>
        <v>-1.1816073511742409E-2</v>
      </c>
      <c r="M27" s="229">
        <f t="shared" si="23"/>
        <v>-1.0426781804298013E-3</v>
      </c>
      <c r="N27" s="228">
        <f t="shared" si="23"/>
        <v>-6.8375928891353244E-3</v>
      </c>
      <c r="O27" s="229">
        <f t="shared" si="23"/>
        <v>-5.811708332422838E-3</v>
      </c>
      <c r="P27" s="228">
        <f t="shared" si="23"/>
        <v>9.179307018889471E-3</v>
      </c>
      <c r="Q27" s="229">
        <f t="shared" si="23"/>
        <v>-1.3989143043456109E-2</v>
      </c>
      <c r="R27" s="224">
        <f t="shared" si="23"/>
        <v>-5.895378758277392E-3</v>
      </c>
      <c r="S27" s="224">
        <f t="shared" si="23"/>
        <v>-1.1095303806510026E-2</v>
      </c>
      <c r="T27" s="224">
        <f t="shared" si="23"/>
        <v>-1.7541896104856791E-3</v>
      </c>
      <c r="U27" s="224">
        <f t="shared" si="23"/>
        <v>-1.1401280418686932E-3</v>
      </c>
      <c r="V27" s="224">
        <f t="shared" si="23"/>
        <v>-6.0252455063370958E-3</v>
      </c>
      <c r="W27" s="228">
        <f t="shared" si="23"/>
        <v>-5.8240891866092603E-3</v>
      </c>
      <c r="Y27" s="216" t="s">
        <v>346</v>
      </c>
      <c r="Z27" s="215">
        <f t="shared" si="1"/>
        <v>8112.1908009999988</v>
      </c>
      <c r="AA27" s="218">
        <f t="shared" si="2"/>
        <v>632.12974399999996</v>
      </c>
      <c r="AB27" s="218">
        <f t="shared" si="3"/>
        <v>1041.8280650000002</v>
      </c>
      <c r="AC27" s="218">
        <f t="shared" si="4"/>
        <v>1931.8545899999999</v>
      </c>
      <c r="AD27" s="217">
        <f t="shared" si="5"/>
        <v>4506.3784019999994</v>
      </c>
      <c r="AF27" s="216" t="s">
        <v>346</v>
      </c>
      <c r="AG27" s="215">
        <f t="shared" si="6"/>
        <v>8112.1908009999988</v>
      </c>
      <c r="AH27" s="214">
        <v>384.38950899999998</v>
      </c>
      <c r="AI27" s="205">
        <v>98.587122999999991</v>
      </c>
      <c r="AJ27" s="213">
        <v>149.15311199999999</v>
      </c>
      <c r="AK27" s="205">
        <v>395.95799099999999</v>
      </c>
      <c r="AL27" s="205">
        <v>645.87007400000005</v>
      </c>
      <c r="AM27" s="214">
        <v>200.11208799999997</v>
      </c>
      <c r="AN27" s="213">
        <v>1731.7425020000001</v>
      </c>
      <c r="AO27" s="205">
        <v>1130.2113060000001</v>
      </c>
      <c r="AP27" s="205">
        <v>1457.432859</v>
      </c>
      <c r="AQ27" s="205">
        <v>96.567537000000002</v>
      </c>
      <c r="AR27" s="205">
        <v>32.903818000000001</v>
      </c>
      <c r="AS27" s="205">
        <v>404.228656</v>
      </c>
      <c r="AT27" s="205">
        <v>85.585297000000011</v>
      </c>
      <c r="AU27" s="213">
        <v>1299.4489289999988</v>
      </c>
      <c r="AV27" s="205"/>
    </row>
    <row r="28" spans="1:59" ht="13.8" thickBot="1" x14ac:dyDescent="0.3">
      <c r="A28" s="223" t="s">
        <v>345</v>
      </c>
      <c r="B28" s="222">
        <f t="shared" si="22"/>
        <v>-1.0466741804917357E-2</v>
      </c>
      <c r="C28" s="227">
        <f t="shared" si="22"/>
        <v>-1.3583138898504266E-2</v>
      </c>
      <c r="D28" s="226">
        <f t="shared" si="22"/>
        <v>-1.3279678483382518E-2</v>
      </c>
      <c r="E28" s="226">
        <f t="shared" si="22"/>
        <v>2.6211526107140504E-3</v>
      </c>
      <c r="F28" s="225">
        <f t="shared" si="22"/>
        <v>-1.8633383204813669E-2</v>
      </c>
      <c r="G28" s="224"/>
      <c r="H28" s="223" t="s">
        <v>345</v>
      </c>
      <c r="I28" s="222">
        <f t="shared" si="23"/>
        <v>-1.0466741804917357E-2</v>
      </c>
      <c r="J28" s="221">
        <f t="shared" si="23"/>
        <v>-1.1220282942844495E-2</v>
      </c>
      <c r="K28" s="220">
        <f t="shared" si="23"/>
        <v>-1.8567770424563812E-2</v>
      </c>
      <c r="L28" s="219">
        <f t="shared" si="23"/>
        <v>-1.7496607112744256E-2</v>
      </c>
      <c r="M28" s="221">
        <f t="shared" si="23"/>
        <v>-6.207163407807359E-3</v>
      </c>
      <c r="N28" s="219">
        <f t="shared" si="23"/>
        <v>-1.877860527831432E-2</v>
      </c>
      <c r="O28" s="221">
        <f t="shared" si="23"/>
        <v>-1.7896189604084345E-2</v>
      </c>
      <c r="P28" s="219">
        <f t="shared" si="23"/>
        <v>4.0559147440351051E-3</v>
      </c>
      <c r="Q28" s="221">
        <f t="shared" si="23"/>
        <v>-2.5770982832274525E-2</v>
      </c>
      <c r="R28" s="220">
        <f t="shared" si="23"/>
        <v>-1.9108783480049962E-2</v>
      </c>
      <c r="S28" s="220">
        <f t="shared" si="23"/>
        <v>-1.6654247063077943E-2</v>
      </c>
      <c r="T28" s="220">
        <f t="shared" si="23"/>
        <v>-7.4062629581727046E-3</v>
      </c>
      <c r="U28" s="220">
        <f t="shared" si="23"/>
        <v>-9.4133464610063333E-3</v>
      </c>
      <c r="V28" s="220">
        <f t="shared" si="23"/>
        <v>-1.5492871440768274E-2</v>
      </c>
      <c r="W28" s="219">
        <f t="shared" si="23"/>
        <v>-1.7344074784045316E-2</v>
      </c>
      <c r="Y28" s="216" t="s">
        <v>344</v>
      </c>
      <c r="Z28" s="215">
        <f t="shared" si="1"/>
        <v>7624.2351160000007</v>
      </c>
      <c r="AA28" s="218">
        <f t="shared" si="2"/>
        <v>532.59938</v>
      </c>
      <c r="AB28" s="218">
        <f t="shared" si="3"/>
        <v>950.8368660000001</v>
      </c>
      <c r="AC28" s="218">
        <f t="shared" si="4"/>
        <v>2257.0714980000002</v>
      </c>
      <c r="AD28" s="217">
        <f t="shared" si="5"/>
        <v>3883.7273720000003</v>
      </c>
      <c r="AF28" s="216" t="s">
        <v>344</v>
      </c>
      <c r="AG28" s="215">
        <f t="shared" si="6"/>
        <v>7624.2351160000007</v>
      </c>
      <c r="AH28" s="214">
        <v>336.903865</v>
      </c>
      <c r="AI28" s="205">
        <v>78.100738999999976</v>
      </c>
      <c r="AJ28" s="213">
        <v>117.594776</v>
      </c>
      <c r="AK28" s="205">
        <v>387.78213699999998</v>
      </c>
      <c r="AL28" s="205">
        <v>563.05472900000007</v>
      </c>
      <c r="AM28" s="214">
        <v>178.09273699999994</v>
      </c>
      <c r="AN28" s="213">
        <v>2078.9787610000003</v>
      </c>
      <c r="AO28" s="205">
        <v>852.69474600000001</v>
      </c>
      <c r="AP28" s="205">
        <v>1294.882646</v>
      </c>
      <c r="AQ28" s="205">
        <v>77.253816</v>
      </c>
      <c r="AR28" s="205">
        <v>31.768464000000002</v>
      </c>
      <c r="AS28" s="205">
        <v>395.110364</v>
      </c>
      <c r="AT28" s="205">
        <v>75.841383000000008</v>
      </c>
      <c r="AU28" s="213">
        <v>1156.1759529999999</v>
      </c>
      <c r="AV28" s="205"/>
    </row>
    <row r="29" spans="1:59" ht="14.4" thickTop="1" thickBot="1" x14ac:dyDescent="0.3">
      <c r="Y29" s="210" t="s">
        <v>343</v>
      </c>
      <c r="Z29" s="209">
        <f t="shared" si="1"/>
        <v>6177.3781689999996</v>
      </c>
      <c r="AA29" s="212">
        <f t="shared" si="2"/>
        <v>405.14492200000007</v>
      </c>
      <c r="AB29" s="212">
        <f t="shared" si="3"/>
        <v>727.75879699999996</v>
      </c>
      <c r="AC29" s="212">
        <f t="shared" si="4"/>
        <v>2378.3872769999998</v>
      </c>
      <c r="AD29" s="211">
        <f t="shared" si="5"/>
        <v>2666.0871729999999</v>
      </c>
      <c r="AF29" s="210" t="s">
        <v>343</v>
      </c>
      <c r="AG29" s="209">
        <f t="shared" si="6"/>
        <v>6177.3781689999996</v>
      </c>
      <c r="AH29" s="208">
        <v>268.84191200000004</v>
      </c>
      <c r="AI29" s="207">
        <v>53.686051000000006</v>
      </c>
      <c r="AJ29" s="206">
        <v>82.616958999999994</v>
      </c>
      <c r="AK29" s="207">
        <v>342.37736000000001</v>
      </c>
      <c r="AL29" s="207">
        <v>385.38143699999995</v>
      </c>
      <c r="AM29" s="208">
        <v>124.10638599999999</v>
      </c>
      <c r="AN29" s="206">
        <v>2254.2808909999999</v>
      </c>
      <c r="AO29" s="207">
        <v>505.841903</v>
      </c>
      <c r="AP29" s="207">
        <v>880.33369100000004</v>
      </c>
      <c r="AQ29" s="207">
        <v>55.213448</v>
      </c>
      <c r="AR29" s="207">
        <v>27.379583</v>
      </c>
      <c r="AS29" s="207">
        <v>327.01514600000002</v>
      </c>
      <c r="AT29" s="207">
        <v>55.498794000000004</v>
      </c>
      <c r="AU29" s="206">
        <v>814.80460799999992</v>
      </c>
      <c r="AV29" s="205"/>
    </row>
    <row r="30" spans="1:59" ht="13.8" thickTop="1" x14ac:dyDescent="0.25">
      <c r="A30" s="408" t="s">
        <v>342</v>
      </c>
      <c r="B30" s="409"/>
      <c r="C30" s="409"/>
      <c r="D30" s="409"/>
      <c r="E30" s="409"/>
      <c r="F30" s="410"/>
      <c r="G30" s="204"/>
    </row>
    <row r="31" spans="1:59" x14ac:dyDescent="0.25">
      <c r="A31" s="411"/>
      <c r="B31" s="412"/>
      <c r="C31" s="412"/>
      <c r="D31" s="412"/>
      <c r="E31" s="412"/>
      <c r="F31" s="413"/>
      <c r="G31" s="203"/>
    </row>
    <row r="32" spans="1:59" x14ac:dyDescent="0.25">
      <c r="A32" s="411"/>
      <c r="B32" s="412"/>
      <c r="C32" s="412"/>
      <c r="D32" s="412"/>
      <c r="E32" s="412"/>
      <c r="F32" s="413"/>
      <c r="G32" s="203"/>
    </row>
    <row r="33" spans="1:7" x14ac:dyDescent="0.25">
      <c r="A33" s="411"/>
      <c r="B33" s="412"/>
      <c r="C33" s="412"/>
      <c r="D33" s="412"/>
      <c r="E33" s="412"/>
      <c r="F33" s="413"/>
      <c r="G33" s="203"/>
    </row>
    <row r="34" spans="1:7" x14ac:dyDescent="0.25">
      <c r="A34" s="411"/>
      <c r="B34" s="412"/>
      <c r="C34" s="412"/>
      <c r="D34" s="412"/>
      <c r="E34" s="412"/>
      <c r="F34" s="413"/>
      <c r="G34" s="203"/>
    </row>
    <row r="35" spans="1:7" x14ac:dyDescent="0.25">
      <c r="A35" s="411"/>
      <c r="B35" s="412"/>
      <c r="C35" s="412"/>
      <c r="D35" s="412"/>
      <c r="E35" s="412"/>
      <c r="F35" s="413"/>
      <c r="G35" s="203"/>
    </row>
    <row r="36" spans="1:7" x14ac:dyDescent="0.25">
      <c r="A36" s="411"/>
      <c r="B36" s="412"/>
      <c r="C36" s="412"/>
      <c r="D36" s="412"/>
      <c r="E36" s="412"/>
      <c r="F36" s="413"/>
      <c r="G36" s="203"/>
    </row>
    <row r="37" spans="1:7" x14ac:dyDescent="0.25">
      <c r="A37" s="411"/>
      <c r="B37" s="412"/>
      <c r="C37" s="412"/>
      <c r="D37" s="412"/>
      <c r="E37" s="412"/>
      <c r="F37" s="413"/>
      <c r="G37" s="203"/>
    </row>
    <row r="38" spans="1:7" x14ac:dyDescent="0.25">
      <c r="A38" s="411"/>
      <c r="B38" s="412"/>
      <c r="C38" s="412"/>
      <c r="D38" s="412"/>
      <c r="E38" s="412"/>
      <c r="F38" s="413"/>
      <c r="G38" s="203"/>
    </row>
    <row r="39" spans="1:7" x14ac:dyDescent="0.25">
      <c r="A39" s="411"/>
      <c r="B39" s="412"/>
      <c r="C39" s="412"/>
      <c r="D39" s="412"/>
      <c r="E39" s="412"/>
      <c r="F39" s="413"/>
      <c r="G39" s="203"/>
    </row>
    <row r="40" spans="1:7" x14ac:dyDescent="0.25">
      <c r="A40" s="411"/>
      <c r="B40" s="412"/>
      <c r="C40" s="412"/>
      <c r="D40" s="412"/>
      <c r="E40" s="412"/>
      <c r="F40" s="413"/>
      <c r="G40" s="203"/>
    </row>
    <row r="41" spans="1:7" x14ac:dyDescent="0.25">
      <c r="A41" s="411"/>
      <c r="B41" s="412"/>
      <c r="C41" s="412"/>
      <c r="D41" s="412"/>
      <c r="E41" s="412"/>
      <c r="F41" s="413"/>
      <c r="G41" s="203"/>
    </row>
    <row r="42" spans="1:7" x14ac:dyDescent="0.25">
      <c r="A42" s="411"/>
      <c r="B42" s="412"/>
      <c r="C42" s="412"/>
      <c r="D42" s="412"/>
      <c r="E42" s="412"/>
      <c r="F42" s="413"/>
      <c r="G42" s="203"/>
    </row>
    <row r="43" spans="1:7" ht="13.8" thickBot="1" x14ac:dyDescent="0.3">
      <c r="A43" s="414"/>
      <c r="B43" s="415"/>
      <c r="C43" s="415"/>
      <c r="D43" s="415"/>
      <c r="E43" s="415"/>
      <c r="F43" s="416"/>
      <c r="G43" s="203"/>
    </row>
    <row r="44" spans="1:7" ht="13.8" thickTop="1" x14ac:dyDescent="0.25"/>
  </sheetData>
  <mergeCells count="5">
    <mergeCell ref="A4:F4"/>
    <mergeCell ref="A30:F43"/>
    <mergeCell ref="H4:W4"/>
    <mergeCell ref="Y4:AD4"/>
    <mergeCell ref="AF4:AU4"/>
  </mergeCells>
  <printOptions horizontalCentered="1" verticalCentered="1"/>
  <pageMargins left="0.78740157480314965" right="0.78740157480314965" top="0.98425196850393704" bottom="0.98425196850393704" header="0.51181102362204722" footer="0.51181102362204722"/>
  <pageSetup paperSize="9" scale="24" orientation="landscape" horizontalDpi="4294967292" verticalDpi="4294967292" r:id="rId1"/>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topLeftCell="A6" zoomScale="90" zoomScaleNormal="90" zoomScalePageLayoutView="90" workbookViewId="0">
      <selection activeCell="N53" sqref="N53"/>
    </sheetView>
  </sheetViews>
  <sheetFormatPr baseColWidth="10" defaultRowHeight="14.4" x14ac:dyDescent="0.3"/>
  <sheetData>
    <row r="1" spans="1:1" ht="15.6" x14ac:dyDescent="0.3">
      <c r="A1" s="19" t="s">
        <v>419</v>
      </c>
    </row>
    <row r="43" spans="10:18" x14ac:dyDescent="0.3">
      <c r="J43" s="422" t="s">
        <v>461</v>
      </c>
      <c r="K43" s="422"/>
      <c r="L43" s="422"/>
      <c r="M43" s="422"/>
      <c r="N43" s="422"/>
      <c r="O43" s="422"/>
      <c r="P43" s="422"/>
      <c r="Q43" s="422"/>
      <c r="R43" s="422"/>
    </row>
    <row r="44" spans="10:18" ht="15" thickBot="1" x14ac:dyDescent="0.35">
      <c r="J44" s="336" t="s">
        <v>462</v>
      </c>
      <c r="K44" s="336" t="s">
        <v>463</v>
      </c>
      <c r="L44" s="336" t="s">
        <v>413</v>
      </c>
      <c r="M44" s="336" t="s">
        <v>414</v>
      </c>
      <c r="N44" s="337" t="s">
        <v>416</v>
      </c>
      <c r="O44" s="336" t="s">
        <v>426</v>
      </c>
      <c r="P44" s="336" t="s">
        <v>427</v>
      </c>
      <c r="Q44" s="336" t="s">
        <v>428</v>
      </c>
      <c r="R44" s="336" t="s">
        <v>429</v>
      </c>
    </row>
    <row r="45" spans="10:18" x14ac:dyDescent="0.3">
      <c r="J45" s="423" t="s">
        <v>464</v>
      </c>
      <c r="K45" s="338">
        <v>1983</v>
      </c>
      <c r="L45" s="338">
        <v>8.59</v>
      </c>
      <c r="M45" s="338">
        <v>17.2</v>
      </c>
      <c r="N45" s="339"/>
      <c r="O45" s="338"/>
      <c r="P45" s="338">
        <v>59.5</v>
      </c>
      <c r="Q45" s="338">
        <v>10.93</v>
      </c>
      <c r="R45" s="340">
        <v>3.79</v>
      </c>
    </row>
    <row r="46" spans="10:18" x14ac:dyDescent="0.3">
      <c r="J46" s="424"/>
      <c r="K46" s="341">
        <v>1987</v>
      </c>
      <c r="L46" s="341">
        <v>8.9700000000000006</v>
      </c>
      <c r="M46" s="341">
        <v>17.66</v>
      </c>
      <c r="N46" s="342"/>
      <c r="O46" s="341"/>
      <c r="P46" s="341">
        <v>58.57</v>
      </c>
      <c r="Q46" s="341">
        <v>11.43</v>
      </c>
      <c r="R46" s="343">
        <v>3.37</v>
      </c>
    </row>
    <row r="47" spans="10:18" x14ac:dyDescent="0.3">
      <c r="J47" s="424"/>
      <c r="K47" s="341">
        <v>1993</v>
      </c>
      <c r="L47" s="341">
        <v>8.94</v>
      </c>
      <c r="M47" s="341">
        <v>19.3</v>
      </c>
      <c r="N47" s="342"/>
      <c r="O47" s="341"/>
      <c r="P47" s="341">
        <v>57.72</v>
      </c>
      <c r="Q47" s="341">
        <v>11</v>
      </c>
      <c r="R47" s="343">
        <v>3.05</v>
      </c>
    </row>
    <row r="48" spans="10:18" x14ac:dyDescent="0.3">
      <c r="J48" s="424"/>
      <c r="K48" s="341">
        <v>1999</v>
      </c>
      <c r="L48" s="341">
        <v>8.7100000000000009</v>
      </c>
      <c r="M48" s="341">
        <v>18.899999999999999</v>
      </c>
      <c r="N48" s="342">
        <v>35.729999999999997</v>
      </c>
      <c r="O48" s="341">
        <v>25.78</v>
      </c>
      <c r="P48" s="341"/>
      <c r="Q48" s="341">
        <v>8.49</v>
      </c>
      <c r="R48" s="343">
        <v>2.4</v>
      </c>
    </row>
    <row r="49" spans="10:18" x14ac:dyDescent="0.3">
      <c r="J49" s="424"/>
      <c r="K49" s="341">
        <v>2004</v>
      </c>
      <c r="L49" s="341">
        <v>8.6300000000000008</v>
      </c>
      <c r="M49" s="341">
        <v>19.59</v>
      </c>
      <c r="N49" s="342">
        <v>40.94</v>
      </c>
      <c r="O49" s="341">
        <v>21.42</v>
      </c>
      <c r="P49" s="341"/>
      <c r="Q49" s="341">
        <v>7.55</v>
      </c>
      <c r="R49" s="343">
        <v>1.87</v>
      </c>
    </row>
    <row r="50" spans="10:18" x14ac:dyDescent="0.3">
      <c r="J50" s="424"/>
      <c r="K50" s="341">
        <v>2009</v>
      </c>
      <c r="L50" s="341">
        <v>8.8000000000000007</v>
      </c>
      <c r="M50" s="341">
        <v>20.29</v>
      </c>
      <c r="N50" s="342">
        <v>41.75</v>
      </c>
      <c r="O50" s="341">
        <v>20.43</v>
      </c>
      <c r="P50" s="341"/>
      <c r="Q50" s="341">
        <v>7</v>
      </c>
      <c r="R50" s="343">
        <v>1.73</v>
      </c>
    </row>
    <row r="51" spans="10:18" x14ac:dyDescent="0.3">
      <c r="J51" s="424"/>
      <c r="K51" s="341">
        <v>2011</v>
      </c>
      <c r="L51" s="341">
        <v>8.93</v>
      </c>
      <c r="M51" s="341">
        <v>19.03</v>
      </c>
      <c r="N51" s="342">
        <v>44.06</v>
      </c>
      <c r="O51" s="341">
        <v>19.93</v>
      </c>
      <c r="P51" s="341"/>
      <c r="Q51" s="341">
        <v>6.36</v>
      </c>
      <c r="R51" s="343">
        <v>1.68</v>
      </c>
    </row>
    <row r="52" spans="10:18" ht="15" thickBot="1" x14ac:dyDescent="0.35">
      <c r="J52" s="425"/>
      <c r="K52" s="344">
        <v>2014</v>
      </c>
      <c r="L52" s="344">
        <v>9.3000000000000007</v>
      </c>
      <c r="M52" s="344">
        <v>19.38</v>
      </c>
      <c r="N52" s="345">
        <v>43.86</v>
      </c>
      <c r="O52" s="344">
        <v>20.04</v>
      </c>
      <c r="P52" s="344"/>
      <c r="Q52" s="344">
        <v>5.72</v>
      </c>
      <c r="R52" s="346">
        <v>1.71</v>
      </c>
    </row>
    <row r="53" spans="10:18" x14ac:dyDescent="0.3">
      <c r="J53" s="423" t="s">
        <v>465</v>
      </c>
      <c r="K53" s="338">
        <v>1983</v>
      </c>
      <c r="L53" s="338">
        <v>10.28</v>
      </c>
      <c r="M53" s="338">
        <v>18.5</v>
      </c>
      <c r="N53" s="339"/>
      <c r="O53" s="338"/>
      <c r="P53" s="338">
        <v>58.44</v>
      </c>
      <c r="Q53" s="338">
        <v>9.4700000000000006</v>
      </c>
      <c r="R53" s="340">
        <v>3.3</v>
      </c>
    </row>
    <row r="54" spans="10:18" x14ac:dyDescent="0.3">
      <c r="J54" s="424"/>
      <c r="K54" s="341">
        <v>1987</v>
      </c>
      <c r="L54" s="341">
        <v>10.48</v>
      </c>
      <c r="M54" s="341">
        <v>19.239999999999998</v>
      </c>
      <c r="N54" s="342"/>
      <c r="O54" s="341"/>
      <c r="P54" s="341">
        <v>57.21</v>
      </c>
      <c r="Q54" s="341">
        <v>10.130000000000001</v>
      </c>
      <c r="R54" s="343">
        <v>2.94</v>
      </c>
    </row>
    <row r="55" spans="10:18" x14ac:dyDescent="0.3">
      <c r="J55" s="424"/>
      <c r="K55" s="341">
        <v>1993</v>
      </c>
      <c r="L55" s="341">
        <v>10.82</v>
      </c>
      <c r="M55" s="341">
        <v>21.1</v>
      </c>
      <c r="N55" s="342"/>
      <c r="O55" s="341"/>
      <c r="P55" s="341">
        <v>55.78</v>
      </c>
      <c r="Q55" s="341">
        <v>9.67</v>
      </c>
      <c r="R55" s="343">
        <v>2.63</v>
      </c>
    </row>
    <row r="56" spans="10:18" x14ac:dyDescent="0.3">
      <c r="J56" s="424"/>
      <c r="K56" s="341">
        <v>1999</v>
      </c>
      <c r="L56" s="341">
        <v>10.49</v>
      </c>
      <c r="M56" s="341">
        <v>20.420000000000002</v>
      </c>
      <c r="N56" s="342">
        <v>37.520000000000003</v>
      </c>
      <c r="O56" s="341">
        <v>22.04</v>
      </c>
      <c r="P56" s="341"/>
      <c r="Q56" s="341">
        <v>7.51</v>
      </c>
      <c r="R56" s="343">
        <v>2.02</v>
      </c>
    </row>
    <row r="57" spans="10:18" x14ac:dyDescent="0.3">
      <c r="J57" s="424"/>
      <c r="K57" s="341">
        <v>2004</v>
      </c>
      <c r="L57" s="341">
        <v>10.57</v>
      </c>
      <c r="M57" s="341">
        <v>20.92</v>
      </c>
      <c r="N57" s="342">
        <v>42.75</v>
      </c>
      <c r="O57" s="341">
        <v>17.510000000000002</v>
      </c>
      <c r="P57" s="341"/>
      <c r="Q57" s="341">
        <v>6.74</v>
      </c>
      <c r="R57" s="343">
        <v>1.5</v>
      </c>
    </row>
    <row r="58" spans="10:18" x14ac:dyDescent="0.3">
      <c r="J58" s="424"/>
      <c r="K58" s="341">
        <v>2009</v>
      </c>
      <c r="L58" s="341">
        <v>10.79</v>
      </c>
      <c r="M58" s="341">
        <v>22.23</v>
      </c>
      <c r="N58" s="342">
        <v>42.97</v>
      </c>
      <c r="O58" s="341">
        <v>16.23</v>
      </c>
      <c r="P58" s="341"/>
      <c r="Q58" s="341">
        <v>6.44</v>
      </c>
      <c r="R58" s="343">
        <v>1.35</v>
      </c>
    </row>
    <row r="59" spans="10:18" x14ac:dyDescent="0.3">
      <c r="J59" s="424"/>
      <c r="K59" s="341">
        <v>2011</v>
      </c>
      <c r="L59" s="341">
        <v>11.11</v>
      </c>
      <c r="M59" s="341">
        <v>20.8</v>
      </c>
      <c r="N59" s="342">
        <v>45.04</v>
      </c>
      <c r="O59" s="341">
        <v>15.98</v>
      </c>
      <c r="P59" s="341"/>
      <c r="Q59" s="341">
        <v>5.72</v>
      </c>
      <c r="R59" s="343">
        <v>1.35</v>
      </c>
    </row>
    <row r="60" spans="10:18" ht="15" thickBot="1" x14ac:dyDescent="0.35">
      <c r="J60" s="425"/>
      <c r="K60" s="344">
        <v>2014</v>
      </c>
      <c r="L60" s="347">
        <v>11.69</v>
      </c>
      <c r="M60" s="347">
        <v>21.42</v>
      </c>
      <c r="N60" s="348">
        <v>44.93</v>
      </c>
      <c r="O60" s="347">
        <v>15.62</v>
      </c>
      <c r="P60" s="347"/>
      <c r="Q60" s="347">
        <v>4.99</v>
      </c>
      <c r="R60" s="349">
        <v>1.36</v>
      </c>
    </row>
    <row r="61" spans="10:18" x14ac:dyDescent="0.3">
      <c r="J61" s="423" t="s">
        <v>466</v>
      </c>
      <c r="K61" s="338">
        <v>1983</v>
      </c>
      <c r="L61" s="338">
        <v>2.76</v>
      </c>
      <c r="M61" s="338">
        <v>12.7</v>
      </c>
      <c r="N61" s="339"/>
      <c r="O61" s="338"/>
      <c r="P61" s="338">
        <v>63.13</v>
      </c>
      <c r="Q61" s="338">
        <v>15.95</v>
      </c>
      <c r="R61" s="340">
        <v>5.47</v>
      </c>
    </row>
    <row r="62" spans="10:18" x14ac:dyDescent="0.3">
      <c r="J62" s="424"/>
      <c r="K62" s="341">
        <v>1987</v>
      </c>
      <c r="L62" s="341">
        <v>3.77</v>
      </c>
      <c r="M62" s="341">
        <v>12.2</v>
      </c>
      <c r="N62" s="342"/>
      <c r="O62" s="341"/>
      <c r="P62" s="341">
        <v>63.25</v>
      </c>
      <c r="Q62" s="341">
        <v>15.91</v>
      </c>
      <c r="R62" s="343">
        <v>4.87</v>
      </c>
    </row>
    <row r="63" spans="10:18" x14ac:dyDescent="0.3">
      <c r="J63" s="424"/>
      <c r="K63" s="341">
        <v>1993</v>
      </c>
      <c r="L63" s="341">
        <v>3.21</v>
      </c>
      <c r="M63" s="341">
        <v>13.85</v>
      </c>
      <c r="N63" s="342"/>
      <c r="O63" s="341"/>
      <c r="P63" s="341">
        <v>63.6</v>
      </c>
      <c r="Q63" s="341">
        <v>15.04</v>
      </c>
      <c r="R63" s="343">
        <v>4.3</v>
      </c>
    </row>
    <row r="64" spans="10:18" x14ac:dyDescent="0.3">
      <c r="J64" s="424"/>
      <c r="K64" s="341">
        <v>1999</v>
      </c>
      <c r="L64" s="341">
        <v>3.39</v>
      </c>
      <c r="M64" s="341">
        <v>14.35</v>
      </c>
      <c r="N64" s="342">
        <v>30.38</v>
      </c>
      <c r="O64" s="341">
        <v>36.93</v>
      </c>
      <c r="P64" s="341"/>
      <c r="Q64" s="341">
        <v>11.41</v>
      </c>
      <c r="R64" s="343">
        <v>3.53</v>
      </c>
    </row>
    <row r="65" spans="10:18" x14ac:dyDescent="0.3">
      <c r="J65" s="424"/>
      <c r="K65" s="341">
        <v>2004</v>
      </c>
      <c r="L65" s="341">
        <v>2.92</v>
      </c>
      <c r="M65" s="341">
        <v>15.64</v>
      </c>
      <c r="N65" s="342">
        <v>35.6</v>
      </c>
      <c r="O65" s="341">
        <v>32.94</v>
      </c>
      <c r="P65" s="341"/>
      <c r="Q65" s="341">
        <v>9.9499999999999993</v>
      </c>
      <c r="R65" s="343">
        <v>2.94</v>
      </c>
    </row>
    <row r="66" spans="10:18" x14ac:dyDescent="0.3">
      <c r="J66" s="424"/>
      <c r="K66" s="341">
        <v>2009</v>
      </c>
      <c r="L66" s="341">
        <v>3.45</v>
      </c>
      <c r="M66" s="341">
        <v>15.06</v>
      </c>
      <c r="N66" s="342">
        <v>38.47</v>
      </c>
      <c r="O66" s="341">
        <v>31.77</v>
      </c>
      <c r="P66" s="341"/>
      <c r="Q66" s="341">
        <v>8.5</v>
      </c>
      <c r="R66" s="343">
        <v>2.75</v>
      </c>
    </row>
    <row r="67" spans="10:18" x14ac:dyDescent="0.3">
      <c r="J67" s="424"/>
      <c r="K67" s="341">
        <v>2011</v>
      </c>
      <c r="L67" s="350">
        <v>3.47</v>
      </c>
      <c r="M67" s="350">
        <v>14.62</v>
      </c>
      <c r="N67" s="342">
        <v>41.62</v>
      </c>
      <c r="O67" s="350">
        <v>29.83</v>
      </c>
      <c r="P67" s="350"/>
      <c r="Q67" s="350">
        <v>7.97</v>
      </c>
      <c r="R67" s="351">
        <v>2.5</v>
      </c>
    </row>
    <row r="68" spans="10:18" ht="15" thickBot="1" x14ac:dyDescent="0.35">
      <c r="J68" s="425"/>
      <c r="K68" s="344">
        <v>2014</v>
      </c>
      <c r="L68" s="352">
        <v>3.71</v>
      </c>
      <c r="M68" s="352">
        <v>14.6</v>
      </c>
      <c r="N68" s="345">
        <v>41.36</v>
      </c>
      <c r="O68" s="352">
        <v>30.38</v>
      </c>
      <c r="P68" s="352"/>
      <c r="Q68" s="352">
        <v>7.43</v>
      </c>
      <c r="R68" s="353">
        <v>2.52</v>
      </c>
    </row>
  </sheetData>
  <mergeCells count="4">
    <mergeCell ref="J43:R43"/>
    <mergeCell ref="J45:J52"/>
    <mergeCell ref="J53:J60"/>
    <mergeCell ref="J61:J68"/>
  </mergeCell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
  <sheetViews>
    <sheetView workbookViewId="0">
      <selection activeCell="N53" sqref="N53"/>
    </sheetView>
  </sheetViews>
  <sheetFormatPr baseColWidth="10" defaultRowHeight="14.4" x14ac:dyDescent="0.3"/>
  <cols>
    <col min="1" max="1" width="12.109375" customWidth="1"/>
  </cols>
  <sheetData>
    <row r="1" spans="1:16" ht="15.6" x14ac:dyDescent="0.3">
      <c r="A1" s="19" t="s">
        <v>447</v>
      </c>
      <c r="C1" s="1"/>
      <c r="D1" s="1"/>
      <c r="E1" s="1"/>
      <c r="F1" s="1"/>
      <c r="G1" s="1"/>
      <c r="H1" s="1"/>
      <c r="I1" s="1"/>
      <c r="J1" s="1"/>
      <c r="K1" s="1"/>
      <c r="L1" s="1"/>
      <c r="M1" s="1"/>
      <c r="N1" s="1"/>
      <c r="O1" s="1"/>
    </row>
    <row r="2" spans="1:16" ht="15.6" x14ac:dyDescent="0.3">
      <c r="A2" s="1"/>
      <c r="B2" s="1"/>
      <c r="C2" s="1"/>
      <c r="D2" s="1"/>
      <c r="E2" s="1"/>
      <c r="F2" s="1"/>
      <c r="G2" s="1"/>
      <c r="H2" s="1"/>
      <c r="I2" s="1"/>
      <c r="J2" s="1"/>
      <c r="K2" s="1"/>
      <c r="L2" s="1"/>
      <c r="M2" s="1"/>
      <c r="N2" s="1"/>
      <c r="O2" s="1"/>
    </row>
    <row r="3" spans="1:16" ht="16.2" thickBot="1" x14ac:dyDescent="0.35">
      <c r="A3" s="19" t="s">
        <v>449</v>
      </c>
      <c r="B3" s="1"/>
      <c r="C3" s="1"/>
      <c r="D3" s="1"/>
      <c r="E3" s="1"/>
      <c r="F3" s="1"/>
      <c r="G3" s="1"/>
      <c r="H3" s="1"/>
      <c r="I3" s="1"/>
      <c r="J3" s="1"/>
      <c r="K3" s="1"/>
      <c r="L3" s="1"/>
      <c r="M3" s="1"/>
      <c r="N3" s="1"/>
      <c r="O3" s="1"/>
    </row>
    <row r="4" spans="1:16" ht="27" customHeight="1" x14ac:dyDescent="0.3">
      <c r="A4" s="299"/>
      <c r="B4" s="300" t="s">
        <v>413</v>
      </c>
      <c r="C4" s="300" t="s">
        <v>414</v>
      </c>
      <c r="D4" s="300" t="s">
        <v>420</v>
      </c>
      <c r="E4" s="300" t="s">
        <v>421</v>
      </c>
      <c r="F4" s="300" t="s">
        <v>448</v>
      </c>
      <c r="G4" s="300" t="s">
        <v>422</v>
      </c>
      <c r="H4" s="300" t="s">
        <v>423</v>
      </c>
      <c r="I4" s="300" t="s">
        <v>424</v>
      </c>
      <c r="J4" s="300" t="s">
        <v>425</v>
      </c>
      <c r="K4" s="300" t="s">
        <v>416</v>
      </c>
      <c r="L4" s="300" t="s">
        <v>426</v>
      </c>
      <c r="M4" s="300" t="s">
        <v>427</v>
      </c>
      <c r="N4" s="300" t="s">
        <v>428</v>
      </c>
      <c r="O4" s="300" t="s">
        <v>429</v>
      </c>
      <c r="P4" s="301" t="s">
        <v>430</v>
      </c>
    </row>
    <row r="5" spans="1:16" ht="15.45" customHeight="1" x14ac:dyDescent="0.3">
      <c r="A5" s="302">
        <v>1951</v>
      </c>
      <c r="B5" s="331"/>
      <c r="C5" s="331"/>
      <c r="D5" s="331"/>
      <c r="E5" s="331"/>
      <c r="F5" s="331"/>
      <c r="G5" s="331"/>
      <c r="H5" s="331"/>
      <c r="I5" s="331"/>
      <c r="J5" s="333">
        <f>J$8*O44/O$47</f>
        <v>0.56553015833930143</v>
      </c>
      <c r="K5" s="331"/>
      <c r="L5" s="331"/>
      <c r="M5" s="331"/>
      <c r="N5" s="331"/>
      <c r="O5" s="331"/>
      <c r="P5" s="332"/>
    </row>
    <row r="6" spans="1:16" ht="15.45" customHeight="1" x14ac:dyDescent="0.3">
      <c r="A6" s="302">
        <v>1961</v>
      </c>
      <c r="B6" s="331"/>
      <c r="C6" s="331"/>
      <c r="D6" s="331"/>
      <c r="E6" s="331"/>
      <c r="F6" s="331"/>
      <c r="G6" s="331"/>
      <c r="H6" s="331"/>
      <c r="I6" s="331"/>
      <c r="J6" s="333">
        <f>J$8*O45/O$47</f>
        <v>0.55504455215054493</v>
      </c>
      <c r="K6" s="331"/>
      <c r="L6" s="331"/>
      <c r="M6" s="331"/>
      <c r="N6" s="331"/>
      <c r="O6" s="331"/>
      <c r="P6" s="332"/>
    </row>
    <row r="7" spans="1:16" ht="15.45" customHeight="1" x14ac:dyDescent="0.3">
      <c r="A7" s="302">
        <v>1971</v>
      </c>
      <c r="B7" s="331"/>
      <c r="C7" s="331"/>
      <c r="D7" s="331"/>
      <c r="E7" s="331"/>
      <c r="F7" s="331"/>
      <c r="G7" s="331"/>
      <c r="H7" s="331"/>
      <c r="I7" s="331"/>
      <c r="J7" s="333">
        <f>J$8*O46/O$47</f>
        <v>0.63891544454625282</v>
      </c>
      <c r="K7" s="331"/>
      <c r="L7" s="331"/>
      <c r="M7" s="331"/>
      <c r="N7" s="331"/>
      <c r="O7" s="331"/>
      <c r="P7" s="332"/>
    </row>
    <row r="8" spans="1:16" ht="15.45" customHeight="1" x14ac:dyDescent="0.3">
      <c r="A8" s="302">
        <v>1981</v>
      </c>
      <c r="B8" s="331"/>
      <c r="C8" s="331"/>
      <c r="D8" s="331"/>
      <c r="E8" s="331"/>
      <c r="F8" s="331"/>
      <c r="G8" s="331"/>
      <c r="H8" s="331"/>
      <c r="I8" s="331"/>
      <c r="J8" s="333">
        <f>J9</f>
        <v>0.714260863815386</v>
      </c>
      <c r="K8" s="331"/>
      <c r="L8" s="331"/>
      <c r="M8" s="331"/>
      <c r="N8" s="331"/>
      <c r="O8" s="331"/>
      <c r="P8" s="332"/>
    </row>
    <row r="9" spans="1:16" ht="15.45" customHeight="1" x14ac:dyDescent="0.3">
      <c r="A9" s="302">
        <v>1983</v>
      </c>
      <c r="B9" s="303">
        <v>809.27440000000001</v>
      </c>
      <c r="C9" s="303">
        <v>907.40179999999998</v>
      </c>
      <c r="D9" s="51">
        <f>L22</f>
        <v>7.8E-2</v>
      </c>
      <c r="E9" s="51">
        <f>M22</f>
        <v>0.157</v>
      </c>
      <c r="F9" s="51"/>
      <c r="G9" s="303">
        <f t="shared" ref="G9:G16" si="0">(D9*B9+E9*C9)/(D9+E9)</f>
        <v>874.83185446808523</v>
      </c>
      <c r="H9" s="303">
        <f t="shared" ref="H9:H16" si="1">(P9-(D9+E9)*G9)/(1-D9-E9)</f>
        <v>1224.8072081045752</v>
      </c>
      <c r="I9" s="304">
        <f>G9/P9</f>
        <v>0.76567493824680577</v>
      </c>
      <c r="J9" s="304">
        <f>G9/H9</f>
        <v>0.714260863815386</v>
      </c>
      <c r="K9" s="283"/>
      <c r="L9" s="283"/>
      <c r="M9" s="303">
        <v>1235.9069999999999</v>
      </c>
      <c r="N9" s="303">
        <v>1058.836</v>
      </c>
      <c r="O9" s="303">
        <v>1741.5160000000001</v>
      </c>
      <c r="P9" s="305">
        <v>1142.5630000000001</v>
      </c>
    </row>
    <row r="10" spans="1:16" ht="15.6" x14ac:dyDescent="0.3">
      <c r="A10" s="302">
        <v>1987</v>
      </c>
      <c r="B10" s="303">
        <v>967.48919999999998</v>
      </c>
      <c r="C10" s="303">
        <v>1042.675</v>
      </c>
      <c r="D10" s="51">
        <f>AVERAGE(L22:L23)</f>
        <v>7.9500000000000001E-2</v>
      </c>
      <c r="E10" s="51">
        <f>AVERAGE(M22:M23)</f>
        <v>0.161</v>
      </c>
      <c r="F10" s="51"/>
      <c r="G10" s="303">
        <f t="shared" si="0"/>
        <v>1017.821481912682</v>
      </c>
      <c r="H10" s="303">
        <f t="shared" si="1"/>
        <v>1416.0578454246215</v>
      </c>
      <c r="I10" s="304">
        <f t="shared" ref="I10:I16" si="2">G10/P10</f>
        <v>0.77091218536091688</v>
      </c>
      <c r="J10" s="304">
        <f t="shared" ref="J10:J16" si="3">G10/H10</f>
        <v>0.7187711188503576</v>
      </c>
      <c r="K10" s="283"/>
      <c r="L10" s="283"/>
      <c r="M10" s="303">
        <v>1436.627</v>
      </c>
      <c r="N10" s="303">
        <v>1225.864</v>
      </c>
      <c r="O10" s="303">
        <v>2011.9079999999999</v>
      </c>
      <c r="P10" s="305">
        <v>1320.2819999999999</v>
      </c>
    </row>
    <row r="11" spans="1:16" ht="15.6" x14ac:dyDescent="0.3">
      <c r="A11" s="302">
        <v>1993</v>
      </c>
      <c r="B11" s="303">
        <v>1029.7149999999999</v>
      </c>
      <c r="C11" s="303">
        <v>1080.9390000000001</v>
      </c>
      <c r="D11" s="51">
        <f>L23</f>
        <v>8.1000000000000003E-2</v>
      </c>
      <c r="E11" s="51">
        <f>M23</f>
        <v>0.16500000000000001</v>
      </c>
      <c r="F11" s="51"/>
      <c r="G11" s="303">
        <f t="shared" si="0"/>
        <v>1064.0725609756098</v>
      </c>
      <c r="H11" s="303">
        <f t="shared" si="1"/>
        <v>1484.0253978779845</v>
      </c>
      <c r="I11" s="304">
        <f t="shared" si="2"/>
        <v>0.77066666157917207</v>
      </c>
      <c r="J11" s="304">
        <f t="shared" si="3"/>
        <v>0.71701775623054198</v>
      </c>
      <c r="K11" s="283"/>
      <c r="L11" s="283"/>
      <c r="M11" s="303">
        <v>1515.4269999999999</v>
      </c>
      <c r="N11" s="303">
        <v>1259.079</v>
      </c>
      <c r="O11" s="303">
        <v>2196.9349999999999</v>
      </c>
      <c r="P11" s="305">
        <v>1380.7170000000001</v>
      </c>
    </row>
    <row r="12" spans="1:16" ht="15.6" x14ac:dyDescent="0.3">
      <c r="A12" s="302">
        <v>1999</v>
      </c>
      <c r="B12" s="303">
        <v>1097.4929999999999</v>
      </c>
      <c r="C12" s="303">
        <v>1200.713</v>
      </c>
      <c r="D12" s="51">
        <f>AVERAGE(L23:L24)</f>
        <v>8.1499999999999989E-2</v>
      </c>
      <c r="E12" s="51">
        <f>AVERAGE(M23:M24)</f>
        <v>0.16350000000000001</v>
      </c>
      <c r="F12" s="51">
        <v>0.38200000000000001</v>
      </c>
      <c r="G12" s="303">
        <f t="shared" si="0"/>
        <v>1166.3765510204082</v>
      </c>
      <c r="H12" s="303">
        <f t="shared" si="1"/>
        <v>1653.5546291390726</v>
      </c>
      <c r="I12" s="304">
        <f t="shared" si="2"/>
        <v>0.76025263461800729</v>
      </c>
      <c r="J12" s="304">
        <f t="shared" si="3"/>
        <v>0.70537527485722384</v>
      </c>
      <c r="K12" s="303">
        <v>1399.9680000000001</v>
      </c>
      <c r="L12" s="303">
        <v>2051.489</v>
      </c>
      <c r="M12" s="283"/>
      <c r="N12" s="303">
        <v>1394.5</v>
      </c>
      <c r="O12" s="303">
        <v>2680.5970000000002</v>
      </c>
      <c r="P12" s="305">
        <v>1534.1959999999999</v>
      </c>
    </row>
    <row r="13" spans="1:16" ht="15.6" x14ac:dyDescent="0.3">
      <c r="A13" s="302">
        <v>2004</v>
      </c>
      <c r="B13" s="303">
        <v>1081.1220000000001</v>
      </c>
      <c r="C13" s="303">
        <v>1233.884</v>
      </c>
      <c r="D13" s="51">
        <f>L24</f>
        <v>8.199999999999999E-2</v>
      </c>
      <c r="E13" s="51">
        <f>M24</f>
        <v>0.16200000000000001</v>
      </c>
      <c r="F13" s="51">
        <v>0.42599999999999999</v>
      </c>
      <c r="G13" s="303">
        <f t="shared" si="0"/>
        <v>1182.545950819672</v>
      </c>
      <c r="H13" s="303">
        <f t="shared" si="1"/>
        <v>1704.8370211640213</v>
      </c>
      <c r="I13" s="304">
        <f t="shared" si="2"/>
        <v>0.74968140622700941</v>
      </c>
      <c r="J13" s="304">
        <f t="shared" si="3"/>
        <v>0.69364164206867029</v>
      </c>
      <c r="K13" s="303">
        <v>1450.114</v>
      </c>
      <c r="L13" s="303">
        <v>2239.6840000000002</v>
      </c>
      <c r="M13" s="283"/>
      <c r="N13" s="303">
        <v>1455.1569999999999</v>
      </c>
      <c r="O13" s="303">
        <v>3163.6729999999998</v>
      </c>
      <c r="P13" s="305">
        <v>1577.3979999999999</v>
      </c>
    </row>
    <row r="14" spans="1:16" ht="15.6" x14ac:dyDescent="0.3">
      <c r="A14" s="302">
        <v>2009</v>
      </c>
      <c r="B14" s="303">
        <v>1329.5550000000001</v>
      </c>
      <c r="C14" s="303">
        <v>1379.288</v>
      </c>
      <c r="D14" s="51">
        <f>AVERAGE(L24:L25)</f>
        <v>8.3999999999999991E-2</v>
      </c>
      <c r="E14" s="51">
        <f>AVERAGE(M24:M25)</f>
        <v>0.16400000000000001</v>
      </c>
      <c r="F14" s="51">
        <v>0.43</v>
      </c>
      <c r="G14" s="303">
        <f t="shared" si="0"/>
        <v>1362.4429516129032</v>
      </c>
      <c r="H14" s="303">
        <f t="shared" si="1"/>
        <v>1943.8100372340425</v>
      </c>
      <c r="I14" s="304">
        <f t="shared" si="2"/>
        <v>0.75706794982577164</v>
      </c>
      <c r="J14" s="304">
        <f t="shared" si="3"/>
        <v>0.70091363122684591</v>
      </c>
      <c r="K14" s="303">
        <v>1653.21</v>
      </c>
      <c r="L14" s="303">
        <v>2607.3040000000001</v>
      </c>
      <c r="M14" s="283"/>
      <c r="N14" s="303">
        <v>1600.9670000000001</v>
      </c>
      <c r="O14" s="303">
        <v>3923.1689999999999</v>
      </c>
      <c r="P14" s="305">
        <v>1799.6310000000001</v>
      </c>
    </row>
    <row r="15" spans="1:16" ht="15.6" x14ac:dyDescent="0.3">
      <c r="A15" s="302">
        <v>2011</v>
      </c>
      <c r="B15" s="303">
        <v>1418.8050000000001</v>
      </c>
      <c r="C15" s="303">
        <v>1664.454</v>
      </c>
      <c r="D15" s="51">
        <f>L25</f>
        <v>8.5999999999999993E-2</v>
      </c>
      <c r="E15" s="51">
        <f>M25</f>
        <v>0.16600000000000001</v>
      </c>
      <c r="F15" s="51">
        <v>0.436</v>
      </c>
      <c r="G15" s="303">
        <f t="shared" si="0"/>
        <v>1580.6214047619048</v>
      </c>
      <c r="H15" s="303">
        <f t="shared" si="1"/>
        <v>2245.6422540106951</v>
      </c>
      <c r="I15" s="304">
        <f t="shared" si="2"/>
        <v>0.76062466273153484</v>
      </c>
      <c r="J15" s="304">
        <f t="shared" si="3"/>
        <v>0.70386162441454359</v>
      </c>
      <c r="K15" s="303">
        <v>1936.6769999999999</v>
      </c>
      <c r="L15" s="303">
        <v>2972.3580000000002</v>
      </c>
      <c r="M15" s="283"/>
      <c r="N15" s="303">
        <v>1836.268</v>
      </c>
      <c r="O15" s="303">
        <v>4282.0640000000003</v>
      </c>
      <c r="P15" s="305">
        <v>2078.0569999999998</v>
      </c>
    </row>
    <row r="16" spans="1:16" ht="16.2" thickBot="1" x14ac:dyDescent="0.35">
      <c r="A16" s="306">
        <v>2014</v>
      </c>
      <c r="B16" s="307">
        <v>1346.1969999999999</v>
      </c>
      <c r="C16" s="307">
        <v>1479.25</v>
      </c>
      <c r="D16" s="308">
        <f>L25</f>
        <v>8.5999999999999993E-2</v>
      </c>
      <c r="E16" s="308">
        <f>M25</f>
        <v>0.16600000000000001</v>
      </c>
      <c r="F16" s="308">
        <v>0.44400000000000001</v>
      </c>
      <c r="G16" s="307">
        <f t="shared" si="0"/>
        <v>1433.8430238095239</v>
      </c>
      <c r="H16" s="307">
        <f t="shared" si="1"/>
        <v>1928.7681256684493</v>
      </c>
      <c r="I16" s="309">
        <f t="shared" si="2"/>
        <v>0.7947924992029165</v>
      </c>
      <c r="J16" s="309">
        <f t="shared" si="3"/>
        <v>0.74339834048875097</v>
      </c>
      <c r="K16" s="307">
        <v>1702.5830000000001</v>
      </c>
      <c r="L16" s="307">
        <v>2459.2809999999999</v>
      </c>
      <c r="M16" s="310"/>
      <c r="N16" s="307">
        <v>1688.7919999999999</v>
      </c>
      <c r="O16" s="307">
        <v>3288.26</v>
      </c>
      <c r="P16" s="311">
        <v>1804.047</v>
      </c>
    </row>
    <row r="17" spans="1:16" ht="16.2" thickBot="1" x14ac:dyDescent="0.35">
      <c r="A17" s="1"/>
      <c r="B17" s="1"/>
      <c r="C17" s="1"/>
      <c r="D17" s="1"/>
      <c r="E17" s="1"/>
      <c r="F17" s="1"/>
      <c r="G17" s="1"/>
      <c r="H17" s="1"/>
      <c r="I17" s="1"/>
      <c r="J17" s="1"/>
      <c r="K17" s="1"/>
      <c r="L17" s="1"/>
      <c r="M17" s="1"/>
      <c r="N17" s="1"/>
      <c r="O17" s="1"/>
    </row>
    <row r="18" spans="1:16" ht="31.8" thickTop="1" x14ac:dyDescent="0.3">
      <c r="A18" s="299"/>
      <c r="B18" s="300" t="s">
        <v>413</v>
      </c>
      <c r="C18" s="300" t="s">
        <v>414</v>
      </c>
      <c r="D18" s="300" t="s">
        <v>416</v>
      </c>
      <c r="E18" s="300" t="s">
        <v>426</v>
      </c>
      <c r="F18" s="300" t="s">
        <v>427</v>
      </c>
      <c r="G18" s="300" t="s">
        <v>428</v>
      </c>
      <c r="H18" s="300" t="s">
        <v>429</v>
      </c>
      <c r="I18" s="301" t="s">
        <v>430</v>
      </c>
      <c r="K18" s="67" t="s">
        <v>431</v>
      </c>
      <c r="L18" s="89" t="s">
        <v>420</v>
      </c>
      <c r="M18" s="89" t="s">
        <v>421</v>
      </c>
      <c r="N18" s="312" t="s">
        <v>432</v>
      </c>
    </row>
    <row r="19" spans="1:16" ht="15.6" x14ac:dyDescent="0.3">
      <c r="A19" s="302">
        <v>1983</v>
      </c>
      <c r="B19" s="304">
        <f t="shared" ref="B19:B26" si="4">B9/P9</f>
        <v>0.70829739804282121</v>
      </c>
      <c r="C19" s="304">
        <f t="shared" ref="C19:C26" si="5">C9/P9</f>
        <v>0.79418097732904003</v>
      </c>
      <c r="D19" s="283"/>
      <c r="E19" s="283"/>
      <c r="F19" s="304">
        <f>M9/P9</f>
        <v>1.0816970267722654</v>
      </c>
      <c r="G19" s="304">
        <f t="shared" ref="G19:G26" si="6">N9/P9</f>
        <v>0.92672001456374831</v>
      </c>
      <c r="H19" s="304">
        <f t="shared" ref="H19:H26" si="7">O9/P9</f>
        <v>1.5242187958125721</v>
      </c>
      <c r="I19" s="313">
        <f t="shared" ref="I19:I26" si="8">P9/P9</f>
        <v>1</v>
      </c>
      <c r="K19" s="314">
        <v>1951</v>
      </c>
      <c r="L19" s="315">
        <v>6.2300000000000001E-2</v>
      </c>
      <c r="M19" s="315">
        <v>0.14699999999999999</v>
      </c>
      <c r="N19" s="55">
        <f t="shared" ref="N19:N21" si="9">M19+L19</f>
        <v>0.20929999999999999</v>
      </c>
      <c r="P19" s="316"/>
    </row>
    <row r="20" spans="1:16" ht="15.6" x14ac:dyDescent="0.3">
      <c r="A20" s="302">
        <v>1987</v>
      </c>
      <c r="B20" s="304">
        <f t="shared" si="4"/>
        <v>0.73278981308538638</v>
      </c>
      <c r="C20" s="304">
        <f t="shared" si="5"/>
        <v>0.78973658657771595</v>
      </c>
      <c r="D20" s="283"/>
      <c r="E20" s="283"/>
      <c r="F20" s="304">
        <f>M10/P10</f>
        <v>1.0881213255955924</v>
      </c>
      <c r="G20" s="304">
        <f t="shared" si="6"/>
        <v>0.92848649000743788</v>
      </c>
      <c r="H20" s="304">
        <f t="shared" si="7"/>
        <v>1.5238471781028597</v>
      </c>
      <c r="I20" s="313">
        <f t="shared" si="8"/>
        <v>1</v>
      </c>
      <c r="K20" s="314">
        <v>1961</v>
      </c>
      <c r="L20" s="315">
        <v>6.9000000000000006E-2</v>
      </c>
      <c r="M20" s="315">
        <v>0.14699999999999999</v>
      </c>
      <c r="N20" s="55">
        <f t="shared" si="9"/>
        <v>0.216</v>
      </c>
      <c r="P20" s="316"/>
    </row>
    <row r="21" spans="1:16" ht="15.6" x14ac:dyDescent="0.3">
      <c r="A21" s="302">
        <v>1993</v>
      </c>
      <c r="B21" s="304">
        <f t="shared" si="4"/>
        <v>0.74578280704880129</v>
      </c>
      <c r="C21" s="304">
        <f t="shared" si="5"/>
        <v>0.78288237198499044</v>
      </c>
      <c r="D21" s="283"/>
      <c r="E21" s="283"/>
      <c r="F21" s="304">
        <f>M11/P11</f>
        <v>1.0975652505183899</v>
      </c>
      <c r="G21" s="304">
        <f t="shared" si="6"/>
        <v>0.9119022942427738</v>
      </c>
      <c r="H21" s="304">
        <f t="shared" si="7"/>
        <v>1.5911551751734785</v>
      </c>
      <c r="I21" s="313">
        <f t="shared" si="8"/>
        <v>1</v>
      </c>
      <c r="K21" s="314">
        <v>1971</v>
      </c>
      <c r="L21" s="315">
        <v>6.9000000000000006E-2</v>
      </c>
      <c r="M21" s="315">
        <v>0.14599999999999999</v>
      </c>
      <c r="N21" s="55">
        <f t="shared" si="9"/>
        <v>0.215</v>
      </c>
      <c r="P21" s="316"/>
    </row>
    <row r="22" spans="1:16" ht="15.6" x14ac:dyDescent="0.3">
      <c r="A22" s="302">
        <v>1999</v>
      </c>
      <c r="B22" s="304">
        <f t="shared" si="4"/>
        <v>0.71535384005694191</v>
      </c>
      <c r="C22" s="304">
        <f t="shared" si="5"/>
        <v>0.7826333793074679</v>
      </c>
      <c r="D22" s="304">
        <f>K12/P12</f>
        <v>0.9125092230718892</v>
      </c>
      <c r="E22" s="304">
        <f>L12/P12</f>
        <v>1.3371753022429991</v>
      </c>
      <c r="F22" s="304"/>
      <c r="G22" s="304">
        <f t="shared" si="6"/>
        <v>0.90894514129876502</v>
      </c>
      <c r="H22" s="304">
        <f t="shared" si="7"/>
        <v>1.7472324266260637</v>
      </c>
      <c r="I22" s="313">
        <f t="shared" si="8"/>
        <v>1</v>
      </c>
      <c r="K22" s="317">
        <v>1981</v>
      </c>
      <c r="L22" s="315">
        <v>7.8E-2</v>
      </c>
      <c r="M22" s="315">
        <v>0.157</v>
      </c>
      <c r="N22" s="55">
        <f>M22+L22</f>
        <v>0.23499999999999999</v>
      </c>
    </row>
    <row r="23" spans="1:16" ht="15.6" x14ac:dyDescent="0.3">
      <c r="A23" s="302">
        <v>2004</v>
      </c>
      <c r="B23" s="304">
        <f t="shared" si="4"/>
        <v>0.68538314363274211</v>
      </c>
      <c r="C23" s="304">
        <f t="shared" si="5"/>
        <v>0.7822274403796633</v>
      </c>
      <c r="D23" s="304">
        <f>K13/P13</f>
        <v>0.91930761925652249</v>
      </c>
      <c r="E23" s="304">
        <f>L13/P13</f>
        <v>1.419859794420939</v>
      </c>
      <c r="F23" s="304"/>
      <c r="G23" s="304">
        <f t="shared" si="6"/>
        <v>0.9225046564025059</v>
      </c>
      <c r="H23" s="304">
        <f t="shared" si="7"/>
        <v>2.0056276221980753</v>
      </c>
      <c r="I23" s="313">
        <f t="shared" si="8"/>
        <v>1</v>
      </c>
      <c r="K23" s="317">
        <v>1991</v>
      </c>
      <c r="L23" s="315">
        <v>8.1000000000000003E-2</v>
      </c>
      <c r="M23" s="315">
        <v>0.16500000000000001</v>
      </c>
      <c r="N23" s="55">
        <f>M23+L23</f>
        <v>0.246</v>
      </c>
    </row>
    <row r="24" spans="1:16" ht="15.6" x14ac:dyDescent="0.3">
      <c r="A24" s="302">
        <v>2009</v>
      </c>
      <c r="B24" s="304">
        <f t="shared" si="4"/>
        <v>0.73879311925611413</v>
      </c>
      <c r="C24" s="304">
        <f t="shared" si="5"/>
        <v>0.76642822889803519</v>
      </c>
      <c r="D24" s="304">
        <f>K14/P14</f>
        <v>0.91863832085577546</v>
      </c>
      <c r="E24" s="304">
        <f>L14/P14</f>
        <v>1.4487992260635651</v>
      </c>
      <c r="F24" s="304"/>
      <c r="G24" s="304">
        <f t="shared" si="6"/>
        <v>0.88960848084968536</v>
      </c>
      <c r="H24" s="304">
        <f t="shared" si="7"/>
        <v>2.1799852303055456</v>
      </c>
      <c r="I24" s="313">
        <f t="shared" si="8"/>
        <v>1</v>
      </c>
      <c r="K24" s="317">
        <v>2001</v>
      </c>
      <c r="L24" s="315">
        <v>8.199999999999999E-2</v>
      </c>
      <c r="M24" s="315">
        <v>0.16200000000000001</v>
      </c>
      <c r="N24" s="55">
        <f>M24+L24</f>
        <v>0.24399999999999999</v>
      </c>
    </row>
    <row r="25" spans="1:16" ht="16.2" thickBot="1" x14ac:dyDescent="0.35">
      <c r="A25" s="302">
        <v>2011</v>
      </c>
      <c r="B25" s="304">
        <f t="shared" si="4"/>
        <v>0.68275557407713083</v>
      </c>
      <c r="C25" s="304">
        <f t="shared" si="5"/>
        <v>0.80096647974526214</v>
      </c>
      <c r="D25" s="304">
        <f>K15/P15</f>
        <v>0.93196529257859628</v>
      </c>
      <c r="E25" s="304">
        <f>L15/P15</f>
        <v>1.4303544128000341</v>
      </c>
      <c r="F25" s="304"/>
      <c r="G25" s="304">
        <f t="shared" si="6"/>
        <v>0.88364659872178686</v>
      </c>
      <c r="H25" s="304">
        <f t="shared" si="7"/>
        <v>2.0606095020492705</v>
      </c>
      <c r="I25" s="313">
        <f t="shared" si="8"/>
        <v>1</v>
      </c>
      <c r="K25" s="65">
        <v>2011</v>
      </c>
      <c r="L25" s="318">
        <v>8.5999999999999993E-2</v>
      </c>
      <c r="M25" s="318">
        <v>0.16600000000000001</v>
      </c>
      <c r="N25" s="75">
        <f>M25+L25</f>
        <v>0.252</v>
      </c>
    </row>
    <row r="26" spans="1:16" ht="16.8" thickTop="1" thickBot="1" x14ac:dyDescent="0.35">
      <c r="A26" s="306">
        <v>2014</v>
      </c>
      <c r="B26" s="309">
        <f t="shared" si="4"/>
        <v>0.74620949454199359</v>
      </c>
      <c r="C26" s="309">
        <f t="shared" si="5"/>
        <v>0.81996200764170779</v>
      </c>
      <c r="D26" s="309">
        <f>K16/P16</f>
        <v>0.94375756285728696</v>
      </c>
      <c r="E26" s="309">
        <f>L16/P16</f>
        <v>1.3632022890756172</v>
      </c>
      <c r="F26" s="309"/>
      <c r="G26" s="309">
        <f t="shared" si="6"/>
        <v>0.93611308352831157</v>
      </c>
      <c r="H26" s="309">
        <f t="shared" si="7"/>
        <v>1.8227130446158</v>
      </c>
      <c r="I26" s="319">
        <f t="shared" si="8"/>
        <v>1</v>
      </c>
      <c r="K26" s="1" t="s">
        <v>433</v>
      </c>
      <c r="L26" s="1"/>
      <c r="M26" s="1"/>
      <c r="N26" s="1"/>
    </row>
    <row r="27" spans="1:16" ht="15.6" x14ac:dyDescent="0.3">
      <c r="A27" s="1"/>
      <c r="B27" s="1"/>
      <c r="C27" s="1"/>
      <c r="D27" s="1"/>
      <c r="E27" s="1"/>
      <c r="F27" s="1"/>
      <c r="G27" s="1"/>
      <c r="H27" s="1"/>
      <c r="I27" s="1"/>
      <c r="J27" s="1"/>
      <c r="O27" s="1"/>
    </row>
    <row r="28" spans="1:16" ht="15.6" x14ac:dyDescent="0.3">
      <c r="A28" s="1"/>
      <c r="B28" s="1"/>
      <c r="C28" s="1"/>
      <c r="D28" s="1"/>
      <c r="E28" s="1"/>
      <c r="F28" s="1"/>
      <c r="G28" s="1"/>
      <c r="H28" s="1"/>
      <c r="I28" s="1"/>
      <c r="J28" s="1"/>
      <c r="O28" s="1"/>
    </row>
    <row r="29" spans="1:16" ht="16.2" thickBot="1" x14ac:dyDescent="0.35">
      <c r="A29" s="19" t="s">
        <v>434</v>
      </c>
      <c r="B29" s="285"/>
      <c r="C29" s="285"/>
      <c r="D29" s="285"/>
      <c r="E29" s="285"/>
      <c r="F29" s="285"/>
      <c r="G29" s="285"/>
      <c r="H29" s="285"/>
      <c r="I29" s="285"/>
      <c r="J29" s="285"/>
    </row>
    <row r="30" spans="1:16" ht="16.2" thickBot="1" x14ac:dyDescent="0.35">
      <c r="A30" s="432" t="s">
        <v>430</v>
      </c>
      <c r="B30" s="433"/>
      <c r="C30" s="433"/>
      <c r="D30" s="433"/>
      <c r="E30" s="433"/>
      <c r="F30" s="433"/>
      <c r="G30" s="433"/>
      <c r="H30" s="433"/>
      <c r="I30" s="433"/>
      <c r="J30" s="434"/>
      <c r="K30" s="1"/>
      <c r="L30" s="1"/>
      <c r="M30" s="1"/>
      <c r="N30" s="1"/>
    </row>
    <row r="31" spans="1:16" ht="15.6" x14ac:dyDescent="0.3">
      <c r="A31" s="320"/>
      <c r="B31" s="429" t="s">
        <v>435</v>
      </c>
      <c r="C31" s="430"/>
      <c r="D31" s="431"/>
      <c r="E31" s="429" t="s">
        <v>436</v>
      </c>
      <c r="F31" s="430"/>
      <c r="G31" s="431"/>
      <c r="H31" s="429" t="s">
        <v>437</v>
      </c>
      <c r="I31" s="430"/>
      <c r="J31" s="431"/>
      <c r="K31" s="1"/>
      <c r="L31" s="1"/>
      <c r="M31" s="1"/>
      <c r="N31" s="1"/>
    </row>
    <row r="32" spans="1:16" ht="15.6" x14ac:dyDescent="0.3">
      <c r="A32" s="320" t="s">
        <v>402</v>
      </c>
      <c r="B32" s="320" t="s">
        <v>438</v>
      </c>
      <c r="C32" s="321" t="s">
        <v>439</v>
      </c>
      <c r="D32" s="322" t="s">
        <v>305</v>
      </c>
      <c r="E32" s="320" t="s">
        <v>438</v>
      </c>
      <c r="F32" s="321" t="s">
        <v>439</v>
      </c>
      <c r="G32" s="322" t="s">
        <v>305</v>
      </c>
      <c r="H32" s="320" t="s">
        <v>438</v>
      </c>
      <c r="I32" s="321" t="s">
        <v>439</v>
      </c>
      <c r="J32" s="322" t="s">
        <v>305</v>
      </c>
      <c r="K32" s="285"/>
      <c r="L32" s="1"/>
      <c r="M32" s="1"/>
      <c r="N32" s="1"/>
    </row>
    <row r="33" spans="1:15" ht="15.6" x14ac:dyDescent="0.3">
      <c r="A33" s="320">
        <v>1951</v>
      </c>
      <c r="B33" s="320">
        <v>4.87</v>
      </c>
      <c r="C33" s="321">
        <v>19.02</v>
      </c>
      <c r="D33" s="322">
        <v>12.1</v>
      </c>
      <c r="E33" s="320">
        <v>22.33</v>
      </c>
      <c r="F33" s="321">
        <v>45.6</v>
      </c>
      <c r="G33" s="322">
        <v>34.590000000000003</v>
      </c>
      <c r="H33" s="320">
        <v>8.86</v>
      </c>
      <c r="I33" s="321">
        <v>27.15</v>
      </c>
      <c r="J33" s="322">
        <v>18.32</v>
      </c>
      <c r="K33" s="285"/>
      <c r="L33" s="1"/>
      <c r="M33" s="1"/>
      <c r="N33" s="1"/>
    </row>
    <row r="34" spans="1:15" ht="15.6" x14ac:dyDescent="0.3">
      <c r="A34" s="320">
        <v>1961</v>
      </c>
      <c r="B34" s="320">
        <v>10.1</v>
      </c>
      <c r="C34" s="321">
        <v>34.299999999999997</v>
      </c>
      <c r="D34" s="322">
        <v>22.5</v>
      </c>
      <c r="E34" s="320">
        <v>40.5</v>
      </c>
      <c r="F34" s="321">
        <v>66</v>
      </c>
      <c r="G34" s="322">
        <v>54.4</v>
      </c>
      <c r="H34" s="320">
        <v>15.35</v>
      </c>
      <c r="I34" s="321">
        <v>40.4</v>
      </c>
      <c r="J34" s="322">
        <v>28.31</v>
      </c>
      <c r="K34" s="285"/>
      <c r="L34" s="1"/>
      <c r="M34" s="1"/>
      <c r="N34" s="1"/>
    </row>
    <row r="35" spans="1:15" ht="15.6" x14ac:dyDescent="0.3">
      <c r="A35" s="320">
        <v>1971</v>
      </c>
      <c r="B35" s="320">
        <v>15.5</v>
      </c>
      <c r="C35" s="321">
        <v>48.6</v>
      </c>
      <c r="D35" s="322">
        <v>27.9</v>
      </c>
      <c r="E35" s="320">
        <v>48.8</v>
      </c>
      <c r="F35" s="321">
        <v>69.8</v>
      </c>
      <c r="G35" s="322">
        <v>60.2</v>
      </c>
      <c r="H35" s="320">
        <v>21.97</v>
      </c>
      <c r="I35" s="321">
        <v>45.96</v>
      </c>
      <c r="J35" s="322">
        <v>34.450000000000003</v>
      </c>
      <c r="K35" s="285"/>
      <c r="L35" s="1"/>
      <c r="M35" s="1"/>
      <c r="N35" s="1"/>
    </row>
    <row r="36" spans="1:15" ht="15.6" x14ac:dyDescent="0.3">
      <c r="A36" s="320">
        <v>1981</v>
      </c>
      <c r="B36" s="320">
        <v>21.7</v>
      </c>
      <c r="C36" s="321">
        <v>49.6</v>
      </c>
      <c r="D36" s="322">
        <v>36</v>
      </c>
      <c r="E36" s="320">
        <v>56.3</v>
      </c>
      <c r="F36" s="321">
        <v>76.7</v>
      </c>
      <c r="G36" s="322">
        <v>67.2</v>
      </c>
      <c r="H36" s="320">
        <v>29.76</v>
      </c>
      <c r="I36" s="321">
        <v>56.38</v>
      </c>
      <c r="J36" s="322">
        <v>43.57</v>
      </c>
      <c r="K36" s="285"/>
      <c r="L36" s="1"/>
      <c r="M36" s="1"/>
      <c r="N36" s="1"/>
    </row>
    <row r="37" spans="1:15" ht="15.6" x14ac:dyDescent="0.3">
      <c r="A37" s="320">
        <v>1991</v>
      </c>
      <c r="B37" s="320">
        <v>30.17</v>
      </c>
      <c r="C37" s="321">
        <v>56.96</v>
      </c>
      <c r="D37" s="322">
        <v>36</v>
      </c>
      <c r="E37" s="320">
        <v>64.05</v>
      </c>
      <c r="F37" s="321">
        <v>81.09</v>
      </c>
      <c r="G37" s="322">
        <v>67.2</v>
      </c>
      <c r="H37" s="320">
        <v>39.29</v>
      </c>
      <c r="I37" s="321">
        <v>64.13</v>
      </c>
      <c r="J37" s="322">
        <v>52.21</v>
      </c>
      <c r="K37" s="285"/>
      <c r="L37" s="1"/>
      <c r="M37" s="1"/>
      <c r="N37" s="1"/>
    </row>
    <row r="38" spans="1:15" ht="15.6" x14ac:dyDescent="0.3">
      <c r="A38" s="320">
        <v>2001</v>
      </c>
      <c r="B38" s="320">
        <v>46.7</v>
      </c>
      <c r="C38" s="321">
        <v>71.400000000000006</v>
      </c>
      <c r="D38" s="322">
        <v>59.4</v>
      </c>
      <c r="E38" s="320">
        <v>73.2</v>
      </c>
      <c r="F38" s="321">
        <v>86.7</v>
      </c>
      <c r="G38" s="322">
        <v>80.3</v>
      </c>
      <c r="H38" s="320">
        <v>53.67</v>
      </c>
      <c r="I38" s="321">
        <v>75.260000000000005</v>
      </c>
      <c r="J38" s="322">
        <v>64.83</v>
      </c>
      <c r="K38" s="285"/>
      <c r="L38" s="1"/>
      <c r="M38" s="1"/>
      <c r="N38" s="1"/>
    </row>
    <row r="39" spans="1:15" ht="15.6" thickBot="1" x14ac:dyDescent="0.35">
      <c r="A39" s="323">
        <v>2011</v>
      </c>
      <c r="B39" s="323">
        <v>58.75</v>
      </c>
      <c r="C39" s="324">
        <v>78.569999999999993</v>
      </c>
      <c r="D39" s="325">
        <v>67.8</v>
      </c>
      <c r="E39" s="323">
        <v>79.92</v>
      </c>
      <c r="F39" s="324">
        <v>89.67</v>
      </c>
      <c r="G39" s="325">
        <v>84.1</v>
      </c>
      <c r="H39" s="323">
        <v>65.459999999999994</v>
      </c>
      <c r="I39" s="324">
        <v>82.14</v>
      </c>
      <c r="J39" s="325">
        <v>74.040000000000006</v>
      </c>
      <c r="K39" s="285"/>
    </row>
    <row r="40" spans="1:15" ht="15.6" thickBot="1" x14ac:dyDescent="0.35">
      <c r="A40" s="285"/>
      <c r="B40" s="285"/>
      <c r="C40" s="285"/>
      <c r="D40" s="285"/>
      <c r="E40" s="285"/>
      <c r="F40" s="285"/>
      <c r="G40" s="285"/>
      <c r="H40" s="285"/>
      <c r="I40" s="285"/>
      <c r="J40" s="285"/>
      <c r="K40" s="285"/>
    </row>
    <row r="41" spans="1:15" ht="16.2" thickBot="1" x14ac:dyDescent="0.35">
      <c r="A41" s="426" t="s">
        <v>414</v>
      </c>
      <c r="B41" s="427"/>
      <c r="C41" s="427"/>
      <c r="D41" s="427"/>
      <c r="E41" s="427"/>
      <c r="F41" s="427"/>
      <c r="G41" s="427"/>
      <c r="H41" s="427"/>
      <c r="I41" s="427"/>
      <c r="J41" s="428"/>
      <c r="K41" s="285"/>
    </row>
    <row r="42" spans="1:15" ht="15" x14ac:dyDescent="0.3">
      <c r="A42" s="320"/>
      <c r="B42" s="429" t="s">
        <v>435</v>
      </c>
      <c r="C42" s="430"/>
      <c r="D42" s="431"/>
      <c r="E42" s="429" t="s">
        <v>436</v>
      </c>
      <c r="F42" s="430"/>
      <c r="G42" s="431"/>
      <c r="H42" s="429" t="s">
        <v>437</v>
      </c>
      <c r="I42" s="430"/>
      <c r="J42" s="431"/>
      <c r="K42" s="285"/>
    </row>
    <row r="43" spans="1:15" ht="15" x14ac:dyDescent="0.3">
      <c r="A43" s="320" t="s">
        <v>402</v>
      </c>
      <c r="B43" s="320" t="s">
        <v>438</v>
      </c>
      <c r="C43" s="321" t="s">
        <v>439</v>
      </c>
      <c r="D43" s="322" t="s">
        <v>305</v>
      </c>
      <c r="E43" s="320" t="s">
        <v>438</v>
      </c>
      <c r="F43" s="321" t="s">
        <v>439</v>
      </c>
      <c r="G43" s="322" t="s">
        <v>305</v>
      </c>
      <c r="H43" s="320" t="s">
        <v>438</v>
      </c>
      <c r="I43" s="321" t="s">
        <v>439</v>
      </c>
      <c r="J43" s="322" t="s">
        <v>305</v>
      </c>
      <c r="K43" s="285" t="s">
        <v>440</v>
      </c>
      <c r="L43" s="326" t="s">
        <v>422</v>
      </c>
      <c r="M43" s="327" t="s">
        <v>441</v>
      </c>
      <c r="N43" s="326" t="s">
        <v>442</v>
      </c>
      <c r="O43" s="326" t="s">
        <v>443</v>
      </c>
    </row>
    <row r="44" spans="1:15" ht="15.6" x14ac:dyDescent="0.3">
      <c r="A44" s="320">
        <v>1951</v>
      </c>
      <c r="B44" s="320"/>
      <c r="C44" s="321"/>
      <c r="D44" s="322"/>
      <c r="E44" s="320"/>
      <c r="F44" s="321"/>
      <c r="G44" s="322"/>
      <c r="H44" s="320"/>
      <c r="I44" s="321"/>
      <c r="J44" s="328">
        <f>J45*((J46/J48)^0.5)</f>
        <v>6.4311945322364128</v>
      </c>
      <c r="K44" s="329">
        <f t="shared" ref="K44:K50" si="10">J44/J33</f>
        <v>0.35104773647578674</v>
      </c>
      <c r="L44" s="330">
        <f>0.01*(M19*J44+L19*J55)/(L19+M19)</f>
        <v>6.3508255705662861E-2</v>
      </c>
      <c r="M44" s="330">
        <f>L44/(0.01*J33)</f>
        <v>0.34666078441955711</v>
      </c>
      <c r="N44" s="330">
        <f>0.01*(J33-N19*L44)/(1-N19)</f>
        <v>0.23152532846946766</v>
      </c>
      <c r="O44" s="330">
        <f>L44/N44</f>
        <v>0.27430370631798062</v>
      </c>
    </row>
    <row r="45" spans="1:15" ht="15.6" x14ac:dyDescent="0.3">
      <c r="A45" s="320">
        <v>1961</v>
      </c>
      <c r="B45" s="320">
        <v>2.52</v>
      </c>
      <c r="C45" s="321">
        <v>15.06</v>
      </c>
      <c r="D45" s="322">
        <v>8.89</v>
      </c>
      <c r="E45" s="320">
        <v>10.039999999999999</v>
      </c>
      <c r="F45" s="321">
        <v>32.21</v>
      </c>
      <c r="G45" s="322">
        <v>21.81</v>
      </c>
      <c r="H45" s="320">
        <v>3.29</v>
      </c>
      <c r="I45" s="321">
        <v>16.96</v>
      </c>
      <c r="J45" s="322">
        <v>10.27</v>
      </c>
      <c r="K45" s="329">
        <f t="shared" si="10"/>
        <v>0.36276933945602263</v>
      </c>
      <c r="L45" s="330">
        <f t="shared" ref="L45:L50" si="11">0.01*(M20*J45+L20*J56)/(L20+M20)</f>
        <v>9.7141666666666654E-2</v>
      </c>
      <c r="M45" s="330">
        <f t="shared" ref="M45:M50" si="12">L45/(0.01*J34)</f>
        <v>0.34313552337218878</v>
      </c>
      <c r="N45" s="330">
        <f t="shared" ref="N45:N50" si="13">0.01*(J34-N20*L45)/(1-N20)</f>
        <v>0.36082930357142856</v>
      </c>
      <c r="O45" s="330">
        <f t="shared" ref="O45:O50" si="14">L45/N45</f>
        <v>0.26921778720623452</v>
      </c>
    </row>
    <row r="46" spans="1:15" ht="15.6" x14ac:dyDescent="0.3">
      <c r="A46" s="320">
        <v>1971</v>
      </c>
      <c r="B46" s="320">
        <v>5.0599999999999996</v>
      </c>
      <c r="C46" s="321">
        <v>20.04</v>
      </c>
      <c r="D46" s="322">
        <v>12.77</v>
      </c>
      <c r="E46" s="320">
        <v>16.09</v>
      </c>
      <c r="F46" s="321">
        <v>38.93</v>
      </c>
      <c r="G46" s="322">
        <v>28.65</v>
      </c>
      <c r="H46" s="320">
        <v>6.44</v>
      </c>
      <c r="I46" s="321">
        <v>22.36</v>
      </c>
      <c r="J46" s="322">
        <v>14.67</v>
      </c>
      <c r="K46" s="329">
        <f t="shared" si="10"/>
        <v>0.42583454281567484</v>
      </c>
      <c r="L46" s="330">
        <f t="shared" si="11"/>
        <v>0.13588465116279069</v>
      </c>
      <c r="M46" s="330">
        <f t="shared" si="12"/>
        <v>0.3944402065683329</v>
      </c>
      <c r="N46" s="330">
        <f t="shared" si="13"/>
        <v>0.43848133503184711</v>
      </c>
      <c r="O46" s="330">
        <f t="shared" si="14"/>
        <v>0.30989837036717044</v>
      </c>
    </row>
    <row r="47" spans="1:15" ht="15.6" x14ac:dyDescent="0.3">
      <c r="A47" s="320">
        <v>1981</v>
      </c>
      <c r="B47" s="320">
        <v>8.4499999999999993</v>
      </c>
      <c r="C47" s="321">
        <v>27.91</v>
      </c>
      <c r="D47" s="322">
        <v>18.48</v>
      </c>
      <c r="E47" s="320">
        <v>24.34</v>
      </c>
      <c r="F47" s="321">
        <v>47.54</v>
      </c>
      <c r="G47" s="322">
        <v>36.6</v>
      </c>
      <c r="H47" s="320">
        <v>10.93</v>
      </c>
      <c r="I47" s="321">
        <v>31.12</v>
      </c>
      <c r="J47" s="322">
        <v>21.38</v>
      </c>
      <c r="K47" s="329">
        <f t="shared" si="10"/>
        <v>0.49070461326600867</v>
      </c>
      <c r="L47" s="330">
        <f t="shared" si="11"/>
        <v>0.19710468085106383</v>
      </c>
      <c r="M47" s="330">
        <f t="shared" si="12"/>
        <v>0.45238623101001563</v>
      </c>
      <c r="N47" s="330">
        <f t="shared" si="13"/>
        <v>0.56893699869281045</v>
      </c>
      <c r="O47" s="330">
        <f t="shared" si="14"/>
        <v>0.34644377374635771</v>
      </c>
    </row>
    <row r="48" spans="1:15" ht="15.6" x14ac:dyDescent="0.3">
      <c r="A48" s="320">
        <v>1991</v>
      </c>
      <c r="B48" s="320">
        <v>19.45</v>
      </c>
      <c r="C48" s="321">
        <v>45.95</v>
      </c>
      <c r="D48" s="322">
        <v>33.25</v>
      </c>
      <c r="E48" s="320">
        <v>42.29</v>
      </c>
      <c r="F48" s="321">
        <v>66.900000000000006</v>
      </c>
      <c r="G48" s="322">
        <v>55.11</v>
      </c>
      <c r="H48" s="320">
        <v>23.76</v>
      </c>
      <c r="I48" s="321">
        <v>49.91</v>
      </c>
      <c r="J48" s="322">
        <v>37.409999999999997</v>
      </c>
      <c r="K48" s="329">
        <f t="shared" si="10"/>
        <v>0.71652940049798886</v>
      </c>
      <c r="L48" s="330">
        <f t="shared" si="11"/>
        <v>0.34838414634146342</v>
      </c>
      <c r="M48" s="330">
        <f t="shared" si="12"/>
        <v>0.66727474878656079</v>
      </c>
      <c r="N48" s="330">
        <f t="shared" si="13"/>
        <v>0.69130368037135281</v>
      </c>
      <c r="O48" s="330">
        <f t="shared" si="14"/>
        <v>0.50395239636843725</v>
      </c>
    </row>
    <row r="49" spans="1:15" ht="15.6" x14ac:dyDescent="0.3">
      <c r="A49" s="320">
        <v>2001</v>
      </c>
      <c r="B49" s="320">
        <v>37.840000000000003</v>
      </c>
      <c r="C49" s="321">
        <v>63.66</v>
      </c>
      <c r="D49" s="322">
        <v>51.16</v>
      </c>
      <c r="E49" s="320">
        <v>57.49</v>
      </c>
      <c r="F49" s="321">
        <v>77.930000000000007</v>
      </c>
      <c r="G49" s="322">
        <v>68.12</v>
      </c>
      <c r="H49" s="320">
        <v>41.9</v>
      </c>
      <c r="I49" s="321">
        <v>54.69</v>
      </c>
      <c r="J49" s="322">
        <v>34.76</v>
      </c>
      <c r="K49" s="329">
        <f t="shared" si="10"/>
        <v>0.53617152552830483</v>
      </c>
      <c r="L49" s="330">
        <f t="shared" si="11"/>
        <v>0.38907049180327874</v>
      </c>
      <c r="M49" s="330">
        <f t="shared" si="12"/>
        <v>0.60013958322270355</v>
      </c>
      <c r="N49" s="330">
        <f t="shared" si="13"/>
        <v>0.85628395238095234</v>
      </c>
      <c r="O49" s="330">
        <f t="shared" si="14"/>
        <v>0.45437087863370945</v>
      </c>
    </row>
    <row r="50" spans="1:15" ht="16.2" thickBot="1" x14ac:dyDescent="0.35">
      <c r="A50" s="323">
        <v>2011</v>
      </c>
      <c r="B50" s="323">
        <v>52.6</v>
      </c>
      <c r="C50" s="324">
        <v>72.599999999999994</v>
      </c>
      <c r="D50" s="325">
        <v>62.8</v>
      </c>
      <c r="E50" s="323">
        <v>68.599999999999994</v>
      </c>
      <c r="F50" s="324">
        <v>83.3</v>
      </c>
      <c r="G50" s="325">
        <v>76.2</v>
      </c>
      <c r="H50" s="323">
        <v>56.5</v>
      </c>
      <c r="I50" s="324">
        <v>75.2</v>
      </c>
      <c r="J50" s="325">
        <v>66.099999999999994</v>
      </c>
      <c r="K50" s="329">
        <f t="shared" si="10"/>
        <v>0.89276066990815761</v>
      </c>
      <c r="L50" s="330">
        <f t="shared" si="11"/>
        <v>0.63663333333333338</v>
      </c>
      <c r="M50" s="330">
        <f t="shared" si="12"/>
        <v>0.85985053124437238</v>
      </c>
      <c r="N50" s="330">
        <f t="shared" si="13"/>
        <v>0.98769476470588258</v>
      </c>
      <c r="O50" s="330">
        <f t="shared" si="14"/>
        <v>0.64456485554311016</v>
      </c>
    </row>
    <row r="51" spans="1:15" ht="15.6" thickBot="1" x14ac:dyDescent="0.35">
      <c r="A51" s="285"/>
      <c r="B51" s="285"/>
      <c r="C51" s="285"/>
      <c r="D51" s="285"/>
      <c r="E51" s="285"/>
      <c r="F51" s="285"/>
      <c r="G51" s="285"/>
      <c r="H51" s="285"/>
      <c r="I51" s="285"/>
      <c r="J51" s="285"/>
      <c r="K51" s="285"/>
    </row>
    <row r="52" spans="1:15" ht="16.2" thickBot="1" x14ac:dyDescent="0.35">
      <c r="A52" s="426" t="s">
        <v>413</v>
      </c>
      <c r="B52" s="427"/>
      <c r="C52" s="427"/>
      <c r="D52" s="427"/>
      <c r="E52" s="427"/>
      <c r="F52" s="427"/>
      <c r="G52" s="427"/>
      <c r="H52" s="427"/>
      <c r="I52" s="427"/>
      <c r="J52" s="428"/>
      <c r="K52" s="285"/>
    </row>
    <row r="53" spans="1:15" ht="15" x14ac:dyDescent="0.3">
      <c r="A53" s="320"/>
      <c r="B53" s="429" t="s">
        <v>435</v>
      </c>
      <c r="C53" s="430"/>
      <c r="D53" s="431"/>
      <c r="E53" s="429" t="s">
        <v>436</v>
      </c>
      <c r="F53" s="430"/>
      <c r="G53" s="431"/>
      <c r="H53" s="429" t="s">
        <v>437</v>
      </c>
      <c r="I53" s="430"/>
      <c r="J53" s="431"/>
      <c r="K53" s="285"/>
    </row>
    <row r="54" spans="1:15" ht="15" x14ac:dyDescent="0.3">
      <c r="A54" s="320" t="s">
        <v>402</v>
      </c>
      <c r="B54" s="320" t="s">
        <v>438</v>
      </c>
      <c r="C54" s="321" t="s">
        <v>439</v>
      </c>
      <c r="D54" s="322" t="s">
        <v>305</v>
      </c>
      <c r="E54" s="320" t="s">
        <v>438</v>
      </c>
      <c r="F54" s="321" t="s">
        <v>439</v>
      </c>
      <c r="G54" s="322" t="s">
        <v>305</v>
      </c>
      <c r="H54" s="320" t="s">
        <v>438</v>
      </c>
      <c r="I54" s="321" t="s">
        <v>439</v>
      </c>
      <c r="J54" s="322" t="s">
        <v>305</v>
      </c>
      <c r="K54" s="285" t="s">
        <v>444</v>
      </c>
    </row>
    <row r="55" spans="1:15" ht="15.6" x14ac:dyDescent="0.3">
      <c r="A55" s="320">
        <v>1951</v>
      </c>
      <c r="B55" s="320"/>
      <c r="C55" s="321"/>
      <c r="D55" s="322"/>
      <c r="E55" s="320"/>
      <c r="F55" s="321"/>
      <c r="G55" s="322"/>
      <c r="H55" s="320"/>
      <c r="I55" s="321"/>
      <c r="J55" s="328">
        <f>J56*((J56/J58)^(0.5))</f>
        <v>6.1611909419064395</v>
      </c>
      <c r="K55" s="122">
        <f t="shared" ref="K55:K61" si="15">J55/J33</f>
        <v>0.33630954923070083</v>
      </c>
    </row>
    <row r="56" spans="1:15" ht="15" x14ac:dyDescent="0.3">
      <c r="A56" s="320">
        <v>1961</v>
      </c>
      <c r="B56" s="320">
        <v>2.9</v>
      </c>
      <c r="C56" s="321">
        <v>13.37</v>
      </c>
      <c r="D56" s="322">
        <v>8.16</v>
      </c>
      <c r="E56" s="320">
        <v>13.45</v>
      </c>
      <c r="F56" s="321">
        <v>37.090000000000003</v>
      </c>
      <c r="G56" s="322">
        <v>22.41</v>
      </c>
      <c r="H56" s="320">
        <v>3.16</v>
      </c>
      <c r="I56" s="321">
        <v>13.83</v>
      </c>
      <c r="J56" s="322">
        <v>8.5299999999999994</v>
      </c>
      <c r="K56" s="122">
        <f t="shared" si="15"/>
        <v>0.30130695867184737</v>
      </c>
    </row>
    <row r="57" spans="1:15" ht="15" x14ac:dyDescent="0.3">
      <c r="A57" s="320">
        <v>1971</v>
      </c>
      <c r="B57" s="320">
        <v>4.3600000000000003</v>
      </c>
      <c r="C57" s="321">
        <v>16.920000000000002</v>
      </c>
      <c r="D57" s="322">
        <v>10.68</v>
      </c>
      <c r="E57" s="320">
        <v>19.64</v>
      </c>
      <c r="F57" s="321">
        <v>37.090000000000003</v>
      </c>
      <c r="G57" s="322">
        <v>28.84</v>
      </c>
      <c r="H57" s="320">
        <v>4.8499999999999996</v>
      </c>
      <c r="I57" s="321">
        <v>17.63</v>
      </c>
      <c r="J57" s="322">
        <v>11.3</v>
      </c>
      <c r="K57" s="122">
        <f t="shared" si="15"/>
        <v>0.32801161103047893</v>
      </c>
    </row>
    <row r="58" spans="1:15" ht="15" x14ac:dyDescent="0.3">
      <c r="A58" s="320">
        <v>1981</v>
      </c>
      <c r="B58" s="320">
        <v>6.81</v>
      </c>
      <c r="C58" s="321">
        <v>22.94</v>
      </c>
      <c r="D58" s="322">
        <v>14.92</v>
      </c>
      <c r="E58" s="320">
        <v>27.32</v>
      </c>
      <c r="F58" s="321">
        <v>47.6</v>
      </c>
      <c r="G58" s="322">
        <v>37.93</v>
      </c>
      <c r="H58" s="320">
        <v>8.0399999999999991</v>
      </c>
      <c r="I58" s="321">
        <v>24.52</v>
      </c>
      <c r="J58" s="322">
        <v>16.350000000000001</v>
      </c>
      <c r="K58" s="122">
        <f t="shared" si="15"/>
        <v>0.37525820518705533</v>
      </c>
    </row>
    <row r="59" spans="1:15" ht="15" x14ac:dyDescent="0.3">
      <c r="A59" s="320">
        <v>1991</v>
      </c>
      <c r="B59" s="320">
        <v>16.02</v>
      </c>
      <c r="C59" s="321">
        <v>38.450000000000003</v>
      </c>
      <c r="D59" s="322" t="s">
        <v>445</v>
      </c>
      <c r="E59" s="320">
        <v>45.66</v>
      </c>
      <c r="F59" s="321">
        <v>66.56</v>
      </c>
      <c r="G59" s="322">
        <v>56.6</v>
      </c>
      <c r="H59" s="320" t="s">
        <v>446</v>
      </c>
      <c r="I59" s="321">
        <v>40.65</v>
      </c>
      <c r="J59" s="322">
        <v>29.6</v>
      </c>
      <c r="K59" s="122">
        <f t="shared" si="15"/>
        <v>0.56694119900402229</v>
      </c>
    </row>
    <row r="60" spans="1:15" ht="15" x14ac:dyDescent="0.3">
      <c r="A60" s="320">
        <v>2001</v>
      </c>
      <c r="B60" s="320">
        <v>32.44</v>
      </c>
      <c r="C60" s="321">
        <v>57.39</v>
      </c>
      <c r="D60" s="322">
        <v>45.02</v>
      </c>
      <c r="E60" s="320">
        <v>59.87</v>
      </c>
      <c r="F60" s="321">
        <v>77.77</v>
      </c>
      <c r="G60" s="322">
        <v>69.09</v>
      </c>
      <c r="H60" s="320">
        <v>34.76</v>
      </c>
      <c r="I60" s="321">
        <v>59.17</v>
      </c>
      <c r="J60" s="322">
        <v>47.1</v>
      </c>
      <c r="K60" s="122">
        <f t="shared" si="15"/>
        <v>0.72651550208236937</v>
      </c>
    </row>
    <row r="61" spans="1:15" ht="15.6" thickBot="1" x14ac:dyDescent="0.35">
      <c r="A61" s="323">
        <v>2011</v>
      </c>
      <c r="B61" s="323">
        <v>46.9</v>
      </c>
      <c r="C61" s="324">
        <v>66.8</v>
      </c>
      <c r="D61" s="325">
        <v>56.9</v>
      </c>
      <c r="E61" s="323">
        <v>70.3</v>
      </c>
      <c r="F61" s="324">
        <v>83.2</v>
      </c>
      <c r="G61" s="325">
        <v>76.8</v>
      </c>
      <c r="H61" s="323">
        <v>49.35</v>
      </c>
      <c r="I61" s="324">
        <v>68.53</v>
      </c>
      <c r="J61" s="325">
        <v>58.96</v>
      </c>
      <c r="K61" s="122">
        <f t="shared" si="15"/>
        <v>0.79632631010264721</v>
      </c>
    </row>
    <row r="62" spans="1:15" ht="15" x14ac:dyDescent="0.3">
      <c r="A62" s="285"/>
      <c r="B62" s="285"/>
      <c r="C62" s="285"/>
      <c r="D62" s="285"/>
      <c r="E62" s="285"/>
      <c r="F62" s="285"/>
      <c r="G62" s="285"/>
      <c r="H62" s="285"/>
      <c r="I62" s="285"/>
      <c r="J62" s="285"/>
      <c r="K62" s="285"/>
    </row>
    <row r="63" spans="1:15" ht="15" x14ac:dyDescent="0.3">
      <c r="A63" s="285"/>
      <c r="B63" s="285"/>
      <c r="C63" s="285"/>
      <c r="D63" s="285"/>
      <c r="E63" s="285"/>
      <c r="F63" s="285"/>
      <c r="G63" s="285"/>
      <c r="H63" s="285"/>
      <c r="I63" s="285"/>
      <c r="J63" s="285"/>
      <c r="K63" s="285"/>
      <c r="L63" s="285"/>
    </row>
    <row r="64" spans="1:15" ht="15" x14ac:dyDescent="0.3">
      <c r="A64" s="285"/>
      <c r="B64" s="285"/>
      <c r="C64" s="285"/>
      <c r="D64" s="285"/>
      <c r="E64" s="285"/>
      <c r="F64" s="285"/>
      <c r="G64" s="285"/>
      <c r="H64" s="285"/>
      <c r="I64" s="285"/>
      <c r="J64" s="285"/>
      <c r="K64" s="285"/>
      <c r="L64" s="285"/>
    </row>
  </sheetData>
  <mergeCells count="12">
    <mergeCell ref="A52:J52"/>
    <mergeCell ref="B53:D53"/>
    <mergeCell ref="E53:G53"/>
    <mergeCell ref="H53:J53"/>
    <mergeCell ref="A30:J30"/>
    <mergeCell ref="B31:D31"/>
    <mergeCell ref="E31:G31"/>
    <mergeCell ref="H31:J31"/>
    <mergeCell ref="A41:J41"/>
    <mergeCell ref="B42:D42"/>
    <mergeCell ref="E42:G42"/>
    <mergeCell ref="H42:J42"/>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heetViews>
  <sheetFormatPr baseColWidth="10" defaultRowHeight="14.4" x14ac:dyDescent="0.3"/>
  <cols>
    <col min="1" max="1" width="14.77734375" customWidth="1"/>
  </cols>
  <sheetData>
    <row r="1" spans="1:3" ht="15.6" x14ac:dyDescent="0.3">
      <c r="A1" s="1" t="s">
        <v>31</v>
      </c>
      <c r="B1" s="19" t="s">
        <v>32</v>
      </c>
      <c r="C1" s="1"/>
    </row>
    <row r="2" spans="1:3" ht="15.6" x14ac:dyDescent="0.3">
      <c r="A2" s="1"/>
      <c r="B2" s="1"/>
      <c r="C2" s="1"/>
    </row>
    <row r="3" spans="1:3" ht="15.6" x14ac:dyDescent="0.3">
      <c r="A3" s="1" t="s">
        <v>137</v>
      </c>
      <c r="B3" s="1"/>
      <c r="C3" s="1"/>
    </row>
    <row r="4" spans="1:3" ht="15.6" x14ac:dyDescent="0.3">
      <c r="A4" s="1" t="s">
        <v>138</v>
      </c>
      <c r="B4" s="1"/>
      <c r="C4" s="1"/>
    </row>
    <row r="5" spans="1:3" ht="15.6" x14ac:dyDescent="0.3">
      <c r="A5" s="1" t="s">
        <v>139</v>
      </c>
      <c r="B5" s="1"/>
      <c r="C5" s="1"/>
    </row>
    <row r="6" spans="1:3" ht="15.6" x14ac:dyDescent="0.3">
      <c r="A6" s="1"/>
      <c r="B6" s="1"/>
      <c r="C6" s="1"/>
    </row>
    <row r="7" spans="1:3" ht="15.6" x14ac:dyDescent="0.3">
      <c r="A7" s="1" t="s">
        <v>120</v>
      </c>
      <c r="B7" s="1"/>
      <c r="C7" s="1"/>
    </row>
    <row r="8" spans="1:3" ht="15.6" x14ac:dyDescent="0.3">
      <c r="A8" s="1" t="s">
        <v>117</v>
      </c>
      <c r="B8" s="1"/>
      <c r="C8" s="1"/>
    </row>
    <row r="9" spans="1:3" ht="15.6" x14ac:dyDescent="0.3">
      <c r="A9" s="1" t="s">
        <v>124</v>
      </c>
      <c r="B9" s="1"/>
      <c r="C9" s="1"/>
    </row>
    <row r="10" spans="1:3" ht="15.6" x14ac:dyDescent="0.3">
      <c r="A10" s="1"/>
      <c r="B10" s="1"/>
      <c r="C10" s="1"/>
    </row>
    <row r="11" spans="1:3" ht="15.6" x14ac:dyDescent="0.3">
      <c r="A11" s="1" t="s">
        <v>118</v>
      </c>
    </row>
    <row r="12" spans="1:3" ht="15.6" x14ac:dyDescent="0.3">
      <c r="A12" s="1" t="s">
        <v>119</v>
      </c>
    </row>
    <row r="13" spans="1:3" ht="15.6" x14ac:dyDescent="0.3">
      <c r="A13" s="1" t="s">
        <v>121</v>
      </c>
    </row>
    <row r="14" spans="1:3" ht="15.6" x14ac:dyDescent="0.3">
      <c r="A14" s="1" t="s">
        <v>122</v>
      </c>
    </row>
    <row r="15" spans="1:3" ht="15.6" x14ac:dyDescent="0.3">
      <c r="A15" s="1" t="s">
        <v>123</v>
      </c>
    </row>
    <row r="17" spans="1:1" ht="15.6" x14ac:dyDescent="0.3">
      <c r="A17" s="1" t="s">
        <v>125</v>
      </c>
    </row>
    <row r="18" spans="1:1" ht="15.6" x14ac:dyDescent="0.3">
      <c r="A18" s="1" t="s">
        <v>126</v>
      </c>
    </row>
    <row r="19" spans="1:1" ht="15.6" x14ac:dyDescent="0.3">
      <c r="A19" s="1" t="s">
        <v>127</v>
      </c>
    </row>
    <row r="21" spans="1:1" ht="15.6" x14ac:dyDescent="0.3">
      <c r="A21" s="1" t="s">
        <v>128</v>
      </c>
    </row>
    <row r="22" spans="1:1" ht="15.6" x14ac:dyDescent="0.3">
      <c r="A22" s="1" t="s">
        <v>126</v>
      </c>
    </row>
    <row r="24" spans="1:1" ht="15.6" x14ac:dyDescent="0.3">
      <c r="A24" s="1" t="s">
        <v>129</v>
      </c>
    </row>
    <row r="25" spans="1:1" ht="15.6" x14ac:dyDescent="0.3">
      <c r="A25" s="1" t="s">
        <v>126</v>
      </c>
    </row>
    <row r="27" spans="1:1" ht="15.6" x14ac:dyDescent="0.3">
      <c r="A27" s="1" t="s">
        <v>130</v>
      </c>
    </row>
    <row r="28" spans="1:1" ht="15.6" x14ac:dyDescent="0.3">
      <c r="A28" s="1" t="s">
        <v>126</v>
      </c>
    </row>
    <row r="30" spans="1:1" ht="15.6" x14ac:dyDescent="0.3">
      <c r="A30" s="1" t="s">
        <v>131</v>
      </c>
    </row>
    <row r="31" spans="1:1" ht="15.6" x14ac:dyDescent="0.3">
      <c r="A31" s="1" t="s">
        <v>126</v>
      </c>
    </row>
    <row r="33" spans="1:1" ht="15.6" x14ac:dyDescent="0.3">
      <c r="A33" s="1" t="s">
        <v>132</v>
      </c>
    </row>
    <row r="34" spans="1:1" ht="15.6" x14ac:dyDescent="0.3">
      <c r="A34" s="1" t="s">
        <v>119</v>
      </c>
    </row>
    <row r="35" spans="1:1" ht="15.6" x14ac:dyDescent="0.3">
      <c r="A35" s="1" t="s">
        <v>133</v>
      </c>
    </row>
    <row r="36" spans="1:1" ht="15.6" x14ac:dyDescent="0.3">
      <c r="A36" s="1" t="s">
        <v>134</v>
      </c>
    </row>
    <row r="37" spans="1:1" ht="15.6" x14ac:dyDescent="0.3">
      <c r="A37" s="1" t="s">
        <v>135</v>
      </c>
    </row>
    <row r="38" spans="1:1" ht="15.6" x14ac:dyDescent="0.3">
      <c r="A38" s="1" t="s">
        <v>136</v>
      </c>
    </row>
    <row r="39" spans="1:1" ht="15.6" x14ac:dyDescent="0.3">
      <c r="A39" s="1"/>
    </row>
    <row r="40" spans="1:1" ht="15.6" x14ac:dyDescent="0.3">
      <c r="A40" s="19" t="s">
        <v>142</v>
      </c>
    </row>
    <row r="42" spans="1:1" ht="15.6" x14ac:dyDescent="0.3">
      <c r="A42" s="19" t="s">
        <v>141</v>
      </c>
    </row>
    <row r="43" spans="1:1" ht="15.6" x14ac:dyDescent="0.3">
      <c r="A43" s="1" t="s">
        <v>140</v>
      </c>
    </row>
    <row r="44" spans="1:1" ht="15.6" x14ac:dyDescent="0.3">
      <c r="A44" s="1" t="s">
        <v>33</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heetViews>
  <sheetFormatPr baseColWidth="10" defaultRowHeight="14.4" x14ac:dyDescent="0.3"/>
  <cols>
    <col min="1" max="2" width="25.77734375" customWidth="1"/>
    <col min="3" max="3" width="34.77734375" customWidth="1"/>
    <col min="4" max="4" width="33.33203125" customWidth="1"/>
  </cols>
  <sheetData>
    <row r="1" spans="1:4" ht="19.95" customHeight="1" x14ac:dyDescent="0.3">
      <c r="A1" s="19" t="s">
        <v>28</v>
      </c>
      <c r="B1" s="1"/>
      <c r="C1" s="1"/>
      <c r="D1" s="1"/>
    </row>
    <row r="2" spans="1:4" ht="19.95" customHeight="1" thickBot="1" x14ac:dyDescent="0.35">
      <c r="A2" s="2"/>
      <c r="B2" s="1"/>
      <c r="C2" s="1"/>
      <c r="D2" s="1"/>
    </row>
    <row r="3" spans="1:4" ht="19.95" customHeight="1" x14ac:dyDescent="0.3">
      <c r="A3" s="437" t="s">
        <v>0</v>
      </c>
      <c r="B3" s="3" t="s">
        <v>1</v>
      </c>
      <c r="C3" s="437" t="s">
        <v>3</v>
      </c>
      <c r="D3" s="439" t="s">
        <v>4</v>
      </c>
    </row>
    <row r="4" spans="1:4" ht="19.95" customHeight="1" thickBot="1" x14ac:dyDescent="0.35">
      <c r="A4" s="438"/>
      <c r="B4" s="4" t="s">
        <v>2</v>
      </c>
      <c r="C4" s="438"/>
      <c r="D4" s="440"/>
    </row>
    <row r="5" spans="1:4" ht="19.95" customHeight="1" x14ac:dyDescent="0.3">
      <c r="A5" s="441" t="s">
        <v>5</v>
      </c>
      <c r="B5" s="443"/>
      <c r="C5" s="5"/>
      <c r="D5" s="445"/>
    </row>
    <row r="6" spans="1:4" ht="19.95" customHeight="1" x14ac:dyDescent="0.3">
      <c r="A6" s="442"/>
      <c r="B6" s="444"/>
      <c r="C6" s="6" t="s">
        <v>6</v>
      </c>
      <c r="D6" s="446"/>
    </row>
    <row r="7" spans="1:4" ht="19.95" customHeight="1" x14ac:dyDescent="0.3">
      <c r="A7" s="6" t="s">
        <v>7</v>
      </c>
      <c r="B7" s="7">
        <v>0.22</v>
      </c>
      <c r="C7" s="6" t="s">
        <v>26</v>
      </c>
      <c r="D7" s="8" t="s">
        <v>8</v>
      </c>
    </row>
    <row r="8" spans="1:4" ht="19.95" customHeight="1" x14ac:dyDescent="0.3">
      <c r="A8" s="6" t="s">
        <v>9</v>
      </c>
      <c r="B8" s="9"/>
      <c r="C8" s="6" t="s">
        <v>10</v>
      </c>
      <c r="D8" s="10"/>
    </row>
    <row r="9" spans="1:4" ht="19.95" customHeight="1" x14ac:dyDescent="0.3">
      <c r="A9" s="6" t="s">
        <v>11</v>
      </c>
      <c r="B9" s="7">
        <v>0.36399999999999999</v>
      </c>
      <c r="C9" s="11" t="s">
        <v>12</v>
      </c>
      <c r="D9" s="8" t="s">
        <v>13</v>
      </c>
    </row>
    <row r="10" spans="1:4" ht="35.549999999999997" customHeight="1" thickBot="1" x14ac:dyDescent="0.35">
      <c r="A10" s="12" t="s">
        <v>14</v>
      </c>
      <c r="B10" s="13">
        <v>0.19400000000000001</v>
      </c>
      <c r="C10" s="14" t="s">
        <v>15</v>
      </c>
      <c r="D10" s="15" t="s">
        <v>16</v>
      </c>
    </row>
    <row r="11" spans="1:4" ht="19.95" customHeight="1" thickBot="1" x14ac:dyDescent="0.35">
      <c r="A11" s="435" t="s">
        <v>17</v>
      </c>
      <c r="B11" s="435"/>
      <c r="C11" s="435"/>
      <c r="D11" s="436"/>
    </row>
    <row r="12" spans="1:4" ht="19.95" customHeight="1" x14ac:dyDescent="0.3">
      <c r="A12" s="16"/>
      <c r="B12" s="17">
        <v>7.4999999999999997E-2</v>
      </c>
      <c r="C12" s="6" t="s">
        <v>18</v>
      </c>
      <c r="D12" s="8" t="s">
        <v>8</v>
      </c>
    </row>
    <row r="13" spans="1:4" ht="19.95" customHeight="1" x14ac:dyDescent="0.3">
      <c r="A13" s="6" t="s">
        <v>19</v>
      </c>
      <c r="B13" s="7">
        <v>0.06</v>
      </c>
      <c r="C13" s="11" t="s">
        <v>12</v>
      </c>
      <c r="D13" s="8" t="s">
        <v>13</v>
      </c>
    </row>
    <row r="14" spans="1:4" ht="19.95" customHeight="1" x14ac:dyDescent="0.3">
      <c r="A14" s="16"/>
      <c r="B14" s="18"/>
      <c r="C14" s="1"/>
      <c r="D14" s="1"/>
    </row>
    <row r="15" spans="1:4" ht="35.549999999999997" customHeight="1" x14ac:dyDescent="0.3">
      <c r="A15" s="6" t="s">
        <v>20</v>
      </c>
      <c r="B15" s="7">
        <v>8.6999999999999994E-2</v>
      </c>
      <c r="C15" s="11" t="s">
        <v>21</v>
      </c>
      <c r="D15" s="8" t="s">
        <v>16</v>
      </c>
    </row>
    <row r="16" spans="1:4" ht="15.6" x14ac:dyDescent="0.3">
      <c r="A16" s="1"/>
      <c r="B16" s="1"/>
      <c r="C16" s="1"/>
      <c r="D16" s="1"/>
    </row>
    <row r="17" spans="1:4" ht="15.6" x14ac:dyDescent="0.3">
      <c r="A17" s="1" t="s">
        <v>29</v>
      </c>
      <c r="B17" s="1"/>
      <c r="C17" s="1"/>
      <c r="D17" s="1"/>
    </row>
    <row r="18" spans="1:4" ht="15.6" x14ac:dyDescent="0.3">
      <c r="A18" s="1" t="s">
        <v>27</v>
      </c>
      <c r="B18" s="1"/>
      <c r="C18" s="1"/>
      <c r="D18" s="1"/>
    </row>
    <row r="19" spans="1:4" ht="15.6" x14ac:dyDescent="0.3">
      <c r="A19" s="1" t="s">
        <v>30</v>
      </c>
      <c r="B19" s="1"/>
      <c r="C19" s="1"/>
      <c r="D19" s="1"/>
    </row>
    <row r="20" spans="1:4" ht="15.6" x14ac:dyDescent="0.3">
      <c r="A20" s="1" t="s">
        <v>22</v>
      </c>
      <c r="B20" s="1"/>
      <c r="C20" s="1"/>
      <c r="D20" s="1"/>
    </row>
    <row r="21" spans="1:4" ht="15.6" x14ac:dyDescent="0.3">
      <c r="A21" s="1" t="s">
        <v>23</v>
      </c>
      <c r="B21" s="1"/>
      <c r="C21" s="1"/>
      <c r="D21" s="1"/>
    </row>
    <row r="22" spans="1:4" ht="15.6" x14ac:dyDescent="0.3">
      <c r="A22" s="1" t="s">
        <v>24</v>
      </c>
      <c r="B22" s="1"/>
      <c r="C22" s="1"/>
      <c r="D22" s="1"/>
    </row>
    <row r="23" spans="1:4" ht="15.6" x14ac:dyDescent="0.3">
      <c r="A23" s="1" t="s">
        <v>25</v>
      </c>
      <c r="B23" s="1"/>
      <c r="C23" s="1"/>
      <c r="D23" s="1"/>
    </row>
  </sheetData>
  <mergeCells count="7">
    <mergeCell ref="A11:D11"/>
    <mergeCell ref="A3:A4"/>
    <mergeCell ref="C3:C4"/>
    <mergeCell ref="D3:D4"/>
    <mergeCell ref="A5:A6"/>
    <mergeCell ref="B5:B6"/>
    <mergeCell ref="D5:D6"/>
  </mergeCell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6"/>
  <sheetViews>
    <sheetView workbookViewId="0">
      <pane xSplit="1" ySplit="4" topLeftCell="B5" activePane="bottomRight" state="frozen"/>
      <selection activeCell="A2" sqref="A2:P13"/>
      <selection pane="topRight" activeCell="A2" sqref="A2:P13"/>
      <selection pane="bottomLeft" activeCell="A2" sqref="A2:P13"/>
      <selection pane="bottomRight" activeCell="A2" sqref="A2:Q11"/>
    </sheetView>
  </sheetViews>
  <sheetFormatPr baseColWidth="10" defaultRowHeight="14.4" x14ac:dyDescent="0.3"/>
  <cols>
    <col min="1" max="1" width="27" customWidth="1"/>
    <col min="2" max="17" width="8.77734375" customWidth="1"/>
    <col min="18" max="24" width="11.77734375" customWidth="1"/>
  </cols>
  <sheetData>
    <row r="1" spans="1:18" ht="16.2" thickBot="1" x14ac:dyDescent="0.35">
      <c r="A1" s="19"/>
    </row>
    <row r="2" spans="1:18" ht="47.55" customHeight="1" thickTop="1" thickBot="1" x14ac:dyDescent="0.35">
      <c r="A2" s="386" t="s">
        <v>546</v>
      </c>
      <c r="B2" s="381"/>
      <c r="C2" s="381"/>
      <c r="D2" s="381"/>
      <c r="E2" s="381"/>
      <c r="F2" s="381"/>
      <c r="G2" s="381"/>
      <c r="H2" s="381"/>
      <c r="I2" s="381"/>
      <c r="J2" s="381"/>
      <c r="K2" s="381"/>
      <c r="L2" s="381"/>
      <c r="M2" s="381"/>
      <c r="N2" s="381"/>
      <c r="O2" s="381"/>
      <c r="P2" s="381"/>
      <c r="Q2" s="382"/>
    </row>
    <row r="3" spans="1:18" ht="16.8" thickTop="1" thickBot="1" x14ac:dyDescent="0.35">
      <c r="A3" s="1"/>
      <c r="B3" s="1"/>
      <c r="C3" s="1"/>
      <c r="D3" s="1"/>
      <c r="E3" s="1"/>
      <c r="F3" s="1"/>
      <c r="G3" s="1"/>
      <c r="H3" s="1"/>
      <c r="I3" s="1"/>
      <c r="J3" s="1"/>
      <c r="K3" s="1"/>
      <c r="L3" s="1"/>
      <c r="M3" s="1"/>
      <c r="N3" s="1"/>
      <c r="O3" s="1"/>
      <c r="P3" s="1"/>
      <c r="Q3" s="1"/>
    </row>
    <row r="4" spans="1:18" ht="33" customHeight="1" thickTop="1" thickBot="1" x14ac:dyDescent="0.35">
      <c r="A4" s="140"/>
      <c r="B4" s="141">
        <v>1871</v>
      </c>
      <c r="C4" s="141">
        <v>1881</v>
      </c>
      <c r="D4" s="141">
        <v>1891</v>
      </c>
      <c r="E4" s="141">
        <v>1901</v>
      </c>
      <c r="F4" s="141">
        <v>1911</v>
      </c>
      <c r="G4" s="141">
        <v>1921</v>
      </c>
      <c r="H4" s="141">
        <v>1931</v>
      </c>
      <c r="I4" s="141">
        <v>1962</v>
      </c>
      <c r="J4" s="141">
        <v>1967</v>
      </c>
      <c r="K4" s="141">
        <v>1971</v>
      </c>
      <c r="L4" s="141">
        <v>1977</v>
      </c>
      <c r="M4" s="141">
        <v>1996</v>
      </c>
      <c r="N4" s="141">
        <v>1999</v>
      </c>
      <c r="O4" s="141">
        <v>2004</v>
      </c>
      <c r="P4" s="141">
        <v>2009</v>
      </c>
      <c r="Q4" s="375">
        <v>2014</v>
      </c>
    </row>
    <row r="5" spans="1:18" ht="33" customHeight="1" thickBot="1" x14ac:dyDescent="0.35">
      <c r="A5" s="142" t="s">
        <v>539</v>
      </c>
      <c r="B5" s="144">
        <f>B6+B7+B8</f>
        <v>0.13297784177908364</v>
      </c>
      <c r="C5" s="144">
        <f>C6+C7+C8+0.001</f>
        <v>0.12625429163671303</v>
      </c>
      <c r="D5" s="144">
        <f t="shared" ref="D5:M5" si="0">D6+D7+D8</f>
        <v>0.13351570519033767</v>
      </c>
      <c r="E5" s="144">
        <f t="shared" si="0"/>
        <v>0.13240629954860783</v>
      </c>
      <c r="F5" s="144">
        <f t="shared" si="0"/>
        <v>0.12307743650176445</v>
      </c>
      <c r="G5" s="144">
        <f t="shared" si="0"/>
        <v>0.12004690996030412</v>
      </c>
      <c r="H5" s="144">
        <f t="shared" si="0"/>
        <v>0.12691435911885027</v>
      </c>
      <c r="I5" s="144">
        <f t="shared" ref="I5:J5" si="1">I6+I7+I8</f>
        <v>0.13601653315712839</v>
      </c>
      <c r="J5" s="144">
        <f t="shared" si="1"/>
        <v>0.13804060329294449</v>
      </c>
      <c r="K5" s="144">
        <f t="shared" si="0"/>
        <v>0.14243591665365388</v>
      </c>
      <c r="L5" s="144">
        <f t="shared" si="0"/>
        <v>0.13749397063326346</v>
      </c>
      <c r="M5" s="144">
        <f t="shared" si="0"/>
        <v>0.12788916545663448</v>
      </c>
      <c r="N5" s="144">
        <f>N6+N7+N8-0.001</f>
        <v>0.13562883073741108</v>
      </c>
      <c r="O5" s="144">
        <f t="shared" ref="O5:Q5" si="2">O6+O7+O8</f>
        <v>0.13724203789503669</v>
      </c>
      <c r="P5" s="144">
        <f>P6+P7+P8-0.001</f>
        <v>0.12789445448640327</v>
      </c>
      <c r="Q5" s="376">
        <f t="shared" si="2"/>
        <v>0.14049534387357177</v>
      </c>
    </row>
    <row r="6" spans="1:18" ht="60" customHeight="1" thickBot="1" x14ac:dyDescent="0.35">
      <c r="A6" s="281" t="s">
        <v>540</v>
      </c>
      <c r="B6" s="143">
        <f>DataT8.2!B4</f>
        <v>6.7447225480751008E-2</v>
      </c>
      <c r="C6" s="143">
        <f>DataT8.2!C4</f>
        <v>6.5648718758617455E-2</v>
      </c>
      <c r="D6" s="143">
        <f>DataT8.2!D4</f>
        <v>6.4518070458762372E-2</v>
      </c>
      <c r="E6" s="143">
        <f>DataT8.2!E4</f>
        <v>6.4268958632454132E-2</v>
      </c>
      <c r="F6" s="143">
        <f>DataT8.2!F4</f>
        <v>5.9100394494825986E-2</v>
      </c>
      <c r="G6" s="143">
        <f>DataT8.2!G4</f>
        <v>5.7663942453913736E-2</v>
      </c>
      <c r="H6" s="143">
        <f>DataT8.2!H4</f>
        <v>5.5772427671718534E-2</v>
      </c>
      <c r="I6" s="143">
        <f>DataT8.2!I4</f>
        <v>6.5863768016615365E-2</v>
      </c>
      <c r="J6" s="143">
        <f>DataT8.2!J4</f>
        <v>6.7037729538500831E-2</v>
      </c>
      <c r="K6" s="143">
        <f>DataT8.2!K4</f>
        <v>7.1347505343074991E-2</v>
      </c>
      <c r="L6" s="143">
        <f>DataT8.2!L4</f>
        <v>6.5407239766404501E-2</v>
      </c>
      <c r="M6" s="143">
        <f>DataT8.2!M4</f>
        <v>5.6158643768461206E-2</v>
      </c>
      <c r="N6" s="143">
        <f>DataT8.2!N4</f>
        <v>6.1279004234779708E-2</v>
      </c>
      <c r="O6" s="143">
        <f>DataT8.2!O4</f>
        <v>6.113851245700936E-2</v>
      </c>
      <c r="P6" s="143">
        <f>DataT8.2!P4</f>
        <v>5.7292817839012938E-2</v>
      </c>
      <c r="Q6" s="377">
        <f>DataT8.2!Q4</f>
        <v>6.2418695669032367E-2</v>
      </c>
    </row>
    <row r="7" spans="1:18" ht="60" customHeight="1" thickBot="1" x14ac:dyDescent="0.35">
      <c r="A7" s="281" t="s">
        <v>541</v>
      </c>
      <c r="B7" s="143">
        <f>DataT8.2!B5</f>
        <v>3.7553922611973128E-2</v>
      </c>
      <c r="C7" s="143">
        <f>DataT8.2!C5</f>
        <v>3.6904358357012994E-2</v>
      </c>
      <c r="D7" s="143">
        <f>DataT8.2!D5</f>
        <v>4.5376524802534395E-2</v>
      </c>
      <c r="E7" s="143">
        <f>DataT8.2!E5</f>
        <v>4.6356021803029411E-2</v>
      </c>
      <c r="F7" s="143">
        <f>DataT8.2!F5</f>
        <v>4.0601734611639025E-2</v>
      </c>
      <c r="G7" s="143">
        <f>DataT8.2!G5</f>
        <v>4.1685021314070939E-2</v>
      </c>
      <c r="H7" s="143">
        <f>DataT8.2!H5</f>
        <v>4.1352504889689855E-2</v>
      </c>
      <c r="I7" s="143">
        <f>DataT8.2!I5</f>
        <v>3.881361759904018E-2</v>
      </c>
      <c r="J7" s="143">
        <f>DataT8.2!J5</f>
        <v>3.9970794279791957E-2</v>
      </c>
      <c r="K7" s="143">
        <f>DataT8.2!K5</f>
        <v>4.0870880016032105E-2</v>
      </c>
      <c r="L7" s="143">
        <f>DataT8.2!L5</f>
        <v>4.1896839939895604E-2</v>
      </c>
      <c r="M7" s="143">
        <f>DataT8.2!M5</f>
        <v>4.0124999442202824E-2</v>
      </c>
      <c r="N7" s="143">
        <f>DataT8.2!N5</f>
        <v>4.1965487441896994E-2</v>
      </c>
      <c r="O7" s="143">
        <f>DataT8.2!O5</f>
        <v>4.69138543643026E-2</v>
      </c>
      <c r="P7" s="143">
        <f>DataT8.2!P5</f>
        <v>4.6271394433473001E-2</v>
      </c>
      <c r="Q7" s="377">
        <f>DataT8.2!Q5</f>
        <v>4.805259948307658E-2</v>
      </c>
    </row>
    <row r="8" spans="1:18" ht="60" customHeight="1" thickBot="1" x14ac:dyDescent="0.35">
      <c r="A8" s="281" t="s">
        <v>542</v>
      </c>
      <c r="B8" s="143">
        <f>DataT8.2!B6</f>
        <v>2.7976693686359508E-2</v>
      </c>
      <c r="C8" s="143">
        <f>DataT8.2!C6</f>
        <v>2.2701214521082581E-2</v>
      </c>
      <c r="D8" s="143">
        <f>DataT8.2!D6</f>
        <v>2.3621109929040887E-2</v>
      </c>
      <c r="E8" s="143">
        <f>DataT8.2!E6</f>
        <v>2.1781319113124274E-2</v>
      </c>
      <c r="F8" s="143">
        <f>DataT8.2!F6</f>
        <v>2.3375307395299437E-2</v>
      </c>
      <c r="G8" s="143">
        <f>DataT8.2!G6</f>
        <v>2.0697946192319447E-2</v>
      </c>
      <c r="H8" s="143">
        <f>DataT8.2!H6</f>
        <v>2.9789426557441885E-2</v>
      </c>
      <c r="I8" s="143">
        <f>DataT8.2!I6</f>
        <v>3.1339147541472857E-2</v>
      </c>
      <c r="J8" s="143">
        <f>DataT8.2!J6</f>
        <v>3.1032079474651694E-2</v>
      </c>
      <c r="K8" s="143">
        <f>DataT8.2!K6</f>
        <v>3.0217531294546782E-2</v>
      </c>
      <c r="L8" s="143">
        <f>DataT8.2!L6</f>
        <v>3.0189890926963361E-2</v>
      </c>
      <c r="M8" s="143">
        <f>DataT8.2!M6</f>
        <v>3.1605522245970449E-2</v>
      </c>
      <c r="N8" s="143">
        <f>DataT8.2!N6</f>
        <v>3.3384339060734382E-2</v>
      </c>
      <c r="O8" s="143">
        <f>DataT8.2!O6</f>
        <v>2.9189671073724728E-2</v>
      </c>
      <c r="P8" s="143">
        <f>DataT8.2!P6</f>
        <v>2.5330242213917328E-2</v>
      </c>
      <c r="Q8" s="377">
        <f>DataT8.2!Q6</f>
        <v>3.0024048721462828E-2</v>
      </c>
    </row>
    <row r="9" spans="1:18" ht="33" customHeight="1" thickTop="1" thickBot="1" x14ac:dyDescent="0.35">
      <c r="A9" s="145" t="s">
        <v>543</v>
      </c>
      <c r="B9" s="146">
        <f>'T8.1'!B5*'T8.1'!B11</f>
        <v>179.12388000000001</v>
      </c>
      <c r="C9" s="146">
        <f>'T8.1'!C5*'T8.1'!C11</f>
        <v>194.10655</v>
      </c>
      <c r="D9" s="146">
        <f>'T8.1'!D5*'T8.1'!D11</f>
        <v>216.97959999999998</v>
      </c>
      <c r="E9" s="146">
        <f>'T8.1'!E5*'T8.1'!E11</f>
        <v>216.64896000000002</v>
      </c>
      <c r="F9" s="146">
        <f>'T8.1'!F5*'T8.1'!F11</f>
        <v>227.8518</v>
      </c>
      <c r="G9" s="146">
        <f>'T8.1'!G5*'T8.1'!G11</f>
        <v>226.48565000000002</v>
      </c>
      <c r="H9" s="146">
        <f>'T8.1'!H5*'T8.1'!H11</f>
        <v>247.45299999999997</v>
      </c>
      <c r="I9" s="146">
        <f>0.9*'T8.1'!K19+0.1*'T8.1'!L19</f>
        <v>375.19730000000004</v>
      </c>
      <c r="J9" s="146">
        <f>0.6*'T8.1'!L19+0.4*'T8.1'!K19</f>
        <v>418.62180000000001</v>
      </c>
      <c r="K9" s="146">
        <f>'T8.1'!L19</f>
        <v>453.3614</v>
      </c>
      <c r="L9" s="146">
        <f>0.6*'T8.1'!M19+0.4*'T8.1'!L19</f>
        <v>518.75810000000001</v>
      </c>
      <c r="M9" s="146">
        <f>0.5*'T8.1'!N19+0.5*'T8.1'!O19</f>
        <v>758.66351000000009</v>
      </c>
      <c r="N9" s="146">
        <f>0.8*'T8.1'!O19+0.2*'T8.1'!N19</f>
        <v>800.32750400000009</v>
      </c>
      <c r="O9" s="146">
        <f>0.7*'T8.1'!O19+0.3*'T8.1'!P19</f>
        <v>869.51403000000005</v>
      </c>
      <c r="P9" s="146">
        <f>0.8*'T8.1'!P19+0.2*'T8.1'!O19</f>
        <v>938.53158000000019</v>
      </c>
      <c r="Q9" s="378">
        <f>'T8.1'!P19*(('T8.1'!P19/'T8.1'!O19)^0.3)</f>
        <v>1011.8726974121017</v>
      </c>
      <c r="R9" s="147"/>
    </row>
    <row r="10" spans="1:18" ht="16.2" thickBot="1" x14ac:dyDescent="0.35">
      <c r="A10" s="1"/>
      <c r="B10" s="1"/>
      <c r="C10" s="1"/>
      <c r="D10" s="1"/>
      <c r="E10" s="1"/>
      <c r="F10" s="1"/>
      <c r="G10" s="1"/>
      <c r="H10" s="1"/>
      <c r="I10" s="1"/>
      <c r="J10" s="1"/>
      <c r="K10" s="1"/>
      <c r="L10" s="1"/>
      <c r="M10" s="1"/>
      <c r="N10" s="1"/>
      <c r="O10" s="1"/>
      <c r="P10" s="1"/>
      <c r="Q10" s="1"/>
    </row>
    <row r="11" spans="1:18" ht="63" customHeight="1" thickTop="1" thickBot="1" x14ac:dyDescent="0.35">
      <c r="A11" s="383" t="s">
        <v>547</v>
      </c>
      <c r="B11" s="384"/>
      <c r="C11" s="384"/>
      <c r="D11" s="384"/>
      <c r="E11" s="384"/>
      <c r="F11" s="384"/>
      <c r="G11" s="384"/>
      <c r="H11" s="384"/>
      <c r="I11" s="384"/>
      <c r="J11" s="384"/>
      <c r="K11" s="384"/>
      <c r="L11" s="384"/>
      <c r="M11" s="384"/>
      <c r="N11" s="384"/>
      <c r="O11" s="384"/>
      <c r="P11" s="384"/>
      <c r="Q11" s="385"/>
    </row>
    <row r="12" spans="1:18" ht="15" thickTop="1" x14ac:dyDescent="0.3"/>
    <row r="14" spans="1:18" ht="15.6" x14ac:dyDescent="0.3">
      <c r="A14" s="1" t="s">
        <v>311</v>
      </c>
    </row>
    <row r="16" spans="1:18" ht="64.2" customHeight="1" x14ac:dyDescent="0.3"/>
  </sheetData>
  <mergeCells count="2">
    <mergeCell ref="A2:Q2"/>
    <mergeCell ref="A11:Q11"/>
  </mergeCells>
  <printOptions horizontalCentered="1" verticalCentered="1"/>
  <pageMargins left="0.70866141732283472" right="0.70866141732283472" top="0.74803149606299213" bottom="0.74803149606299213" header="0.31496062992125984" footer="0.31496062992125984"/>
  <pageSetup paperSize="9" scale="77" orientation="landscape"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78"/>
  <sheetViews>
    <sheetView workbookViewId="0"/>
  </sheetViews>
  <sheetFormatPr baseColWidth="10" defaultColWidth="10.77734375" defaultRowHeight="13.2" x14ac:dyDescent="0.25"/>
  <cols>
    <col min="1" max="1" width="9.33203125" style="148" customWidth="1"/>
    <col min="2" max="18" width="14.109375" style="148" customWidth="1"/>
    <col min="19" max="24" width="13.77734375" style="148" customWidth="1"/>
    <col min="25" max="67" width="6.33203125" style="148" customWidth="1"/>
    <col min="68" max="248" width="10.77734375" style="148"/>
    <col min="249" max="323" width="6.33203125" style="148" customWidth="1"/>
    <col min="324" max="504" width="10.77734375" style="148"/>
    <col min="505" max="579" width="6.33203125" style="148" customWidth="1"/>
    <col min="580" max="760" width="10.77734375" style="148"/>
    <col min="761" max="835" width="6.33203125" style="148" customWidth="1"/>
    <col min="836" max="1016" width="10.77734375" style="148"/>
    <col min="1017" max="1091" width="6.33203125" style="148" customWidth="1"/>
    <col min="1092" max="1272" width="10.77734375" style="148"/>
    <col min="1273" max="1347" width="6.33203125" style="148" customWidth="1"/>
    <col min="1348" max="1528" width="10.77734375" style="148"/>
    <col min="1529" max="1603" width="6.33203125" style="148" customWidth="1"/>
    <col min="1604" max="1784" width="10.77734375" style="148"/>
    <col min="1785" max="1859" width="6.33203125" style="148" customWidth="1"/>
    <col min="1860" max="2040" width="10.77734375" style="148"/>
    <col min="2041" max="2115" width="6.33203125" style="148" customWidth="1"/>
    <col min="2116" max="2296" width="10.77734375" style="148"/>
    <col min="2297" max="2371" width="6.33203125" style="148" customWidth="1"/>
    <col min="2372" max="2552" width="10.77734375" style="148"/>
    <col min="2553" max="2627" width="6.33203125" style="148" customWidth="1"/>
    <col min="2628" max="2808" width="10.77734375" style="148"/>
    <col min="2809" max="2883" width="6.33203125" style="148" customWidth="1"/>
    <col min="2884" max="3064" width="10.77734375" style="148"/>
    <col min="3065" max="3139" width="6.33203125" style="148" customWidth="1"/>
    <col min="3140" max="3320" width="10.77734375" style="148"/>
    <col min="3321" max="3395" width="6.33203125" style="148" customWidth="1"/>
    <col min="3396" max="3576" width="10.77734375" style="148"/>
    <col min="3577" max="3651" width="6.33203125" style="148" customWidth="1"/>
    <col min="3652" max="3832" width="10.77734375" style="148"/>
    <col min="3833" max="3907" width="6.33203125" style="148" customWidth="1"/>
    <col min="3908" max="4088" width="10.77734375" style="148"/>
    <col min="4089" max="4163" width="6.33203125" style="148" customWidth="1"/>
    <col min="4164" max="4344" width="10.77734375" style="148"/>
    <col min="4345" max="4419" width="6.33203125" style="148" customWidth="1"/>
    <col min="4420" max="4600" width="10.77734375" style="148"/>
    <col min="4601" max="4675" width="6.33203125" style="148" customWidth="1"/>
    <col min="4676" max="4856" width="10.77734375" style="148"/>
    <col min="4857" max="4931" width="6.33203125" style="148" customWidth="1"/>
    <col min="4932" max="5112" width="10.77734375" style="148"/>
    <col min="5113" max="5187" width="6.33203125" style="148" customWidth="1"/>
    <col min="5188" max="5368" width="10.77734375" style="148"/>
    <col min="5369" max="5443" width="6.33203125" style="148" customWidth="1"/>
    <col min="5444" max="5624" width="10.77734375" style="148"/>
    <col min="5625" max="5699" width="6.33203125" style="148" customWidth="1"/>
    <col min="5700" max="5880" width="10.77734375" style="148"/>
    <col min="5881" max="5955" width="6.33203125" style="148" customWidth="1"/>
    <col min="5956" max="6136" width="10.77734375" style="148"/>
    <col min="6137" max="6211" width="6.33203125" style="148" customWidth="1"/>
    <col min="6212" max="6392" width="10.77734375" style="148"/>
    <col min="6393" max="6467" width="6.33203125" style="148" customWidth="1"/>
    <col min="6468" max="6648" width="10.77734375" style="148"/>
    <col min="6649" max="6723" width="6.33203125" style="148" customWidth="1"/>
    <col min="6724" max="6904" width="10.77734375" style="148"/>
    <col min="6905" max="6979" width="6.33203125" style="148" customWidth="1"/>
    <col min="6980" max="7160" width="10.77734375" style="148"/>
    <col min="7161" max="7235" width="6.33203125" style="148" customWidth="1"/>
    <col min="7236" max="7416" width="10.77734375" style="148"/>
    <col min="7417" max="7491" width="6.33203125" style="148" customWidth="1"/>
    <col min="7492" max="7672" width="10.77734375" style="148"/>
    <col min="7673" max="7747" width="6.33203125" style="148" customWidth="1"/>
    <col min="7748" max="7928" width="10.77734375" style="148"/>
    <col min="7929" max="8003" width="6.33203125" style="148" customWidth="1"/>
    <col min="8004" max="8184" width="10.77734375" style="148"/>
    <col min="8185" max="8259" width="6.33203125" style="148" customWidth="1"/>
    <col min="8260" max="8440" width="10.77734375" style="148"/>
    <col min="8441" max="8515" width="6.33203125" style="148" customWidth="1"/>
    <col min="8516" max="8696" width="10.77734375" style="148"/>
    <col min="8697" max="8771" width="6.33203125" style="148" customWidth="1"/>
    <col min="8772" max="8952" width="10.77734375" style="148"/>
    <col min="8953" max="9027" width="6.33203125" style="148" customWidth="1"/>
    <col min="9028" max="9208" width="10.77734375" style="148"/>
    <col min="9209" max="9283" width="6.33203125" style="148" customWidth="1"/>
    <col min="9284" max="9464" width="10.77734375" style="148"/>
    <col min="9465" max="9539" width="6.33203125" style="148" customWidth="1"/>
    <col min="9540" max="9720" width="10.77734375" style="148"/>
    <col min="9721" max="9795" width="6.33203125" style="148" customWidth="1"/>
    <col min="9796" max="9976" width="10.77734375" style="148"/>
    <col min="9977" max="10051" width="6.33203125" style="148" customWidth="1"/>
    <col min="10052" max="10232" width="10.77734375" style="148"/>
    <col min="10233" max="10307" width="6.33203125" style="148" customWidth="1"/>
    <col min="10308" max="10488" width="10.77734375" style="148"/>
    <col min="10489" max="10563" width="6.33203125" style="148" customWidth="1"/>
    <col min="10564" max="10744" width="10.77734375" style="148"/>
    <col min="10745" max="10819" width="6.33203125" style="148" customWidth="1"/>
    <col min="10820" max="11000" width="10.77734375" style="148"/>
    <col min="11001" max="11075" width="6.33203125" style="148" customWidth="1"/>
    <col min="11076" max="11256" width="10.77734375" style="148"/>
    <col min="11257" max="11331" width="6.33203125" style="148" customWidth="1"/>
    <col min="11332" max="11512" width="10.77734375" style="148"/>
    <col min="11513" max="11587" width="6.33203125" style="148" customWidth="1"/>
    <col min="11588" max="11768" width="10.77734375" style="148"/>
    <col min="11769" max="11843" width="6.33203125" style="148" customWidth="1"/>
    <col min="11844" max="12024" width="10.77734375" style="148"/>
    <col min="12025" max="12099" width="6.33203125" style="148" customWidth="1"/>
    <col min="12100" max="12280" width="10.77734375" style="148"/>
    <col min="12281" max="12355" width="6.33203125" style="148" customWidth="1"/>
    <col min="12356" max="12536" width="10.77734375" style="148"/>
    <col min="12537" max="12611" width="6.33203125" style="148" customWidth="1"/>
    <col min="12612" max="12792" width="10.77734375" style="148"/>
    <col min="12793" max="12867" width="6.33203125" style="148" customWidth="1"/>
    <col min="12868" max="13048" width="10.77734375" style="148"/>
    <col min="13049" max="13123" width="6.33203125" style="148" customWidth="1"/>
    <col min="13124" max="13304" width="10.77734375" style="148"/>
    <col min="13305" max="13379" width="6.33203125" style="148" customWidth="1"/>
    <col min="13380" max="13560" width="10.77734375" style="148"/>
    <col min="13561" max="13635" width="6.33203125" style="148" customWidth="1"/>
    <col min="13636" max="13816" width="10.77734375" style="148"/>
    <col min="13817" max="13891" width="6.33203125" style="148" customWidth="1"/>
    <col min="13892" max="14072" width="10.77734375" style="148"/>
    <col min="14073" max="14147" width="6.33203125" style="148" customWidth="1"/>
    <col min="14148" max="14328" width="10.77734375" style="148"/>
    <col min="14329" max="14403" width="6.33203125" style="148" customWidth="1"/>
    <col min="14404" max="14584" width="10.77734375" style="148"/>
    <col min="14585" max="14659" width="6.33203125" style="148" customWidth="1"/>
    <col min="14660" max="14840" width="10.77734375" style="148"/>
    <col min="14841" max="14915" width="6.33203125" style="148" customWidth="1"/>
    <col min="14916" max="15096" width="10.77734375" style="148"/>
    <col min="15097" max="15171" width="6.33203125" style="148" customWidth="1"/>
    <col min="15172" max="15352" width="10.77734375" style="148"/>
    <col min="15353" max="15427" width="6.33203125" style="148" customWidth="1"/>
    <col min="15428" max="15608" width="10.77734375" style="148"/>
    <col min="15609" max="15683" width="6.33203125" style="148" customWidth="1"/>
    <col min="15684" max="15864" width="10.77734375" style="148"/>
    <col min="15865" max="15939" width="6.33203125" style="148" customWidth="1"/>
    <col min="15940" max="16120" width="10.77734375" style="148"/>
    <col min="16121" max="16195" width="6.33203125" style="148" customWidth="1"/>
    <col min="16196" max="16384" width="10.77734375" style="148"/>
  </cols>
  <sheetData>
    <row r="1" spans="1:19" ht="13.95" customHeight="1" x14ac:dyDescent="0.3">
      <c r="A1" s="153" t="s">
        <v>339</v>
      </c>
      <c r="B1" s="149"/>
      <c r="C1" s="149"/>
      <c r="D1" s="149"/>
      <c r="E1" s="149"/>
      <c r="F1" s="149"/>
      <c r="G1" s="149"/>
      <c r="H1" s="149"/>
      <c r="I1" s="149"/>
      <c r="J1" s="149"/>
      <c r="K1" s="149"/>
      <c r="L1" s="149"/>
      <c r="M1" s="149"/>
      <c r="N1" s="149"/>
      <c r="O1" s="149"/>
      <c r="P1" s="149"/>
      <c r="Q1" s="149"/>
      <c r="R1" s="149"/>
    </row>
    <row r="2" spans="1:19" ht="13.95" customHeight="1" x14ac:dyDescent="0.25">
      <c r="A2" s="1" t="s">
        <v>301</v>
      </c>
      <c r="B2" s="149"/>
      <c r="C2" s="149"/>
      <c r="D2" s="149"/>
      <c r="E2" s="149"/>
      <c r="F2" s="149"/>
      <c r="G2" s="149"/>
      <c r="H2" s="149"/>
      <c r="I2" s="149"/>
      <c r="J2" s="149"/>
      <c r="K2" s="149"/>
      <c r="L2" s="149"/>
      <c r="M2" s="149"/>
      <c r="N2" s="149"/>
      <c r="O2" s="149"/>
      <c r="P2" s="149"/>
      <c r="Q2" s="149"/>
      <c r="R2" s="149"/>
    </row>
    <row r="3" spans="1:19" ht="73.8" customHeight="1" x14ac:dyDescent="0.25">
      <c r="A3" s="150"/>
      <c r="B3" s="279" t="s">
        <v>314</v>
      </c>
      <c r="C3" s="279" t="s">
        <v>321</v>
      </c>
      <c r="D3" s="279" t="s">
        <v>322</v>
      </c>
      <c r="E3" s="279" t="s">
        <v>383</v>
      </c>
      <c r="F3" s="279" t="s">
        <v>388</v>
      </c>
      <c r="G3" s="279" t="s">
        <v>386</v>
      </c>
      <c r="H3" s="279" t="s">
        <v>385</v>
      </c>
      <c r="I3" s="279" t="s">
        <v>384</v>
      </c>
      <c r="J3" s="279" t="s">
        <v>387</v>
      </c>
      <c r="K3" s="279" t="str">
        <f>DataG8.1Details2!AH7</f>
        <v>Europe de l'Ouest</v>
      </c>
      <c r="L3" s="279" t="str">
        <f>DataG8.1Details2!AI7</f>
        <v>Europe de l'Est</v>
      </c>
      <c r="M3" s="279" t="str">
        <f>DataG8.1Details2!AJ7</f>
        <v>Russie (+Ukraine/ Biélorussie/ Moldavie)</v>
      </c>
      <c r="N3" s="279" t="str">
        <f>DataG8.1Details2!AK7</f>
        <v>Amérique du Nord</v>
      </c>
      <c r="O3" s="279" t="str">
        <f>DataG8.1Details2!AL7</f>
        <v>Amérique Latine</v>
      </c>
      <c r="P3" s="279" t="str">
        <f>DataG8.1Details2!AM7</f>
        <v>Afrique du Nord</v>
      </c>
      <c r="Q3" s="279" t="str">
        <f>DataG8.1Details2!AN7</f>
        <v>Afrique Sub-saharienne</v>
      </c>
      <c r="R3" s="279" t="str">
        <f>DataG8.1Details2!AO7</f>
        <v>Chine</v>
      </c>
      <c r="S3" s="279" t="str">
        <f>DataG8.1Details2!AP7</f>
        <v>Inde</v>
      </c>
    </row>
    <row r="4" spans="1:19" ht="13.95" customHeight="1" x14ac:dyDescent="0.25">
      <c r="A4" s="150">
        <v>1700</v>
      </c>
      <c r="B4" s="154">
        <f>DataG8.1Details1!H$11</f>
        <v>603.4899999999999</v>
      </c>
      <c r="C4" s="154">
        <f>S4</f>
        <v>165</v>
      </c>
      <c r="D4" s="154">
        <f>R4</f>
        <v>138</v>
      </c>
      <c r="E4" s="154">
        <f>B4-C4-D4-H4-I4-F4</f>
        <v>103.07814746166152</v>
      </c>
      <c r="F4" s="154">
        <f>P4+Q4</f>
        <v>61.08</v>
      </c>
      <c r="G4" s="154">
        <f>K4+L4</f>
        <v>100.25999999999999</v>
      </c>
      <c r="H4" s="154">
        <f>K4+L4+M4</f>
        <v>123.08185253833838</v>
      </c>
      <c r="I4" s="154">
        <f>N4+O4</f>
        <v>13.25</v>
      </c>
      <c r="J4" s="154">
        <f>C4+D4+E4</f>
        <v>406.0781474616615</v>
      </c>
      <c r="K4" s="154">
        <f>DataG8.1Details2!AH$11</f>
        <v>81.459999999999994</v>
      </c>
      <c r="L4" s="154">
        <f>DataG8.1Details2!AI$11</f>
        <v>18.8</v>
      </c>
      <c r="M4" s="154">
        <f>DataG8.1Details2!AJ$11</f>
        <v>22.821852538338394</v>
      </c>
      <c r="N4" s="154">
        <f>DataG8.1Details2!AK$11</f>
        <v>1.2</v>
      </c>
      <c r="O4" s="154">
        <f>DataG8.1Details2!AL$11</f>
        <v>12.05</v>
      </c>
      <c r="P4" s="154">
        <f>DataG8.1Details2!AM$11</f>
        <v>9.3000000000000007</v>
      </c>
      <c r="Q4" s="154">
        <f>DataG8.1Details2!AN$11</f>
        <v>51.78</v>
      </c>
      <c r="R4" s="154">
        <f>DataG8.1Details2!AO$11</f>
        <v>138</v>
      </c>
      <c r="S4" s="154">
        <f>DataG8.1Details2!AP$11</f>
        <v>165</v>
      </c>
    </row>
    <row r="5" spans="1:19" ht="13.95" customHeight="1" x14ac:dyDescent="0.25">
      <c r="A5" s="150"/>
      <c r="B5" s="154"/>
      <c r="C5" s="154"/>
      <c r="D5" s="154"/>
      <c r="E5" s="154"/>
      <c r="F5" s="154"/>
      <c r="G5" s="154"/>
      <c r="H5" s="154"/>
      <c r="I5" s="154"/>
      <c r="J5" s="154"/>
      <c r="K5" s="154"/>
      <c r="L5" s="154"/>
      <c r="M5" s="154"/>
      <c r="N5" s="154"/>
      <c r="O5" s="154"/>
      <c r="P5" s="154"/>
      <c r="Q5" s="154"/>
      <c r="R5" s="154"/>
      <c r="S5" s="154"/>
    </row>
    <row r="6" spans="1:19" ht="13.95" customHeight="1" x14ac:dyDescent="0.25">
      <c r="A6" s="150"/>
      <c r="B6" s="154"/>
      <c r="C6" s="154"/>
      <c r="D6" s="154"/>
      <c r="E6" s="154"/>
      <c r="F6" s="154"/>
      <c r="G6" s="154"/>
      <c r="H6" s="154"/>
      <c r="I6" s="154"/>
      <c r="J6" s="154"/>
      <c r="K6" s="154"/>
      <c r="L6" s="154"/>
      <c r="M6" s="154"/>
      <c r="N6" s="154"/>
      <c r="O6" s="154"/>
      <c r="P6" s="154"/>
      <c r="Q6" s="154"/>
      <c r="R6" s="154"/>
      <c r="S6" s="154"/>
    </row>
    <row r="7" spans="1:19" ht="13.95" customHeight="1" x14ac:dyDescent="0.25">
      <c r="A7" s="150"/>
      <c r="B7" s="154"/>
      <c r="C7" s="154"/>
      <c r="D7" s="154"/>
      <c r="E7" s="154"/>
      <c r="F7" s="154"/>
      <c r="G7" s="154"/>
      <c r="H7" s="154"/>
      <c r="I7" s="154"/>
      <c r="J7" s="154"/>
      <c r="K7" s="154"/>
      <c r="L7" s="154"/>
      <c r="M7" s="154"/>
      <c r="N7" s="154"/>
      <c r="O7" s="154"/>
      <c r="P7" s="154"/>
      <c r="Q7" s="154"/>
      <c r="R7" s="154"/>
      <c r="S7" s="154"/>
    </row>
    <row r="8" spans="1:19" ht="13.95" customHeight="1" x14ac:dyDescent="0.25">
      <c r="A8" s="150">
        <v>1740</v>
      </c>
      <c r="B8" s="154"/>
      <c r="C8" s="154"/>
      <c r="D8" s="154"/>
      <c r="E8" s="154"/>
      <c r="F8" s="154"/>
      <c r="G8" s="154"/>
      <c r="H8" s="154"/>
      <c r="I8" s="154"/>
      <c r="J8" s="154"/>
      <c r="K8" s="154"/>
      <c r="L8" s="154"/>
      <c r="M8" s="154"/>
      <c r="N8" s="154"/>
      <c r="O8" s="154"/>
      <c r="P8" s="154"/>
      <c r="Q8" s="154"/>
      <c r="R8" s="154"/>
      <c r="S8" s="154"/>
    </row>
    <row r="9" spans="1:19" ht="13.95" customHeight="1" x14ac:dyDescent="0.25">
      <c r="A9" s="150"/>
      <c r="B9" s="154"/>
      <c r="C9" s="154"/>
      <c r="D9" s="154"/>
      <c r="E9" s="154"/>
      <c r="F9" s="154"/>
      <c r="G9" s="154"/>
      <c r="H9" s="154"/>
      <c r="I9" s="154"/>
      <c r="J9" s="154"/>
      <c r="K9" s="154"/>
      <c r="L9" s="154"/>
      <c r="M9" s="154"/>
      <c r="N9" s="154"/>
      <c r="O9" s="154"/>
      <c r="P9" s="154"/>
      <c r="Q9" s="154"/>
      <c r="R9" s="154"/>
      <c r="S9" s="154"/>
    </row>
    <row r="10" spans="1:19" ht="13.95" customHeight="1" x14ac:dyDescent="0.25">
      <c r="A10" s="150"/>
      <c r="B10" s="154">
        <f>B4*((B16/B4)^(60/120))</f>
        <v>792.88103968779365</v>
      </c>
      <c r="C10" s="154">
        <f>S10</f>
        <v>185.70137907095511</v>
      </c>
      <c r="D10" s="154">
        <f>R10</f>
        <v>229.29893152825636</v>
      </c>
      <c r="E10" s="154">
        <f>B10-C10-D10-H10-I10-F10</f>
        <v>127.75966954339651</v>
      </c>
      <c r="F10" s="154">
        <f>P10+Q10</f>
        <v>67.336258500290228</v>
      </c>
      <c r="G10" s="154">
        <f>K10+L10</f>
        <v>130.27830785846766</v>
      </c>
      <c r="H10" s="154">
        <f>K10+L10+M10</f>
        <v>163.05538159843971</v>
      </c>
      <c r="I10" s="154">
        <f>N10+O10</f>
        <v>19.729419446455687</v>
      </c>
      <c r="J10" s="154">
        <f>C10+D10+E10</f>
        <v>542.75998014260801</v>
      </c>
      <c r="K10" s="154">
        <f t="shared" ref="K10:R10" si="0">K4*((K16/K4)^(60/120))</f>
        <v>104.09832313731091</v>
      </c>
      <c r="L10" s="154">
        <f t="shared" si="0"/>
        <v>26.179984721156732</v>
      </c>
      <c r="M10" s="154">
        <f t="shared" si="0"/>
        <v>32.777073739972046</v>
      </c>
      <c r="N10" s="154">
        <f t="shared" si="0"/>
        <v>3.5994183196733331</v>
      </c>
      <c r="O10" s="154">
        <f t="shared" si="0"/>
        <v>16.130001126782354</v>
      </c>
      <c r="P10" s="154">
        <f t="shared" si="0"/>
        <v>10.107447749061086</v>
      </c>
      <c r="Q10" s="154">
        <f t="shared" si="0"/>
        <v>57.228810751229148</v>
      </c>
      <c r="R10" s="154">
        <f t="shared" si="0"/>
        <v>229.29893152825636</v>
      </c>
      <c r="S10" s="154">
        <f>S4*((S16/S4)^(60/120))</f>
        <v>185.70137907095511</v>
      </c>
    </row>
    <row r="11" spans="1:19" ht="13.95" customHeight="1" x14ac:dyDescent="0.25">
      <c r="A11" s="150"/>
      <c r="B11" s="154"/>
      <c r="C11" s="154"/>
      <c r="D11" s="154"/>
      <c r="E11" s="154"/>
      <c r="F11" s="154"/>
      <c r="G11" s="154"/>
      <c r="H11" s="154"/>
      <c r="I11" s="154"/>
      <c r="J11" s="154"/>
      <c r="K11" s="154"/>
      <c r="L11" s="154"/>
      <c r="M11" s="154"/>
      <c r="N11" s="154"/>
      <c r="O11" s="154"/>
      <c r="P11" s="154"/>
      <c r="Q11" s="154"/>
      <c r="R11" s="154"/>
      <c r="S11" s="154"/>
    </row>
    <row r="12" spans="1:19" ht="13.95" customHeight="1" x14ac:dyDescent="0.25">
      <c r="A12" s="150">
        <v>1780</v>
      </c>
      <c r="B12" s="154"/>
      <c r="C12" s="154"/>
      <c r="D12" s="154"/>
      <c r="E12" s="154"/>
      <c r="F12" s="154"/>
      <c r="G12" s="154"/>
      <c r="H12" s="154"/>
      <c r="I12" s="154"/>
      <c r="J12" s="154"/>
      <c r="K12" s="154"/>
      <c r="L12" s="154"/>
      <c r="M12" s="154"/>
      <c r="N12" s="154"/>
      <c r="O12" s="154"/>
      <c r="P12" s="154"/>
      <c r="Q12" s="154"/>
      <c r="R12" s="154"/>
      <c r="S12" s="154"/>
    </row>
    <row r="13" spans="1:19" ht="13.95" customHeight="1" x14ac:dyDescent="0.25">
      <c r="A13" s="150"/>
      <c r="B13" s="154"/>
      <c r="C13" s="154"/>
      <c r="D13" s="154"/>
      <c r="E13" s="154"/>
      <c r="F13" s="154"/>
      <c r="G13" s="154"/>
      <c r="H13" s="154"/>
      <c r="I13" s="154"/>
      <c r="J13" s="154"/>
      <c r="K13" s="154"/>
      <c r="L13" s="154"/>
      <c r="M13" s="154"/>
      <c r="N13" s="154"/>
      <c r="O13" s="154"/>
      <c r="P13" s="154"/>
      <c r="Q13" s="154"/>
      <c r="R13" s="154"/>
      <c r="S13" s="154"/>
    </row>
    <row r="14" spans="1:19" ht="13.95" customHeight="1" x14ac:dyDescent="0.25">
      <c r="A14" s="150"/>
      <c r="B14" s="154"/>
      <c r="C14" s="154"/>
      <c r="D14" s="154"/>
      <c r="E14" s="154"/>
      <c r="F14" s="154"/>
      <c r="G14" s="154"/>
      <c r="H14" s="154"/>
      <c r="I14" s="154"/>
      <c r="J14" s="154"/>
      <c r="K14" s="154"/>
      <c r="L14" s="154"/>
      <c r="M14" s="154"/>
      <c r="N14" s="154"/>
      <c r="O14" s="154"/>
      <c r="P14" s="154"/>
      <c r="Q14" s="154"/>
      <c r="R14" s="154"/>
      <c r="S14" s="154"/>
    </row>
    <row r="15" spans="1:19" ht="13.95" customHeight="1" x14ac:dyDescent="0.25">
      <c r="A15" s="150"/>
      <c r="B15" s="154"/>
      <c r="C15" s="154"/>
      <c r="D15" s="154"/>
      <c r="E15" s="154"/>
      <c r="F15" s="154"/>
      <c r="G15" s="154"/>
      <c r="H15" s="154"/>
      <c r="I15" s="154"/>
      <c r="J15" s="154"/>
      <c r="K15" s="154"/>
      <c r="L15" s="154"/>
      <c r="M15" s="154"/>
      <c r="N15" s="154"/>
      <c r="O15" s="154"/>
      <c r="P15" s="154"/>
      <c r="Q15" s="154"/>
      <c r="R15" s="154"/>
      <c r="S15" s="154"/>
    </row>
    <row r="16" spans="1:19" ht="13.95" customHeight="1" x14ac:dyDescent="0.25">
      <c r="A16" s="150">
        <v>1820</v>
      </c>
      <c r="B16" s="154">
        <f>DataG8.1Details1!H$12</f>
        <v>1041.7079704657854</v>
      </c>
      <c r="C16" s="154">
        <f>S16</f>
        <v>209.00001326578524</v>
      </c>
      <c r="D16" s="154">
        <f>R16</f>
        <v>381</v>
      </c>
      <c r="E16" s="154">
        <f>B16-C16-D16-H16-I16-F16</f>
        <v>128.52409400142756</v>
      </c>
      <c r="F16" s="154">
        <f>P16+Q16</f>
        <v>74.236000000000004</v>
      </c>
      <c r="G16" s="154">
        <f>K16+L16</f>
        <v>169.48499999999999</v>
      </c>
      <c r="H16" s="154">
        <f>K16+L16+M16</f>
        <v>216.55990599857256</v>
      </c>
      <c r="I16" s="154">
        <f>N16+O16</f>
        <v>32.387957200000002</v>
      </c>
      <c r="J16" s="154">
        <f>C16+D16+E16</f>
        <v>718.5241072672128</v>
      </c>
      <c r="K16" s="154">
        <f>DataG8.1Details2!AH$12</f>
        <v>133.02799999999999</v>
      </c>
      <c r="L16" s="154">
        <f>DataG8.1Details2!AI$12</f>
        <v>36.457000000000001</v>
      </c>
      <c r="M16" s="154">
        <f>DataG8.1Details2!AJ$12</f>
        <v>47.074905998572589</v>
      </c>
      <c r="N16" s="154">
        <f>DataG8.1Details2!AK$12</f>
        <v>10.796510200000002</v>
      </c>
      <c r="O16" s="154">
        <f>DataG8.1Details2!AL$12</f>
        <v>21.591446999999999</v>
      </c>
      <c r="P16" s="154">
        <f>DataG8.1Details2!AM$12</f>
        <v>10.984999999999999</v>
      </c>
      <c r="Q16" s="154">
        <f>DataG8.1Details2!AN$12</f>
        <v>63.251000000000005</v>
      </c>
      <c r="R16" s="154">
        <f>DataG8.1Details2!AO$12</f>
        <v>381</v>
      </c>
      <c r="S16" s="154">
        <f>DataG8.1Details2!AP$12</f>
        <v>209.00001326578524</v>
      </c>
    </row>
    <row r="17" spans="1:19" ht="13.95" customHeight="1" x14ac:dyDescent="0.25">
      <c r="A17" s="150"/>
      <c r="B17" s="154"/>
      <c r="C17" s="154"/>
      <c r="D17" s="154"/>
      <c r="E17" s="154"/>
      <c r="F17" s="154"/>
      <c r="G17" s="154"/>
      <c r="H17" s="154"/>
      <c r="I17" s="154"/>
      <c r="J17" s="154"/>
      <c r="K17" s="154"/>
      <c r="L17" s="154"/>
      <c r="M17" s="154"/>
      <c r="N17" s="154"/>
      <c r="O17" s="154"/>
      <c r="P17" s="154"/>
      <c r="Q17" s="154"/>
      <c r="R17" s="154"/>
      <c r="S17" s="154"/>
    </row>
    <row r="18" spans="1:19" ht="13.95" customHeight="1" x14ac:dyDescent="0.25">
      <c r="A18" s="150"/>
      <c r="B18" s="154"/>
      <c r="C18" s="154"/>
      <c r="D18" s="154"/>
      <c r="E18" s="154"/>
      <c r="F18" s="154"/>
      <c r="G18" s="154"/>
      <c r="H18" s="154"/>
      <c r="I18" s="154"/>
      <c r="J18" s="154"/>
      <c r="K18" s="154"/>
      <c r="L18" s="154"/>
      <c r="M18" s="154"/>
      <c r="N18" s="154"/>
      <c r="O18" s="154"/>
      <c r="P18" s="154"/>
      <c r="Q18" s="154"/>
      <c r="R18" s="154"/>
      <c r="S18" s="154"/>
    </row>
    <row r="19" spans="1:19" ht="13.95" customHeight="1" x14ac:dyDescent="0.25">
      <c r="A19" s="150"/>
      <c r="B19" s="154"/>
      <c r="C19" s="154"/>
      <c r="D19" s="154"/>
      <c r="E19" s="154"/>
      <c r="F19" s="154"/>
      <c r="G19" s="154"/>
      <c r="H19" s="154"/>
      <c r="I19" s="154"/>
      <c r="J19" s="154"/>
      <c r="K19" s="154"/>
      <c r="L19" s="154"/>
      <c r="M19" s="154"/>
      <c r="N19" s="154"/>
      <c r="O19" s="154"/>
      <c r="P19" s="154"/>
      <c r="Q19" s="154"/>
      <c r="R19" s="154"/>
      <c r="S19" s="154"/>
    </row>
    <row r="20" spans="1:19" ht="13.95" customHeight="1" x14ac:dyDescent="0.25">
      <c r="A20" s="150">
        <v>1860</v>
      </c>
      <c r="B20" s="154"/>
      <c r="C20" s="154"/>
      <c r="D20" s="154"/>
      <c r="E20" s="154"/>
      <c r="F20" s="154"/>
      <c r="G20" s="154"/>
      <c r="H20" s="154"/>
      <c r="I20" s="154"/>
      <c r="J20" s="154"/>
      <c r="K20" s="154"/>
      <c r="L20" s="154"/>
      <c r="M20" s="154"/>
      <c r="N20" s="154"/>
      <c r="O20" s="154"/>
      <c r="P20" s="154"/>
      <c r="Q20" s="154"/>
      <c r="R20" s="154"/>
      <c r="S20" s="154"/>
    </row>
    <row r="21" spans="1:19" ht="13.95" customHeight="1" x14ac:dyDescent="0.25">
      <c r="A21" s="150"/>
      <c r="B21" s="154">
        <f>DataG8.1Details1!H$13</f>
        <v>1275.7320676894062</v>
      </c>
      <c r="C21" s="154">
        <f>S21</f>
        <v>253.00001676234464</v>
      </c>
      <c r="D21" s="154">
        <f>R21</f>
        <v>358</v>
      </c>
      <c r="E21" s="154">
        <f>B21-C21-D21-H21-I21-F21</f>
        <v>172.56716284967763</v>
      </c>
      <c r="F21" s="154">
        <f>P21+Q21</f>
        <v>90.465999999999994</v>
      </c>
      <c r="G21" s="154">
        <f>K21+L21</f>
        <v>241.05599999999998</v>
      </c>
      <c r="H21" s="154">
        <f>K21+L21+M21</f>
        <v>317.27668957738388</v>
      </c>
      <c r="I21" s="154">
        <f>N21+O21</f>
        <v>84.422198500000007</v>
      </c>
      <c r="J21" s="154">
        <f>C21+D21+E21</f>
        <v>783.5671796120223</v>
      </c>
      <c r="K21" s="154">
        <f>DataG8.1Details1!P13</f>
        <v>187.499</v>
      </c>
      <c r="L21" s="154">
        <f>DataG8.1Details1!Q13</f>
        <v>53.557000000000002</v>
      </c>
      <c r="M21" s="154">
        <f>DataG8.1Details1!R13</f>
        <v>76.22068957738388</v>
      </c>
      <c r="N21" s="154">
        <f>DataG8.1Details1!S13</f>
        <v>44.021629500000003</v>
      </c>
      <c r="O21" s="154">
        <f>DataG8.1Details1!T13</f>
        <v>40.400569000000004</v>
      </c>
      <c r="P21" s="154">
        <f>DataG8.1Details1!U13</f>
        <v>15.776999999999999</v>
      </c>
      <c r="Q21" s="154">
        <f>DataG8.1Details1!V13</f>
        <v>74.688999999999993</v>
      </c>
      <c r="R21" s="154">
        <f>DataG8.1Details1!W13</f>
        <v>358</v>
      </c>
      <c r="S21" s="154">
        <f>DataG8.1Details1!X13</f>
        <v>253.00001676234464</v>
      </c>
    </row>
    <row r="22" spans="1:19" ht="13.95" customHeight="1" x14ac:dyDescent="0.25">
      <c r="A22" s="150"/>
      <c r="B22" s="154"/>
      <c r="C22" s="154"/>
      <c r="D22" s="154"/>
      <c r="E22" s="154"/>
      <c r="F22" s="154"/>
      <c r="G22" s="154"/>
      <c r="H22" s="154"/>
      <c r="I22" s="154"/>
      <c r="J22" s="154"/>
      <c r="K22" s="154"/>
      <c r="L22" s="154"/>
      <c r="M22" s="154"/>
      <c r="N22" s="154"/>
      <c r="O22" s="154"/>
      <c r="P22" s="154"/>
      <c r="Q22" s="154"/>
      <c r="R22" s="154"/>
      <c r="S22" s="154"/>
    </row>
    <row r="23" spans="1:19" ht="13.95" customHeight="1" x14ac:dyDescent="0.25">
      <c r="A23" s="150"/>
      <c r="B23" s="154"/>
      <c r="C23" s="154"/>
      <c r="D23" s="154"/>
      <c r="E23" s="154"/>
      <c r="F23" s="154"/>
      <c r="G23" s="154"/>
      <c r="H23" s="154"/>
      <c r="I23" s="154"/>
      <c r="J23" s="154"/>
      <c r="K23" s="154"/>
      <c r="L23" s="154"/>
      <c r="M23" s="154"/>
      <c r="N23" s="154"/>
      <c r="O23" s="154"/>
      <c r="P23" s="154"/>
      <c r="Q23" s="154"/>
      <c r="R23" s="154"/>
      <c r="S23" s="154"/>
    </row>
    <row r="24" spans="1:19" ht="13.95" customHeight="1" x14ac:dyDescent="0.25">
      <c r="A24" s="150">
        <v>1900</v>
      </c>
      <c r="B24" s="154"/>
      <c r="C24" s="154"/>
      <c r="D24" s="154"/>
      <c r="E24" s="154"/>
      <c r="F24" s="154"/>
      <c r="G24" s="154"/>
      <c r="H24" s="154"/>
      <c r="I24" s="154"/>
      <c r="J24" s="154"/>
      <c r="K24" s="154"/>
      <c r="L24" s="154"/>
      <c r="M24" s="154"/>
      <c r="N24" s="154"/>
      <c r="O24" s="154"/>
      <c r="P24" s="154"/>
      <c r="Q24" s="154"/>
      <c r="R24" s="154"/>
      <c r="S24" s="154"/>
    </row>
    <row r="25" spans="1:19" ht="13.95" customHeight="1" x14ac:dyDescent="0.25">
      <c r="A25" s="150"/>
      <c r="B25" s="154">
        <f>DataG8.1Details1!H$14</f>
        <v>1792.9247028219831</v>
      </c>
      <c r="C25" s="154">
        <f>S25</f>
        <v>303.7</v>
      </c>
      <c r="D25" s="154">
        <f>R25</f>
        <v>437.14</v>
      </c>
      <c r="E25" s="154">
        <f>B25-C25-D25-H25-I25-F25</f>
        <v>266.33452264615835</v>
      </c>
      <c r="F25" s="154">
        <f>P25+Q25</f>
        <v>124.697</v>
      </c>
      <c r="G25" s="154">
        <f>K25+L25</f>
        <v>340.505</v>
      </c>
      <c r="H25" s="154">
        <f>K25+L25+M25</f>
        <v>474.76454017582489</v>
      </c>
      <c r="I25" s="154">
        <f>N25+O25</f>
        <v>186.28863999999999</v>
      </c>
      <c r="J25" s="154">
        <f>C25+D25+E25</f>
        <v>1007.1745226461583</v>
      </c>
      <c r="K25" s="154">
        <f>DataG8.1Details2!AH$13</f>
        <v>260.97500000000002</v>
      </c>
      <c r="L25" s="154">
        <f>DataG8.1Details2!AI$13</f>
        <v>79.53</v>
      </c>
      <c r="M25" s="154">
        <f>DataG8.1Details2!AJ$13</f>
        <v>134.2595401758249</v>
      </c>
      <c r="N25" s="154">
        <f>DataG8.1Details2!AK$13</f>
        <v>105.458</v>
      </c>
      <c r="O25" s="154">
        <f>DataG8.1Details2!AL$13</f>
        <v>80.830640000000002</v>
      </c>
      <c r="P25" s="154">
        <f>DataG8.1Details2!AM$13</f>
        <v>24.622</v>
      </c>
      <c r="Q25" s="154">
        <f>DataG8.1Details2!AN$13</f>
        <v>100.075</v>
      </c>
      <c r="R25" s="154">
        <f>DataG8.1Details2!AO$13</f>
        <v>437.14</v>
      </c>
      <c r="S25" s="154">
        <f>DataG8.1Details2!AP$13</f>
        <v>303.7</v>
      </c>
    </row>
    <row r="26" spans="1:19" ht="13.95" customHeight="1" x14ac:dyDescent="0.25">
      <c r="A26" s="150"/>
      <c r="B26" s="154"/>
      <c r="C26" s="154"/>
      <c r="D26" s="154"/>
      <c r="E26" s="154"/>
      <c r="F26" s="154"/>
      <c r="G26" s="154"/>
      <c r="H26" s="154"/>
      <c r="I26" s="154"/>
      <c r="J26" s="154"/>
      <c r="K26" s="154"/>
      <c r="L26" s="154"/>
      <c r="M26" s="154"/>
      <c r="N26" s="154"/>
      <c r="O26" s="154"/>
      <c r="P26" s="154"/>
      <c r="Q26" s="154"/>
      <c r="R26" s="154"/>
      <c r="S26" s="154"/>
    </row>
    <row r="27" spans="1:19" ht="13.95" customHeight="1" x14ac:dyDescent="0.25">
      <c r="A27" s="150"/>
      <c r="B27" s="154"/>
      <c r="C27" s="154"/>
      <c r="D27" s="154"/>
      <c r="E27" s="154"/>
      <c r="F27" s="154"/>
      <c r="G27" s="154"/>
      <c r="H27" s="154"/>
      <c r="I27" s="154"/>
      <c r="J27" s="154"/>
      <c r="K27" s="154"/>
      <c r="L27" s="154"/>
      <c r="M27" s="154"/>
      <c r="N27" s="154"/>
      <c r="O27" s="154"/>
      <c r="P27" s="154"/>
      <c r="Q27" s="154"/>
      <c r="R27" s="154"/>
      <c r="S27" s="154"/>
    </row>
    <row r="28" spans="1:19" ht="13.95" customHeight="1" x14ac:dyDescent="0.25">
      <c r="A28" s="150">
        <v>1940</v>
      </c>
      <c r="B28" s="154"/>
      <c r="C28" s="154"/>
      <c r="D28" s="154"/>
      <c r="E28" s="154"/>
      <c r="F28" s="154"/>
      <c r="G28" s="154"/>
      <c r="H28" s="154"/>
      <c r="I28" s="154"/>
      <c r="J28" s="154"/>
      <c r="K28" s="154"/>
      <c r="L28" s="154"/>
      <c r="M28" s="154"/>
      <c r="N28" s="154"/>
      <c r="O28" s="154"/>
      <c r="P28" s="154"/>
      <c r="Q28" s="154"/>
      <c r="R28" s="154"/>
      <c r="S28" s="154"/>
    </row>
    <row r="29" spans="1:19" ht="13.95" customHeight="1" x14ac:dyDescent="0.25">
      <c r="A29" s="150"/>
      <c r="B29" s="154">
        <f>DataG8.1Details1!H$15</f>
        <v>2527.9598949347428</v>
      </c>
      <c r="C29" s="154">
        <f>S29</f>
        <v>359</v>
      </c>
      <c r="D29" s="154">
        <f>R29</f>
        <v>546.81500000000005</v>
      </c>
      <c r="E29" s="154">
        <f>B29-C29-D29-H29-I29-F29</f>
        <v>514.81446993474276</v>
      </c>
      <c r="F29" s="154">
        <f>P29+Q29</f>
        <v>227.93904599999999</v>
      </c>
      <c r="G29" s="154">
        <f>K29+L29</f>
        <v>393.26589100000001</v>
      </c>
      <c r="H29" s="154">
        <f>K29+L29+M29</f>
        <v>547.62141500000007</v>
      </c>
      <c r="I29" s="154">
        <f>N29+O29</f>
        <v>331.76996399999996</v>
      </c>
      <c r="J29" s="154">
        <f>C29+D29+E29</f>
        <v>1420.6294699347427</v>
      </c>
      <c r="K29" s="154">
        <f>DataG8.1Details2!AH$14</f>
        <v>305.62913600000002</v>
      </c>
      <c r="L29" s="154">
        <f>DataG8.1Details2!AI$14</f>
        <v>87.636755000000008</v>
      </c>
      <c r="M29" s="154">
        <f>DataG8.1Details2!AJ$14</f>
        <v>154.355524</v>
      </c>
      <c r="N29" s="154">
        <f>DataG8.1Details2!AK$14</f>
        <v>166.282422</v>
      </c>
      <c r="O29" s="154">
        <f>DataG8.1Details2!AL$14</f>
        <v>165.48754199999999</v>
      </c>
      <c r="P29" s="154">
        <f>DataG8.1Details2!AM$14</f>
        <v>43.912307999999996</v>
      </c>
      <c r="Q29" s="154">
        <f>DataG8.1Details2!AN$14</f>
        <v>184.02673799999999</v>
      </c>
      <c r="R29" s="154">
        <f>DataG8.1Details2!AO$14</f>
        <v>546.81500000000005</v>
      </c>
      <c r="S29" s="154">
        <f>DataG8.1Details2!AP$14</f>
        <v>359</v>
      </c>
    </row>
    <row r="30" spans="1:19" ht="13.95" customHeight="1" x14ac:dyDescent="0.25">
      <c r="A30" s="150"/>
      <c r="B30" s="154"/>
      <c r="C30" s="154"/>
      <c r="D30" s="154"/>
      <c r="E30" s="154"/>
      <c r="F30" s="154"/>
      <c r="G30" s="154"/>
      <c r="H30" s="154"/>
      <c r="I30" s="154"/>
      <c r="J30" s="154"/>
      <c r="K30" s="154"/>
      <c r="L30" s="154"/>
      <c r="M30" s="154"/>
      <c r="N30" s="154"/>
      <c r="O30" s="154"/>
      <c r="P30" s="154"/>
      <c r="Q30" s="154"/>
      <c r="R30" s="154"/>
      <c r="S30" s="154"/>
    </row>
    <row r="31" spans="1:19" ht="13.95" customHeight="1" x14ac:dyDescent="0.25">
      <c r="A31" s="150"/>
      <c r="B31" s="154">
        <f>DataG8.1Details1!H$16</f>
        <v>3691.1574281273156</v>
      </c>
      <c r="C31" s="154">
        <f>S31</f>
        <v>541</v>
      </c>
      <c r="D31" s="154">
        <f>R31</f>
        <v>818.31500000000005</v>
      </c>
      <c r="E31" s="154">
        <f>B31-C31-D31-H31-I31-F31</f>
        <v>795.58754612731536</v>
      </c>
      <c r="F31" s="154">
        <f>P31+Q31</f>
        <v>365.89757700000013</v>
      </c>
      <c r="G31" s="154">
        <f>K31+L31</f>
        <v>461.29148699999996</v>
      </c>
      <c r="H31" s="154">
        <f>K31+L31+M31</f>
        <v>658.25627899999995</v>
      </c>
      <c r="I31" s="154">
        <f>N31+O31</f>
        <v>512.10102600000005</v>
      </c>
      <c r="J31" s="154">
        <f>C31+D31+E31</f>
        <v>2154.9025461273154</v>
      </c>
      <c r="K31" s="154">
        <f>DataG8.1Details2!AH$15</f>
        <v>353.37092399999995</v>
      </c>
      <c r="L31" s="154">
        <f>DataG8.1Details2!AI$15</f>
        <v>107.920563</v>
      </c>
      <c r="M31" s="154">
        <f>DataG8.1Details2!AJ$15</f>
        <v>196.96479199999999</v>
      </c>
      <c r="N31" s="154">
        <f>DataG8.1Details2!AK$15</f>
        <v>226.801986</v>
      </c>
      <c r="O31" s="154">
        <f>DataG8.1Details2!AL$15</f>
        <v>285.29903999999999</v>
      </c>
      <c r="P31" s="154">
        <f>DataG8.1Details2!AM$15</f>
        <v>70.512935999999982</v>
      </c>
      <c r="Q31" s="154">
        <f>DataG8.1Details2!AN$15</f>
        <v>295.38464100000016</v>
      </c>
      <c r="R31" s="154">
        <f>DataG8.1Details2!AO$15</f>
        <v>818.31500000000005</v>
      </c>
      <c r="S31" s="154">
        <f>DataG8.1Details2!AP$15</f>
        <v>541</v>
      </c>
    </row>
    <row r="32" spans="1:19" ht="13.95" customHeight="1" x14ac:dyDescent="0.25">
      <c r="A32" s="150">
        <v>1980</v>
      </c>
      <c r="B32" s="154"/>
      <c r="C32" s="154"/>
      <c r="D32" s="154"/>
      <c r="E32" s="154"/>
      <c r="F32" s="154"/>
      <c r="G32" s="154"/>
      <c r="H32" s="154"/>
      <c r="I32" s="154"/>
      <c r="J32" s="154"/>
      <c r="K32" s="154"/>
      <c r="L32" s="154"/>
      <c r="M32" s="154"/>
      <c r="N32" s="154"/>
      <c r="O32" s="154"/>
      <c r="P32" s="154"/>
      <c r="Q32" s="154"/>
      <c r="R32" s="154"/>
      <c r="S32" s="154"/>
    </row>
    <row r="33" spans="1:20" ht="13.95" customHeight="1" x14ac:dyDescent="0.25">
      <c r="A33" s="150"/>
      <c r="B33" s="154">
        <f>DataG8.1Details1!H$17</f>
        <v>5306.4251540000005</v>
      </c>
      <c r="C33" s="154">
        <f>S33</f>
        <v>873.78544899999997</v>
      </c>
      <c r="D33" s="154">
        <f>R33</f>
        <v>1145.1952290000002</v>
      </c>
      <c r="E33" s="154">
        <f>B33-C33-D33-H33-I33-F33</f>
        <v>1207.4671370000008</v>
      </c>
      <c r="F33" s="154">
        <f>P33+Q33</f>
        <v>635.286969</v>
      </c>
      <c r="G33" s="154">
        <f>K33+L33</f>
        <v>505.98506800000007</v>
      </c>
      <c r="H33" s="154">
        <f>K33+L33+M33</f>
        <v>720.49713300000008</v>
      </c>
      <c r="I33" s="154">
        <f>N33+O33</f>
        <v>724.19323699999995</v>
      </c>
      <c r="J33" s="154">
        <f>C33+D33+E33</f>
        <v>3226.4478150000009</v>
      </c>
      <c r="K33" s="154">
        <f>DataG8.1Details2!AH$16</f>
        <v>375.89822999999996</v>
      </c>
      <c r="L33" s="154">
        <f>DataG8.1Details2!AI$16</f>
        <v>130.08683800000009</v>
      </c>
      <c r="M33" s="154">
        <f>DataG8.1Details2!AJ$16</f>
        <v>214.51206499999998</v>
      </c>
      <c r="N33" s="154">
        <f>DataG8.1Details2!AK$16</f>
        <v>281.16157699999997</v>
      </c>
      <c r="O33" s="154">
        <f>DataG8.1Details2!AL$16</f>
        <v>443.03165999999999</v>
      </c>
      <c r="P33" s="154">
        <f>DataG8.1Details2!AM$16</f>
        <v>119.693926</v>
      </c>
      <c r="Q33" s="154">
        <f>DataG8.1Details2!AN$16</f>
        <v>515.59304299999997</v>
      </c>
      <c r="R33" s="154">
        <f>DataG8.1Details2!AO$16</f>
        <v>1145.1952290000002</v>
      </c>
      <c r="S33" s="154">
        <f>DataG8.1Details2!AP$16</f>
        <v>873.78544899999997</v>
      </c>
    </row>
    <row r="34" spans="1:20" ht="13.95" customHeight="1" x14ac:dyDescent="0.25">
      <c r="A34" s="150"/>
      <c r="B34" s="154"/>
      <c r="C34" s="154"/>
      <c r="D34" s="154"/>
      <c r="E34" s="154"/>
      <c r="F34" s="154"/>
      <c r="G34" s="154"/>
      <c r="H34" s="154"/>
      <c r="I34" s="154"/>
      <c r="J34" s="154"/>
      <c r="K34" s="154"/>
      <c r="L34" s="154"/>
      <c r="M34" s="154"/>
      <c r="N34" s="154"/>
      <c r="O34" s="154"/>
      <c r="P34" s="154"/>
      <c r="Q34" s="154"/>
      <c r="R34" s="154"/>
      <c r="S34" s="154"/>
    </row>
    <row r="35" spans="1:20" ht="13.95" customHeight="1" x14ac:dyDescent="0.25">
      <c r="A35" s="150"/>
      <c r="B35" s="154">
        <f>(DataG8.1Details1!H$18)/((1+T45)^2)</f>
        <v>6926.8902032353044</v>
      </c>
      <c r="C35" s="154">
        <f t="shared" ref="C35:C37" si="1">S35</f>
        <v>1258.3509709999998</v>
      </c>
      <c r="D35" s="154">
        <f t="shared" ref="D35:D37" si="2">R35</f>
        <v>1353.6006869999999</v>
      </c>
      <c r="E35" s="154">
        <f>B35-C35-D35-H35-I35-F35</f>
        <v>1550.8981602353044</v>
      </c>
      <c r="F35" s="154">
        <f>P35+Q35</f>
        <v>1070.096166</v>
      </c>
      <c r="G35" s="154">
        <f t="shared" ref="G35:G39" si="3">K35+L35</f>
        <v>539.48523799999998</v>
      </c>
      <c r="H35" s="154">
        <f t="shared" ref="H35:H37" si="4">K35+L35+M35</f>
        <v>740.17545099999995</v>
      </c>
      <c r="I35" s="154">
        <f t="shared" ref="I35:I37" si="5">N35+O35</f>
        <v>953.76876800000014</v>
      </c>
      <c r="J35" s="154">
        <f t="shared" ref="J35:J39" si="6">C35+D35+E35</f>
        <v>4162.8498182353042</v>
      </c>
      <c r="K35" s="154">
        <f>DataG8.1Details2!AH$17</f>
        <v>413.57516700000008</v>
      </c>
      <c r="L35" s="154">
        <f>DataG8.1Details2!AI$17</f>
        <v>125.91007099999993</v>
      </c>
      <c r="M35" s="154">
        <f>DataG8.1Details2!AJ$17</f>
        <v>200.690213</v>
      </c>
      <c r="N35" s="154">
        <f>DataG8.1Details2!AK$17</f>
        <v>350.594539</v>
      </c>
      <c r="O35" s="154">
        <f>DataG8.1Details2!AL$17</f>
        <v>603.17422900000008</v>
      </c>
      <c r="P35" s="154">
        <f>DataG8.1Details2!AM$17</f>
        <v>170.78379100000001</v>
      </c>
      <c r="Q35" s="154">
        <f>DataG8.1Details2!AN$17</f>
        <v>899.31237499999997</v>
      </c>
      <c r="R35" s="154">
        <f>DataG8.1Details2!AO$17</f>
        <v>1353.6006869999999</v>
      </c>
      <c r="S35" s="154">
        <f>DataG8.1Details2!AP$17</f>
        <v>1258.3509709999998</v>
      </c>
    </row>
    <row r="36" spans="1:20" ht="13.95" customHeight="1" x14ac:dyDescent="0.25">
      <c r="A36" s="150">
        <v>2020</v>
      </c>
      <c r="B36" s="154">
        <f>B35*((1+T45)^10)</f>
        <v>7576.1744484624223</v>
      </c>
      <c r="C36" s="154">
        <f t="shared" si="1"/>
        <v>1384.5849470323576</v>
      </c>
      <c r="D36" s="154">
        <f t="shared" si="2"/>
        <v>1373.1965346184277</v>
      </c>
      <c r="E36" s="154">
        <f>B36-C36-D36-H36-I36-F36</f>
        <v>1760.0950137731647</v>
      </c>
      <c r="F36" s="154">
        <f>P36+Q36</f>
        <v>1291.9875420341418</v>
      </c>
      <c r="G36" s="154">
        <f t="shared" si="3"/>
        <v>545.77701410917177</v>
      </c>
      <c r="H36" s="154">
        <f t="shared" si="4"/>
        <v>740.5211489857594</v>
      </c>
      <c r="I36" s="154">
        <f t="shared" si="5"/>
        <v>1025.7892620185712</v>
      </c>
      <c r="J36" s="154">
        <f t="shared" si="6"/>
        <v>4517.8764954239505</v>
      </c>
      <c r="K36" s="154">
        <f t="shared" ref="K36:R36" si="7">K35*((K37/K35)^(10/20))</f>
        <v>421.75145040379056</v>
      </c>
      <c r="L36" s="154">
        <f t="shared" si="7"/>
        <v>124.02556370538126</v>
      </c>
      <c r="M36" s="154">
        <f t="shared" si="7"/>
        <v>194.74413487658765</v>
      </c>
      <c r="N36" s="154">
        <f t="shared" si="7"/>
        <v>375.25809639695325</v>
      </c>
      <c r="O36" s="154">
        <f t="shared" si="7"/>
        <v>650.53116562161802</v>
      </c>
      <c r="P36" s="154">
        <f t="shared" si="7"/>
        <v>188.59993593119873</v>
      </c>
      <c r="Q36" s="154">
        <f t="shared" si="7"/>
        <v>1103.3876061029432</v>
      </c>
      <c r="R36" s="154">
        <f t="shared" si="7"/>
        <v>1373.1965346184277</v>
      </c>
      <c r="S36" s="154">
        <f>S35*((S37/S35)^(10/20))</f>
        <v>1384.5849470323576</v>
      </c>
    </row>
    <row r="37" spans="1:20" ht="13.95" customHeight="1" x14ac:dyDescent="0.25">
      <c r="A37" s="150"/>
      <c r="B37" s="154">
        <f>DataG8.1Details2!AG18</f>
        <v>8321.37961</v>
      </c>
      <c r="C37" s="154">
        <f t="shared" si="1"/>
        <v>1523.4823349999999</v>
      </c>
      <c r="D37" s="154">
        <f t="shared" si="2"/>
        <v>1393.0760680000001</v>
      </c>
      <c r="E37" s="154">
        <f>B37-C37-D37-H37-I37-F37</f>
        <v>1998.2784389999999</v>
      </c>
      <c r="F37" s="154">
        <f>P37+Q37</f>
        <v>1562.0469890000002</v>
      </c>
      <c r="G37" s="154">
        <f t="shared" si="3"/>
        <v>552.2586389999999</v>
      </c>
      <c r="H37" s="154">
        <f t="shared" si="4"/>
        <v>741.23286699999994</v>
      </c>
      <c r="I37" s="154">
        <f t="shared" si="5"/>
        <v>1103.2629119999999</v>
      </c>
      <c r="J37" s="154">
        <f t="shared" si="6"/>
        <v>4914.8368419999997</v>
      </c>
      <c r="K37" s="154">
        <f>DataG8.1Details2!AH$18</f>
        <v>430.08937700000001</v>
      </c>
      <c r="L37" s="154">
        <f>DataG8.1Details2!AI$18</f>
        <v>122.16926199999992</v>
      </c>
      <c r="M37" s="154">
        <f>DataG8.1Details2!AJ$18</f>
        <v>188.97422800000001</v>
      </c>
      <c r="N37" s="154">
        <f>DataG8.1Details2!AK$18</f>
        <v>401.65668099999999</v>
      </c>
      <c r="O37" s="154">
        <f>DataG8.1Details2!AL$18</f>
        <v>701.60623099999998</v>
      </c>
      <c r="P37" s="154">
        <f>DataG8.1Details2!AM$18</f>
        <v>208.27465899999999</v>
      </c>
      <c r="Q37" s="154">
        <f>DataG8.1Details2!AN$18</f>
        <v>1353.7723300000002</v>
      </c>
      <c r="R37" s="154">
        <f>DataG8.1Details2!AO$18</f>
        <v>1393.0760680000001</v>
      </c>
      <c r="S37" s="154">
        <f>DataG8.1Details2!AP$18</f>
        <v>1523.4823349999999</v>
      </c>
    </row>
    <row r="38" spans="1:20" ht="13.95" customHeight="1" x14ac:dyDescent="0.25">
      <c r="A38" s="150"/>
      <c r="B38" s="154"/>
      <c r="C38" s="154"/>
      <c r="D38" s="154"/>
      <c r="E38" s="154"/>
      <c r="F38" s="154"/>
      <c r="G38" s="154"/>
      <c r="H38" s="154"/>
      <c r="I38" s="154"/>
      <c r="J38" s="154"/>
      <c r="K38" s="154"/>
      <c r="L38" s="154"/>
      <c r="M38" s="154"/>
      <c r="N38" s="154"/>
      <c r="O38" s="154"/>
      <c r="P38" s="154"/>
      <c r="Q38" s="154"/>
      <c r="R38" s="154"/>
      <c r="S38" s="154"/>
    </row>
    <row r="39" spans="1:20" ht="13.95" customHeight="1" x14ac:dyDescent="0.25">
      <c r="A39" s="150">
        <v>2050</v>
      </c>
      <c r="B39" s="154">
        <f>DataG8.1Details2!AG19</f>
        <v>9306.1279859999995</v>
      </c>
      <c r="C39" s="154">
        <f t="shared" ref="C39" si="8">S39</f>
        <v>1692.0076309999999</v>
      </c>
      <c r="D39" s="154">
        <f t="shared" ref="D39" si="9">R39</f>
        <v>1295.6037630000001</v>
      </c>
      <c r="E39" s="154">
        <f>B39-C39-D39-H39-I39-F39</f>
        <v>2209.8421069999995</v>
      </c>
      <c r="F39" s="154">
        <f>P39+Q39</f>
        <v>2191.5989049999998</v>
      </c>
      <c r="G39" s="154">
        <f t="shared" si="3"/>
        <v>546.33273499999996</v>
      </c>
      <c r="H39" s="154">
        <f t="shared" ref="H39" si="10">K39+L39+M39</f>
        <v>719.25714899999991</v>
      </c>
      <c r="I39" s="154">
        <f t="shared" ref="I39" si="11">N39+O39</f>
        <v>1197.8184309999999</v>
      </c>
      <c r="J39" s="154">
        <f t="shared" si="6"/>
        <v>5197.453501</v>
      </c>
      <c r="K39" s="154">
        <f>DataG8.1Details2!AH$19</f>
        <v>433.28695699999997</v>
      </c>
      <c r="L39" s="154">
        <f>DataG8.1Details2!AI$19</f>
        <v>113.04577800000001</v>
      </c>
      <c r="M39" s="154">
        <f>DataG8.1Details2!AJ$19</f>
        <v>172.92441399999998</v>
      </c>
      <c r="N39" s="154">
        <f>DataG8.1Details2!AK$19</f>
        <v>446.86248799999998</v>
      </c>
      <c r="O39" s="154">
        <f>DataG8.1Details2!AL$19</f>
        <v>750.95594299999993</v>
      </c>
      <c r="P39" s="154">
        <f>DataG8.1Details2!AM$19</f>
        <v>231.49680100000003</v>
      </c>
      <c r="Q39" s="154">
        <f>DataG8.1Details2!AN$19</f>
        <v>1960.1021039999998</v>
      </c>
      <c r="R39" s="154">
        <f>DataG8.1Details2!AO$19</f>
        <v>1295.6037630000001</v>
      </c>
      <c r="S39" s="154">
        <f>DataG8.1Details2!AP$19</f>
        <v>1692.0076309999999</v>
      </c>
    </row>
    <row r="40" spans="1:20" ht="13.95" customHeight="1" x14ac:dyDescent="0.25">
      <c r="A40" s="150"/>
      <c r="B40" s="149"/>
      <c r="C40" s="149"/>
      <c r="D40" s="149"/>
      <c r="E40" s="149"/>
      <c r="F40" s="149"/>
      <c r="G40" s="149"/>
      <c r="H40" s="149"/>
      <c r="I40" s="149"/>
      <c r="J40" s="149"/>
      <c r="K40" s="149"/>
      <c r="L40" s="149"/>
      <c r="M40" s="149"/>
      <c r="N40" s="149"/>
      <c r="O40" s="149"/>
      <c r="P40" s="149"/>
      <c r="Q40" s="149"/>
      <c r="R40" s="149"/>
    </row>
    <row r="41" spans="1:20" ht="13.95" customHeight="1" x14ac:dyDescent="0.3">
      <c r="A41" s="153" t="s">
        <v>313</v>
      </c>
      <c r="B41" s="149"/>
      <c r="C41" s="149"/>
      <c r="D41" s="149"/>
      <c r="E41" s="149"/>
      <c r="F41" s="149"/>
      <c r="G41" s="149"/>
      <c r="H41" s="149"/>
      <c r="I41" s="149"/>
      <c r="J41" s="149"/>
      <c r="K41" s="149"/>
      <c r="L41" s="149"/>
      <c r="M41" s="149"/>
      <c r="N41" s="149"/>
      <c r="O41" s="149"/>
      <c r="P41" s="149"/>
      <c r="Q41" s="149"/>
      <c r="R41" s="149"/>
    </row>
    <row r="42" spans="1:20" ht="13.95" customHeight="1" x14ac:dyDescent="0.25">
      <c r="A42" s="150" t="s">
        <v>525</v>
      </c>
      <c r="B42" s="149"/>
      <c r="C42" s="149"/>
      <c r="D42" s="149"/>
      <c r="E42" s="149"/>
      <c r="F42" s="149"/>
      <c r="G42" s="149"/>
      <c r="H42" s="149"/>
      <c r="I42" s="149"/>
      <c r="J42" s="149"/>
      <c r="K42" s="149"/>
      <c r="L42" s="149"/>
      <c r="M42" s="149"/>
      <c r="N42" s="149"/>
      <c r="O42" s="149"/>
      <c r="P42" s="149"/>
      <c r="Q42" s="149"/>
      <c r="R42" s="149"/>
    </row>
    <row r="43" spans="1:20" ht="13.95" customHeight="1" x14ac:dyDescent="0.25">
      <c r="A43" s="150" t="s">
        <v>524</v>
      </c>
      <c r="B43" s="149"/>
      <c r="C43" s="149"/>
      <c r="D43" s="149"/>
      <c r="E43" s="149"/>
      <c r="F43" s="149"/>
      <c r="G43" s="149"/>
      <c r="H43" s="149"/>
      <c r="I43" s="149"/>
      <c r="J43" s="149"/>
      <c r="K43" s="149"/>
      <c r="L43" s="149"/>
      <c r="M43" s="149"/>
      <c r="N43" s="149"/>
      <c r="O43" s="149"/>
      <c r="P43" s="149"/>
      <c r="Q43" s="149"/>
      <c r="R43" s="149"/>
    </row>
    <row r="44" spans="1:20" ht="13.95" customHeight="1" x14ac:dyDescent="0.25">
      <c r="A44" s="150" t="s">
        <v>312</v>
      </c>
      <c r="B44" s="149"/>
      <c r="C44" s="149"/>
      <c r="D44" s="149"/>
      <c r="E44" s="149"/>
      <c r="F44" s="149"/>
      <c r="G44" s="149"/>
      <c r="H44" s="149"/>
      <c r="I44" s="149"/>
      <c r="J44" s="149"/>
      <c r="K44" s="149"/>
      <c r="L44" s="149"/>
      <c r="M44" s="149"/>
      <c r="N44" s="149"/>
      <c r="O44" s="149"/>
      <c r="P44" s="149"/>
      <c r="Q44" s="149"/>
      <c r="R44" s="149"/>
    </row>
    <row r="45" spans="1:20" ht="13.95" customHeight="1" x14ac:dyDescent="0.25">
      <c r="A45" s="150" t="s">
        <v>340</v>
      </c>
      <c r="B45" s="151"/>
      <c r="C45" s="151"/>
      <c r="D45" s="151"/>
      <c r="E45" s="151"/>
      <c r="F45" s="151"/>
      <c r="G45" s="151"/>
      <c r="H45" s="151"/>
      <c r="I45" s="151"/>
      <c r="J45" s="151"/>
      <c r="K45" s="151"/>
      <c r="L45" s="151"/>
      <c r="M45" s="151"/>
      <c r="N45" s="151"/>
      <c r="O45" s="151"/>
      <c r="P45" s="151"/>
      <c r="Q45" s="151"/>
      <c r="R45" s="151"/>
      <c r="T45" s="152">
        <v>8.9999999999999993E-3</v>
      </c>
    </row>
    <row r="46" spans="1:20" ht="13.95" customHeight="1" x14ac:dyDescent="0.25">
      <c r="A46" s="150" t="s">
        <v>382</v>
      </c>
      <c r="B46" s="151"/>
      <c r="C46" s="151"/>
      <c r="D46" s="151"/>
      <c r="E46" s="151"/>
      <c r="F46" s="151"/>
      <c r="G46" s="151"/>
      <c r="H46" s="151"/>
      <c r="I46" s="151"/>
      <c r="J46" s="151"/>
      <c r="K46" s="151"/>
      <c r="L46" s="151"/>
      <c r="M46" s="151"/>
      <c r="N46" s="151"/>
      <c r="O46" s="151"/>
      <c r="P46" s="151"/>
      <c r="Q46" s="151"/>
      <c r="R46" s="151"/>
    </row>
    <row r="47" spans="1:20" ht="13.95" customHeight="1" x14ac:dyDescent="0.25">
      <c r="A47" s="150"/>
      <c r="B47" s="149"/>
      <c r="C47" s="149"/>
      <c r="D47" s="149"/>
      <c r="E47" s="149"/>
      <c r="F47" s="149"/>
      <c r="G47" s="149"/>
      <c r="H47" s="149"/>
      <c r="I47" s="149"/>
      <c r="J47" s="149"/>
      <c r="K47" s="149"/>
      <c r="L47" s="149"/>
      <c r="M47" s="149"/>
      <c r="N47" s="149"/>
      <c r="O47" s="149"/>
      <c r="P47" s="149"/>
      <c r="Q47" s="149"/>
      <c r="R47" s="149"/>
    </row>
    <row r="48" spans="1:20" ht="13.95" customHeight="1" x14ac:dyDescent="0.25">
      <c r="A48" s="150"/>
      <c r="B48" s="149"/>
      <c r="C48" s="280"/>
      <c r="D48" s="149"/>
      <c r="E48" s="149"/>
      <c r="F48" s="149"/>
      <c r="G48" s="149"/>
      <c r="H48" s="149"/>
      <c r="I48" s="149"/>
      <c r="J48" s="149"/>
      <c r="K48" s="149"/>
      <c r="L48" s="149"/>
      <c r="M48" s="149"/>
      <c r="N48" s="149"/>
      <c r="O48" s="149"/>
      <c r="P48" s="149"/>
      <c r="Q48" s="149"/>
      <c r="R48" s="149"/>
    </row>
    <row r="49" spans="1:18" ht="13.95" customHeight="1" x14ac:dyDescent="0.25">
      <c r="A49" s="150"/>
      <c r="B49" s="149"/>
      <c r="C49" s="149"/>
      <c r="D49" s="149"/>
      <c r="E49" s="149"/>
      <c r="F49" s="149"/>
      <c r="G49" s="149"/>
      <c r="H49" s="149"/>
      <c r="I49" s="149"/>
      <c r="J49" s="149"/>
      <c r="K49" s="149"/>
      <c r="L49" s="149"/>
      <c r="M49" s="149"/>
      <c r="N49" s="149"/>
      <c r="O49" s="149"/>
      <c r="P49" s="149"/>
      <c r="Q49" s="149"/>
      <c r="R49" s="149"/>
    </row>
    <row r="50" spans="1:18" ht="13.95" customHeight="1" x14ac:dyDescent="0.25">
      <c r="B50" s="149"/>
      <c r="C50" s="149"/>
      <c r="D50" s="149"/>
      <c r="E50" s="149"/>
      <c r="F50" s="149"/>
      <c r="G50" s="149"/>
      <c r="H50" s="149"/>
      <c r="I50" s="149"/>
      <c r="J50" s="149"/>
      <c r="K50" s="149"/>
      <c r="L50" s="149"/>
      <c r="M50" s="149"/>
      <c r="N50" s="149"/>
      <c r="O50" s="149"/>
      <c r="P50" s="149"/>
      <c r="Q50" s="149"/>
      <c r="R50" s="149"/>
    </row>
    <row r="51" spans="1:18" ht="13.95" customHeight="1" x14ac:dyDescent="0.25">
      <c r="B51" s="149"/>
      <c r="C51" s="149"/>
      <c r="D51" s="149"/>
      <c r="E51" s="149"/>
      <c r="F51" s="149"/>
      <c r="G51" s="149"/>
      <c r="H51" s="149"/>
      <c r="I51" s="149"/>
      <c r="J51" s="149"/>
      <c r="K51" s="149"/>
      <c r="L51" s="149"/>
      <c r="M51" s="149"/>
      <c r="N51" s="149"/>
      <c r="O51" s="149"/>
      <c r="P51" s="149"/>
      <c r="Q51" s="149"/>
      <c r="R51" s="149"/>
    </row>
    <row r="52" spans="1:18" ht="13.95" customHeight="1" x14ac:dyDescent="0.25">
      <c r="B52" s="149"/>
      <c r="C52" s="149"/>
      <c r="D52" s="149"/>
      <c r="E52" s="149"/>
      <c r="F52" s="149"/>
      <c r="G52" s="149"/>
      <c r="H52" s="149"/>
      <c r="I52" s="149"/>
      <c r="J52" s="149"/>
      <c r="K52" s="149"/>
      <c r="L52" s="149"/>
      <c r="M52" s="149"/>
      <c r="N52" s="149"/>
      <c r="O52" s="149"/>
      <c r="P52" s="149"/>
      <c r="Q52" s="149"/>
      <c r="R52" s="149"/>
    </row>
    <row r="53" spans="1:18" ht="13.95" customHeight="1" x14ac:dyDescent="0.25">
      <c r="B53" s="149"/>
      <c r="C53" s="149"/>
      <c r="D53" s="149"/>
      <c r="E53" s="149"/>
      <c r="F53" s="149"/>
      <c r="G53" s="149"/>
      <c r="H53" s="149"/>
      <c r="I53" s="149"/>
      <c r="J53" s="149"/>
      <c r="K53" s="149"/>
      <c r="L53" s="149"/>
      <c r="M53" s="149"/>
      <c r="N53" s="149"/>
      <c r="O53" s="149"/>
      <c r="P53" s="149"/>
      <c r="Q53" s="149"/>
      <c r="R53" s="149"/>
    </row>
    <row r="54" spans="1:18" ht="13.95" customHeight="1" x14ac:dyDescent="0.25">
      <c r="B54" s="149"/>
      <c r="C54" s="149"/>
      <c r="D54" s="149"/>
      <c r="E54" s="149"/>
      <c r="F54" s="149"/>
      <c r="G54" s="149"/>
      <c r="H54" s="149"/>
      <c r="I54" s="149"/>
      <c r="J54" s="149"/>
      <c r="K54" s="149"/>
      <c r="L54" s="149"/>
      <c r="M54" s="149"/>
      <c r="N54" s="149"/>
      <c r="O54" s="149"/>
      <c r="P54" s="149"/>
      <c r="Q54" s="149"/>
      <c r="R54" s="149"/>
    </row>
    <row r="55" spans="1:18" ht="13.95" customHeight="1" x14ac:dyDescent="0.25">
      <c r="B55" s="149"/>
      <c r="C55" s="149"/>
      <c r="D55" s="149"/>
      <c r="E55" s="149"/>
      <c r="F55" s="149"/>
      <c r="G55" s="149"/>
      <c r="H55" s="149"/>
      <c r="I55" s="149"/>
      <c r="J55" s="149"/>
      <c r="K55" s="149"/>
      <c r="L55" s="149"/>
      <c r="M55" s="149"/>
      <c r="N55" s="149"/>
      <c r="O55" s="149"/>
      <c r="P55" s="149"/>
      <c r="Q55" s="149"/>
      <c r="R55" s="149"/>
    </row>
    <row r="56" spans="1:18" ht="10.050000000000001" customHeight="1" x14ac:dyDescent="0.25">
      <c r="B56" s="149"/>
      <c r="C56" s="149"/>
      <c r="D56" s="149"/>
      <c r="E56" s="149"/>
      <c r="F56" s="149"/>
      <c r="G56" s="149"/>
      <c r="H56" s="149"/>
      <c r="I56" s="149"/>
      <c r="J56" s="149"/>
      <c r="K56" s="149"/>
      <c r="L56" s="149"/>
      <c r="M56" s="149"/>
      <c r="N56" s="149"/>
      <c r="O56" s="149"/>
      <c r="P56" s="149"/>
      <c r="Q56" s="149"/>
      <c r="R56" s="149"/>
    </row>
    <row r="57" spans="1:18" ht="10.050000000000001" customHeight="1" x14ac:dyDescent="0.25">
      <c r="B57" s="149"/>
      <c r="C57" s="149"/>
      <c r="D57" s="149"/>
      <c r="E57" s="149"/>
      <c r="F57" s="149"/>
      <c r="G57" s="149"/>
      <c r="H57" s="149"/>
      <c r="I57" s="149"/>
      <c r="J57" s="149"/>
      <c r="K57" s="149"/>
      <c r="L57" s="149"/>
      <c r="M57" s="149"/>
      <c r="N57" s="149"/>
      <c r="O57" s="149"/>
      <c r="P57" s="149"/>
      <c r="Q57" s="149"/>
      <c r="R57" s="149"/>
    </row>
    <row r="58" spans="1:18" ht="10.050000000000001" customHeight="1" x14ac:dyDescent="0.25">
      <c r="B58" s="149"/>
      <c r="C58" s="149"/>
      <c r="D58" s="149"/>
      <c r="E58" s="149"/>
      <c r="F58" s="149"/>
      <c r="G58" s="149"/>
      <c r="H58" s="149"/>
      <c r="I58" s="149"/>
      <c r="J58" s="149"/>
      <c r="K58" s="149"/>
      <c r="L58" s="149"/>
      <c r="M58" s="149"/>
      <c r="N58" s="149"/>
      <c r="O58" s="149"/>
      <c r="P58" s="149"/>
      <c r="Q58" s="149"/>
      <c r="R58" s="149"/>
    </row>
    <row r="59" spans="1:18" ht="10.050000000000001" customHeight="1" x14ac:dyDescent="0.25">
      <c r="B59" s="149"/>
      <c r="C59" s="149"/>
      <c r="D59" s="149"/>
      <c r="E59" s="149"/>
      <c r="F59" s="149"/>
      <c r="G59" s="149"/>
      <c r="H59" s="149"/>
      <c r="I59" s="149"/>
      <c r="J59" s="149"/>
      <c r="K59" s="149"/>
      <c r="L59" s="149"/>
      <c r="M59" s="149"/>
      <c r="N59" s="149"/>
      <c r="O59" s="149"/>
      <c r="P59" s="149"/>
      <c r="Q59" s="149"/>
      <c r="R59" s="149"/>
    </row>
    <row r="60" spans="1:18" ht="10.050000000000001" customHeight="1" x14ac:dyDescent="0.25">
      <c r="B60" s="149"/>
      <c r="C60" s="149"/>
      <c r="D60" s="149"/>
      <c r="E60" s="149"/>
      <c r="F60" s="149"/>
      <c r="G60" s="149"/>
      <c r="H60" s="149"/>
      <c r="I60" s="149"/>
      <c r="J60" s="149"/>
      <c r="K60" s="149"/>
      <c r="L60" s="149"/>
      <c r="M60" s="149"/>
      <c r="N60" s="149"/>
      <c r="O60" s="149"/>
      <c r="P60" s="149"/>
      <c r="Q60" s="149"/>
      <c r="R60" s="149"/>
    </row>
    <row r="61" spans="1:18" ht="10.050000000000001" customHeight="1" x14ac:dyDescent="0.25">
      <c r="B61" s="149"/>
      <c r="C61" s="149"/>
      <c r="D61" s="149"/>
      <c r="E61" s="149"/>
      <c r="F61" s="149"/>
      <c r="G61" s="149"/>
      <c r="H61" s="149"/>
      <c r="I61" s="149"/>
      <c r="J61" s="149"/>
      <c r="K61" s="149"/>
      <c r="L61" s="149"/>
      <c r="M61" s="149"/>
      <c r="N61" s="149"/>
      <c r="O61" s="149"/>
      <c r="P61" s="149"/>
      <c r="Q61" s="149"/>
      <c r="R61" s="149"/>
    </row>
    <row r="62" spans="1:18" ht="10.050000000000001" customHeight="1" x14ac:dyDescent="0.25">
      <c r="B62" s="149"/>
      <c r="C62" s="149"/>
      <c r="D62" s="149"/>
      <c r="E62" s="149"/>
      <c r="F62" s="149"/>
      <c r="G62" s="149"/>
      <c r="H62" s="149"/>
      <c r="I62" s="149"/>
      <c r="J62" s="149"/>
      <c r="K62" s="149"/>
      <c r="L62" s="149"/>
      <c r="M62" s="149"/>
      <c r="N62" s="149"/>
      <c r="O62" s="149"/>
      <c r="P62" s="149"/>
      <c r="Q62" s="149"/>
      <c r="R62" s="149"/>
    </row>
    <row r="63" spans="1:18" ht="10.050000000000001" customHeight="1" x14ac:dyDescent="0.25">
      <c r="B63" s="149"/>
      <c r="C63" s="149"/>
      <c r="D63" s="149"/>
      <c r="E63" s="149"/>
      <c r="F63" s="149"/>
      <c r="G63" s="149"/>
      <c r="H63" s="149"/>
      <c r="I63" s="149"/>
      <c r="J63" s="149"/>
      <c r="K63" s="149"/>
      <c r="L63" s="149"/>
      <c r="M63" s="149"/>
      <c r="N63" s="149"/>
      <c r="O63" s="149"/>
      <c r="P63" s="149"/>
      <c r="Q63" s="149"/>
      <c r="R63" s="149"/>
    </row>
    <row r="64" spans="1:18" ht="10.050000000000001" customHeight="1" x14ac:dyDescent="0.25">
      <c r="B64" s="149"/>
      <c r="C64" s="149"/>
      <c r="D64" s="149"/>
      <c r="E64" s="149"/>
      <c r="F64" s="149"/>
      <c r="G64" s="149"/>
      <c r="H64" s="149"/>
      <c r="I64" s="149"/>
      <c r="J64" s="149"/>
      <c r="K64" s="149"/>
      <c r="L64" s="149"/>
      <c r="M64" s="149"/>
      <c r="N64" s="149"/>
      <c r="O64" s="149"/>
      <c r="P64" s="149"/>
      <c r="Q64" s="149"/>
      <c r="R64" s="149"/>
    </row>
    <row r="65" spans="2:18" ht="10.050000000000001" customHeight="1" x14ac:dyDescent="0.25">
      <c r="B65" s="149"/>
      <c r="C65" s="149"/>
      <c r="D65" s="149"/>
      <c r="E65" s="149"/>
      <c r="F65" s="149"/>
      <c r="G65" s="149"/>
      <c r="H65" s="149"/>
      <c r="I65" s="149"/>
      <c r="J65" s="149"/>
      <c r="K65" s="149"/>
      <c r="L65" s="149"/>
      <c r="M65" s="149"/>
      <c r="N65" s="149"/>
      <c r="O65" s="149"/>
      <c r="P65" s="149"/>
      <c r="Q65" s="149"/>
      <c r="R65" s="149"/>
    </row>
    <row r="66" spans="2:18" ht="10.050000000000001" customHeight="1" x14ac:dyDescent="0.25">
      <c r="B66" s="149"/>
      <c r="C66" s="149"/>
      <c r="D66" s="149"/>
      <c r="E66" s="149"/>
      <c r="F66" s="149"/>
      <c r="G66" s="149"/>
      <c r="H66" s="149"/>
      <c r="I66" s="149"/>
      <c r="J66" s="149"/>
      <c r="K66" s="149"/>
      <c r="L66" s="149"/>
      <c r="M66" s="149"/>
      <c r="N66" s="149"/>
      <c r="O66" s="149"/>
      <c r="P66" s="149"/>
      <c r="Q66" s="149"/>
      <c r="R66" s="149"/>
    </row>
    <row r="67" spans="2:18" ht="10.050000000000001" customHeight="1" x14ac:dyDescent="0.25">
      <c r="B67" s="149"/>
      <c r="C67" s="149"/>
      <c r="D67" s="149"/>
      <c r="E67" s="149"/>
      <c r="F67" s="149"/>
      <c r="G67" s="149"/>
      <c r="H67" s="149"/>
      <c r="I67" s="149"/>
      <c r="J67" s="149"/>
      <c r="K67" s="149"/>
      <c r="L67" s="149"/>
      <c r="M67" s="149"/>
      <c r="N67" s="149"/>
      <c r="O67" s="149"/>
      <c r="P67" s="149"/>
      <c r="Q67" s="149"/>
      <c r="R67" s="149"/>
    </row>
    <row r="68" spans="2:18" ht="10.050000000000001" customHeight="1" x14ac:dyDescent="0.25">
      <c r="B68" s="149"/>
      <c r="C68" s="149"/>
      <c r="D68" s="149"/>
      <c r="E68" s="149"/>
      <c r="F68" s="149"/>
      <c r="G68" s="149"/>
      <c r="H68" s="149"/>
      <c r="I68" s="149"/>
      <c r="J68" s="149"/>
      <c r="K68" s="149"/>
      <c r="L68" s="149"/>
      <c r="M68" s="149"/>
      <c r="N68" s="149"/>
      <c r="O68" s="149"/>
      <c r="P68" s="149"/>
      <c r="Q68" s="149"/>
      <c r="R68" s="149"/>
    </row>
    <row r="69" spans="2:18" ht="10.050000000000001" customHeight="1" x14ac:dyDescent="0.25">
      <c r="B69" s="149"/>
      <c r="C69" s="149"/>
      <c r="D69" s="149"/>
      <c r="E69" s="149"/>
      <c r="F69" s="149"/>
      <c r="G69" s="149"/>
      <c r="H69" s="149"/>
      <c r="I69" s="149"/>
      <c r="J69" s="149"/>
      <c r="K69" s="149"/>
      <c r="L69" s="149"/>
      <c r="M69" s="149"/>
      <c r="N69" s="149"/>
      <c r="O69" s="149"/>
      <c r="P69" s="149"/>
      <c r="Q69" s="149"/>
      <c r="R69" s="149"/>
    </row>
    <row r="70" spans="2:18" ht="10.050000000000001" customHeight="1" x14ac:dyDescent="0.25">
      <c r="B70" s="149"/>
      <c r="C70" s="149"/>
      <c r="D70" s="149"/>
      <c r="E70" s="149"/>
      <c r="F70" s="149"/>
      <c r="G70" s="149"/>
      <c r="H70" s="149"/>
      <c r="I70" s="149"/>
      <c r="J70" s="149"/>
      <c r="K70" s="149"/>
      <c r="L70" s="149"/>
      <c r="M70" s="149"/>
      <c r="N70" s="149"/>
      <c r="O70" s="149"/>
      <c r="P70" s="149"/>
      <c r="Q70" s="149"/>
      <c r="R70" s="149"/>
    </row>
    <row r="71" spans="2:18" ht="10.050000000000001" customHeight="1" x14ac:dyDescent="0.25">
      <c r="B71" s="149"/>
      <c r="C71" s="149"/>
      <c r="D71" s="149"/>
      <c r="E71" s="149"/>
      <c r="F71" s="149"/>
      <c r="G71" s="149"/>
      <c r="H71" s="149"/>
      <c r="I71" s="149"/>
      <c r="J71" s="149"/>
      <c r="K71" s="149"/>
      <c r="L71" s="149"/>
      <c r="M71" s="149"/>
      <c r="N71" s="149"/>
      <c r="O71" s="149"/>
      <c r="P71" s="149"/>
      <c r="Q71" s="149"/>
      <c r="R71" s="149"/>
    </row>
    <row r="72" spans="2:18" ht="10.050000000000001" customHeight="1" x14ac:dyDescent="0.25">
      <c r="B72" s="149"/>
      <c r="C72" s="149"/>
      <c r="D72" s="149"/>
      <c r="E72" s="149"/>
      <c r="F72" s="149"/>
      <c r="G72" s="149"/>
      <c r="H72" s="149"/>
      <c r="I72" s="149"/>
      <c r="J72" s="149"/>
      <c r="K72" s="149"/>
      <c r="L72" s="149"/>
      <c r="M72" s="149"/>
      <c r="N72" s="149"/>
      <c r="O72" s="149"/>
      <c r="P72" s="149"/>
      <c r="Q72" s="149"/>
      <c r="R72" s="149"/>
    </row>
    <row r="73" spans="2:18" ht="10.050000000000001" customHeight="1" x14ac:dyDescent="0.25">
      <c r="B73" s="149"/>
      <c r="C73" s="149"/>
      <c r="D73" s="149"/>
      <c r="E73" s="149"/>
      <c r="F73" s="149"/>
      <c r="G73" s="149"/>
      <c r="H73" s="149"/>
      <c r="I73" s="149"/>
      <c r="J73" s="149"/>
      <c r="K73" s="149"/>
      <c r="L73" s="149"/>
      <c r="M73" s="149"/>
      <c r="N73" s="149"/>
      <c r="O73" s="149"/>
      <c r="P73" s="149"/>
      <c r="Q73" s="149"/>
      <c r="R73" s="149"/>
    </row>
    <row r="74" spans="2:18" ht="10.050000000000001" customHeight="1" x14ac:dyDescent="0.25">
      <c r="B74" s="149"/>
      <c r="C74" s="149"/>
      <c r="D74" s="149"/>
      <c r="E74" s="149"/>
      <c r="F74" s="149"/>
      <c r="G74" s="149"/>
      <c r="H74" s="149"/>
      <c r="I74" s="149"/>
      <c r="J74" s="149"/>
      <c r="K74" s="149"/>
      <c r="L74" s="149"/>
      <c r="M74" s="149"/>
      <c r="N74" s="149"/>
      <c r="O74" s="149"/>
      <c r="P74" s="149"/>
      <c r="Q74" s="149"/>
      <c r="R74" s="149"/>
    </row>
    <row r="75" spans="2:18" ht="10.050000000000001" customHeight="1" x14ac:dyDescent="0.25">
      <c r="B75" s="149"/>
      <c r="C75" s="149"/>
      <c r="D75" s="149"/>
      <c r="E75" s="149"/>
      <c r="F75" s="149"/>
      <c r="G75" s="149"/>
      <c r="H75" s="149"/>
      <c r="I75" s="149"/>
      <c r="J75" s="149"/>
      <c r="K75" s="149"/>
      <c r="L75" s="149"/>
      <c r="M75" s="149"/>
      <c r="N75" s="149"/>
      <c r="O75" s="149"/>
      <c r="P75" s="149"/>
      <c r="Q75" s="149"/>
      <c r="R75" s="149"/>
    </row>
    <row r="76" spans="2:18" ht="10.050000000000001" customHeight="1" x14ac:dyDescent="0.25">
      <c r="B76" s="149"/>
      <c r="C76" s="149"/>
      <c r="D76" s="149"/>
      <c r="E76" s="149"/>
      <c r="F76" s="149"/>
      <c r="G76" s="149"/>
      <c r="H76" s="149"/>
      <c r="I76" s="149"/>
      <c r="J76" s="149"/>
      <c r="K76" s="149"/>
      <c r="L76" s="149"/>
      <c r="M76" s="149"/>
      <c r="N76" s="149"/>
      <c r="O76" s="149"/>
      <c r="P76" s="149"/>
      <c r="Q76" s="149"/>
      <c r="R76" s="149"/>
    </row>
    <row r="77" spans="2:18" ht="10.050000000000001" customHeight="1" x14ac:dyDescent="0.25">
      <c r="B77" s="149"/>
      <c r="C77" s="149"/>
      <c r="D77" s="149"/>
      <c r="E77" s="149"/>
      <c r="F77" s="149"/>
      <c r="G77" s="149"/>
      <c r="H77" s="149"/>
      <c r="I77" s="149"/>
      <c r="J77" s="149"/>
      <c r="K77" s="149"/>
      <c r="L77" s="149"/>
      <c r="M77" s="149"/>
      <c r="N77" s="149"/>
      <c r="O77" s="149"/>
      <c r="P77" s="149"/>
      <c r="Q77" s="149"/>
      <c r="R77" s="149"/>
    </row>
    <row r="78" spans="2:18" ht="10.050000000000001" customHeight="1" x14ac:dyDescent="0.25">
      <c r="B78" s="149"/>
      <c r="C78" s="149"/>
      <c r="D78" s="149"/>
      <c r="E78" s="149"/>
      <c r="F78" s="149"/>
      <c r="G78" s="149"/>
      <c r="H78" s="149"/>
      <c r="I78" s="149"/>
      <c r="J78" s="149"/>
      <c r="K78" s="149"/>
      <c r="L78" s="149"/>
      <c r="M78" s="149"/>
      <c r="N78" s="149"/>
      <c r="O78" s="149"/>
      <c r="P78" s="149"/>
      <c r="Q78" s="149"/>
      <c r="R78" s="149"/>
    </row>
    <row r="79" spans="2:18" ht="10.050000000000001" customHeight="1" x14ac:dyDescent="0.25">
      <c r="B79" s="149"/>
      <c r="C79" s="149"/>
      <c r="D79" s="149"/>
      <c r="E79" s="149"/>
      <c r="F79" s="149"/>
      <c r="G79" s="149"/>
      <c r="H79" s="149"/>
      <c r="I79" s="149"/>
      <c r="J79" s="149"/>
      <c r="K79" s="149"/>
      <c r="L79" s="149"/>
      <c r="M79" s="149"/>
      <c r="N79" s="149"/>
      <c r="O79" s="149"/>
      <c r="P79" s="149"/>
      <c r="Q79" s="149"/>
      <c r="R79" s="149"/>
    </row>
    <row r="80" spans="2:18" ht="10.050000000000001" customHeight="1" x14ac:dyDescent="0.25">
      <c r="B80" s="149"/>
      <c r="C80" s="149"/>
      <c r="D80" s="149"/>
      <c r="E80" s="149"/>
      <c r="F80" s="149"/>
      <c r="G80" s="149"/>
      <c r="H80" s="149"/>
      <c r="I80" s="149"/>
      <c r="J80" s="149"/>
      <c r="K80" s="149"/>
      <c r="L80" s="149"/>
      <c r="M80" s="149"/>
      <c r="N80" s="149"/>
      <c r="O80" s="149"/>
      <c r="P80" s="149"/>
      <c r="Q80" s="149"/>
      <c r="R80" s="149"/>
    </row>
    <row r="81" spans="2:18" ht="10.050000000000001" customHeight="1" x14ac:dyDescent="0.25">
      <c r="B81" s="149"/>
      <c r="C81" s="149"/>
      <c r="D81" s="149"/>
      <c r="E81" s="149"/>
      <c r="F81" s="149"/>
      <c r="G81" s="149"/>
      <c r="H81" s="149"/>
      <c r="I81" s="149"/>
      <c r="J81" s="149"/>
      <c r="K81" s="149"/>
      <c r="L81" s="149"/>
      <c r="M81" s="149"/>
      <c r="N81" s="149"/>
      <c r="O81" s="149"/>
      <c r="P81" s="149"/>
      <c r="Q81" s="149"/>
      <c r="R81" s="149"/>
    </row>
    <row r="82" spans="2:18" ht="10.050000000000001" customHeight="1" x14ac:dyDescent="0.25">
      <c r="B82" s="149"/>
      <c r="C82" s="149"/>
      <c r="D82" s="149"/>
      <c r="E82" s="149"/>
      <c r="F82" s="149"/>
      <c r="G82" s="149"/>
      <c r="H82" s="149"/>
      <c r="I82" s="149"/>
      <c r="J82" s="149"/>
      <c r="K82" s="149"/>
      <c r="L82" s="149"/>
      <c r="M82" s="149"/>
      <c r="N82" s="149"/>
      <c r="O82" s="149"/>
      <c r="P82" s="149"/>
      <c r="Q82" s="149"/>
      <c r="R82" s="149"/>
    </row>
    <row r="83" spans="2:18" ht="10.050000000000001" customHeight="1" x14ac:dyDescent="0.25">
      <c r="B83" s="149"/>
      <c r="C83" s="149"/>
      <c r="D83" s="149"/>
      <c r="E83" s="149"/>
      <c r="F83" s="149"/>
      <c r="G83" s="149"/>
      <c r="H83" s="149"/>
      <c r="I83" s="149"/>
      <c r="J83" s="149"/>
      <c r="K83" s="149"/>
      <c r="L83" s="149"/>
      <c r="M83" s="149"/>
      <c r="N83" s="149"/>
      <c r="O83" s="149"/>
      <c r="P83" s="149"/>
      <c r="Q83" s="149"/>
      <c r="R83" s="149"/>
    </row>
    <row r="84" spans="2:18" ht="10.050000000000001" customHeight="1" x14ac:dyDescent="0.25">
      <c r="B84" s="149"/>
      <c r="C84" s="149"/>
      <c r="D84" s="149"/>
      <c r="E84" s="149"/>
      <c r="F84" s="149"/>
      <c r="G84" s="149"/>
      <c r="H84" s="149"/>
      <c r="I84" s="149"/>
      <c r="J84" s="149"/>
      <c r="K84" s="149"/>
      <c r="L84" s="149"/>
      <c r="M84" s="149"/>
      <c r="N84" s="149"/>
      <c r="O84" s="149"/>
      <c r="P84" s="149"/>
      <c r="Q84" s="149"/>
      <c r="R84" s="149"/>
    </row>
    <row r="85" spans="2:18" ht="10.050000000000001" customHeight="1" x14ac:dyDescent="0.25">
      <c r="B85" s="149"/>
      <c r="C85" s="149"/>
      <c r="D85" s="149"/>
      <c r="E85" s="149"/>
      <c r="F85" s="149"/>
      <c r="G85" s="149"/>
      <c r="H85" s="149"/>
      <c r="I85" s="149"/>
      <c r="J85" s="149"/>
      <c r="K85" s="149"/>
      <c r="L85" s="149"/>
      <c r="M85" s="149"/>
      <c r="N85" s="149"/>
      <c r="O85" s="149"/>
      <c r="P85" s="149"/>
      <c r="Q85" s="149"/>
      <c r="R85" s="149"/>
    </row>
    <row r="86" spans="2:18" ht="10.050000000000001" customHeight="1" x14ac:dyDescent="0.25">
      <c r="B86" s="149"/>
      <c r="C86" s="149"/>
      <c r="D86" s="149"/>
      <c r="E86" s="149"/>
      <c r="F86" s="149"/>
      <c r="G86" s="149"/>
      <c r="H86" s="149"/>
      <c r="I86" s="149"/>
      <c r="J86" s="149"/>
      <c r="K86" s="149"/>
      <c r="L86" s="149"/>
      <c r="M86" s="149"/>
      <c r="N86" s="149"/>
      <c r="O86" s="149"/>
      <c r="P86" s="149"/>
      <c r="Q86" s="149"/>
      <c r="R86" s="149"/>
    </row>
    <row r="87" spans="2:18" ht="10.050000000000001" customHeight="1" x14ac:dyDescent="0.25">
      <c r="B87" s="149"/>
      <c r="C87" s="149"/>
      <c r="D87" s="149"/>
      <c r="E87" s="149"/>
      <c r="F87" s="149"/>
      <c r="G87" s="149"/>
      <c r="H87" s="149"/>
      <c r="I87" s="149"/>
      <c r="J87" s="149"/>
      <c r="K87" s="149"/>
      <c r="L87" s="149"/>
      <c r="M87" s="149"/>
      <c r="N87" s="149"/>
      <c r="O87" s="149"/>
      <c r="P87" s="149"/>
      <c r="Q87" s="149"/>
      <c r="R87" s="149"/>
    </row>
    <row r="88" spans="2:18" ht="10.050000000000001" customHeight="1" x14ac:dyDescent="0.25">
      <c r="B88" s="149"/>
      <c r="C88" s="149"/>
      <c r="D88" s="149"/>
      <c r="E88" s="149"/>
      <c r="F88" s="149"/>
      <c r="G88" s="149"/>
      <c r="H88" s="149"/>
      <c r="I88" s="149"/>
      <c r="J88" s="149"/>
      <c r="K88" s="149"/>
      <c r="L88" s="149"/>
      <c r="M88" s="149"/>
      <c r="N88" s="149"/>
      <c r="O88" s="149"/>
      <c r="P88" s="149"/>
      <c r="Q88" s="149"/>
      <c r="R88" s="149"/>
    </row>
    <row r="89" spans="2:18" ht="10.050000000000001" customHeight="1" x14ac:dyDescent="0.25">
      <c r="B89" s="149"/>
      <c r="C89" s="149"/>
      <c r="D89" s="149"/>
      <c r="E89" s="149"/>
      <c r="F89" s="149"/>
      <c r="G89" s="149"/>
      <c r="H89" s="149"/>
      <c r="I89" s="149"/>
      <c r="J89" s="149"/>
      <c r="K89" s="149"/>
      <c r="L89" s="149"/>
      <c r="M89" s="149"/>
      <c r="N89" s="149"/>
      <c r="O89" s="149"/>
      <c r="P89" s="149"/>
      <c r="Q89" s="149"/>
      <c r="R89" s="149"/>
    </row>
    <row r="90" spans="2:18" ht="10.050000000000001" customHeight="1" x14ac:dyDescent="0.25">
      <c r="B90" s="149"/>
      <c r="C90" s="149"/>
      <c r="D90" s="149"/>
      <c r="E90" s="149"/>
      <c r="F90" s="149"/>
      <c r="G90" s="149"/>
      <c r="H90" s="149"/>
      <c r="I90" s="149"/>
      <c r="J90" s="149"/>
      <c r="K90" s="149"/>
      <c r="L90" s="149"/>
      <c r="M90" s="149"/>
      <c r="N90" s="149"/>
      <c r="O90" s="149"/>
      <c r="P90" s="149"/>
      <c r="Q90" s="149"/>
      <c r="R90" s="149"/>
    </row>
    <row r="91" spans="2:18" ht="10.050000000000001" customHeight="1" x14ac:dyDescent="0.25">
      <c r="B91" s="149"/>
      <c r="C91" s="149"/>
      <c r="D91" s="149"/>
      <c r="E91" s="149"/>
      <c r="F91" s="149"/>
      <c r="G91" s="149"/>
      <c r="H91" s="149"/>
      <c r="I91" s="149"/>
      <c r="J91" s="149"/>
      <c r="K91" s="149"/>
      <c r="L91" s="149"/>
      <c r="M91" s="149"/>
      <c r="N91" s="149"/>
      <c r="O91" s="149"/>
      <c r="P91" s="149"/>
      <c r="Q91" s="149"/>
      <c r="R91" s="149"/>
    </row>
    <row r="92" spans="2:18" ht="10.050000000000001" customHeight="1" x14ac:dyDescent="0.25">
      <c r="B92" s="149"/>
      <c r="C92" s="149"/>
      <c r="D92" s="149"/>
      <c r="E92" s="149"/>
      <c r="F92" s="149"/>
      <c r="G92" s="149"/>
      <c r="H92" s="149"/>
      <c r="I92" s="149"/>
      <c r="J92" s="149"/>
      <c r="K92" s="149"/>
      <c r="L92" s="149"/>
      <c r="M92" s="149"/>
      <c r="N92" s="149"/>
      <c r="O92" s="149"/>
      <c r="P92" s="149"/>
      <c r="Q92" s="149"/>
      <c r="R92" s="149"/>
    </row>
    <row r="93" spans="2:18" ht="10.050000000000001" customHeight="1" x14ac:dyDescent="0.25">
      <c r="B93" s="149"/>
      <c r="C93" s="149"/>
      <c r="D93" s="149"/>
      <c r="E93" s="149"/>
      <c r="F93" s="149"/>
      <c r="G93" s="149"/>
      <c r="H93" s="149"/>
      <c r="I93" s="149"/>
      <c r="J93" s="149"/>
      <c r="K93" s="149"/>
      <c r="L93" s="149"/>
      <c r="M93" s="149"/>
      <c r="N93" s="149"/>
      <c r="O93" s="149"/>
      <c r="P93" s="149"/>
      <c r="Q93" s="149"/>
      <c r="R93" s="149"/>
    </row>
    <row r="94" spans="2:18" ht="10.050000000000001" customHeight="1" x14ac:dyDescent="0.25">
      <c r="B94" s="149"/>
      <c r="C94" s="149"/>
      <c r="D94" s="149"/>
      <c r="E94" s="149"/>
      <c r="F94" s="149"/>
      <c r="G94" s="149"/>
      <c r="H94" s="149"/>
      <c r="I94" s="149"/>
      <c r="J94" s="149"/>
      <c r="K94" s="149"/>
      <c r="L94" s="149"/>
      <c r="M94" s="149"/>
      <c r="N94" s="149"/>
      <c r="O94" s="149"/>
      <c r="P94" s="149"/>
      <c r="Q94" s="149"/>
      <c r="R94" s="149"/>
    </row>
    <row r="95" spans="2:18" ht="10.050000000000001" customHeight="1" x14ac:dyDescent="0.25">
      <c r="B95" s="149"/>
      <c r="C95" s="149"/>
      <c r="D95" s="149"/>
      <c r="E95" s="149"/>
      <c r="F95" s="149"/>
      <c r="G95" s="149"/>
      <c r="H95" s="149"/>
      <c r="I95" s="149"/>
      <c r="J95" s="149"/>
      <c r="K95" s="149"/>
      <c r="L95" s="149"/>
      <c r="M95" s="149"/>
      <c r="N95" s="149"/>
      <c r="O95" s="149"/>
      <c r="P95" s="149"/>
      <c r="Q95" s="149"/>
      <c r="R95" s="149"/>
    </row>
    <row r="96" spans="2:18" ht="10.050000000000001" customHeight="1" x14ac:dyDescent="0.25">
      <c r="B96" s="149"/>
      <c r="C96" s="149"/>
      <c r="D96" s="149"/>
      <c r="E96" s="149"/>
      <c r="F96" s="149"/>
      <c r="G96" s="149"/>
      <c r="H96" s="149"/>
      <c r="I96" s="149"/>
      <c r="J96" s="149"/>
      <c r="K96" s="149"/>
      <c r="L96" s="149"/>
      <c r="M96" s="149"/>
      <c r="N96" s="149"/>
      <c r="O96" s="149"/>
      <c r="P96" s="149"/>
      <c r="Q96" s="149"/>
      <c r="R96" s="149"/>
    </row>
    <row r="97" spans="2:18" ht="10.050000000000001" customHeight="1" x14ac:dyDescent="0.25">
      <c r="B97" s="149"/>
      <c r="C97" s="149"/>
      <c r="D97" s="149"/>
      <c r="E97" s="149"/>
      <c r="F97" s="149"/>
      <c r="G97" s="149"/>
      <c r="H97" s="149"/>
      <c r="I97" s="149"/>
      <c r="J97" s="149"/>
      <c r="K97" s="149"/>
      <c r="L97" s="149"/>
      <c r="M97" s="149"/>
      <c r="N97" s="149"/>
      <c r="O97" s="149"/>
      <c r="P97" s="149"/>
      <c r="Q97" s="149"/>
      <c r="R97" s="149"/>
    </row>
    <row r="98" spans="2:18" ht="10.050000000000001" customHeight="1" x14ac:dyDescent="0.25">
      <c r="B98" s="149"/>
      <c r="C98" s="149"/>
      <c r="D98" s="149"/>
      <c r="E98" s="149"/>
      <c r="F98" s="149"/>
      <c r="G98" s="149"/>
      <c r="H98" s="149"/>
      <c r="I98" s="149"/>
      <c r="J98" s="149"/>
      <c r="K98" s="149"/>
      <c r="L98" s="149"/>
      <c r="M98" s="149"/>
      <c r="N98" s="149"/>
      <c r="O98" s="149"/>
      <c r="P98" s="149"/>
      <c r="Q98" s="149"/>
      <c r="R98" s="149"/>
    </row>
    <row r="99" spans="2:18" ht="10.050000000000001" customHeight="1" x14ac:dyDescent="0.25">
      <c r="B99" s="149"/>
      <c r="C99" s="149"/>
      <c r="D99" s="149"/>
      <c r="E99" s="149"/>
      <c r="F99" s="149"/>
      <c r="G99" s="149"/>
      <c r="H99" s="149"/>
      <c r="I99" s="149"/>
      <c r="J99" s="149"/>
      <c r="K99" s="149"/>
      <c r="L99" s="149"/>
      <c r="M99" s="149"/>
      <c r="N99" s="149"/>
      <c r="O99" s="149"/>
      <c r="P99" s="149"/>
      <c r="Q99" s="149"/>
      <c r="R99" s="149"/>
    </row>
    <row r="100" spans="2:18" ht="10.050000000000001" customHeight="1" x14ac:dyDescent="0.25">
      <c r="B100" s="149"/>
      <c r="C100" s="149"/>
      <c r="D100" s="149"/>
      <c r="E100" s="149"/>
      <c r="F100" s="149"/>
      <c r="G100" s="149"/>
      <c r="H100" s="149"/>
      <c r="I100" s="149"/>
      <c r="J100" s="149"/>
      <c r="K100" s="149"/>
      <c r="L100" s="149"/>
      <c r="M100" s="149"/>
      <c r="N100" s="149"/>
      <c r="O100" s="149"/>
      <c r="P100" s="149"/>
      <c r="Q100" s="149"/>
      <c r="R100" s="149"/>
    </row>
    <row r="101" spans="2:18" ht="10.050000000000001" customHeight="1" x14ac:dyDescent="0.25">
      <c r="B101" s="149"/>
      <c r="C101" s="149"/>
      <c r="D101" s="149"/>
      <c r="E101" s="149"/>
      <c r="F101" s="149"/>
      <c r="G101" s="149"/>
      <c r="H101" s="149"/>
      <c r="I101" s="149"/>
      <c r="J101" s="149"/>
      <c r="K101" s="149"/>
      <c r="L101" s="149"/>
      <c r="M101" s="149"/>
      <c r="N101" s="149"/>
      <c r="O101" s="149"/>
      <c r="P101" s="149"/>
      <c r="Q101" s="149"/>
      <c r="R101" s="149"/>
    </row>
    <row r="102" spans="2:18" ht="10.050000000000001" customHeight="1" x14ac:dyDescent="0.25">
      <c r="B102" s="149"/>
      <c r="C102" s="149"/>
      <c r="D102" s="149"/>
      <c r="E102" s="149"/>
      <c r="F102" s="149"/>
      <c r="G102" s="149"/>
      <c r="H102" s="149"/>
      <c r="I102" s="149"/>
      <c r="J102" s="149"/>
      <c r="K102" s="149"/>
      <c r="L102" s="149"/>
      <c r="M102" s="149"/>
      <c r="N102" s="149"/>
      <c r="O102" s="149"/>
      <c r="P102" s="149"/>
      <c r="Q102" s="149"/>
      <c r="R102" s="149"/>
    </row>
    <row r="103" spans="2:18" ht="10.050000000000001" customHeight="1" x14ac:dyDescent="0.25">
      <c r="B103" s="149"/>
      <c r="C103" s="149"/>
      <c r="D103" s="149"/>
      <c r="E103" s="149"/>
      <c r="F103" s="149"/>
      <c r="G103" s="149"/>
      <c r="H103" s="149"/>
      <c r="I103" s="149"/>
      <c r="J103" s="149"/>
      <c r="K103" s="149"/>
      <c r="L103" s="149"/>
      <c r="M103" s="149"/>
      <c r="N103" s="149"/>
      <c r="O103" s="149"/>
      <c r="P103" s="149"/>
      <c r="Q103" s="149"/>
      <c r="R103" s="149"/>
    </row>
    <row r="104" spans="2:18" ht="10.050000000000001" customHeight="1" x14ac:dyDescent="0.25">
      <c r="B104" s="149"/>
      <c r="C104" s="149"/>
      <c r="D104" s="149"/>
      <c r="E104" s="149"/>
      <c r="F104" s="149"/>
      <c r="G104" s="149"/>
      <c r="H104" s="149"/>
      <c r="I104" s="149"/>
      <c r="J104" s="149"/>
      <c r="K104" s="149"/>
      <c r="L104" s="149"/>
      <c r="M104" s="149"/>
      <c r="N104" s="149"/>
      <c r="O104" s="149"/>
      <c r="P104" s="149"/>
      <c r="Q104" s="149"/>
      <c r="R104" s="149"/>
    </row>
    <row r="105" spans="2:18" ht="10.050000000000001" customHeight="1" x14ac:dyDescent="0.25">
      <c r="B105" s="149"/>
      <c r="C105" s="149"/>
      <c r="D105" s="149"/>
      <c r="E105" s="149"/>
      <c r="F105" s="149"/>
      <c r="G105" s="149"/>
      <c r="H105" s="149"/>
      <c r="I105" s="149"/>
      <c r="J105" s="149"/>
      <c r="K105" s="149"/>
      <c r="L105" s="149"/>
      <c r="M105" s="149"/>
      <c r="N105" s="149"/>
      <c r="O105" s="149"/>
      <c r="P105" s="149"/>
      <c r="Q105" s="149"/>
      <c r="R105" s="149"/>
    </row>
    <row r="106" spans="2:18" ht="10.050000000000001" customHeight="1" x14ac:dyDescent="0.25">
      <c r="B106" s="149"/>
      <c r="C106" s="149"/>
      <c r="D106" s="149"/>
      <c r="E106" s="149"/>
      <c r="F106" s="149"/>
      <c r="G106" s="149"/>
      <c r="H106" s="149"/>
      <c r="I106" s="149"/>
      <c r="J106" s="149"/>
      <c r="K106" s="149"/>
      <c r="L106" s="149"/>
      <c r="M106" s="149"/>
      <c r="N106" s="149"/>
      <c r="O106" s="149"/>
      <c r="P106" s="149"/>
      <c r="Q106" s="149"/>
      <c r="R106" s="149"/>
    </row>
    <row r="107" spans="2:18" ht="10.050000000000001" customHeight="1" x14ac:dyDescent="0.25">
      <c r="B107" s="149"/>
      <c r="C107" s="149"/>
      <c r="D107" s="149"/>
      <c r="E107" s="149"/>
      <c r="F107" s="149"/>
      <c r="G107" s="149"/>
      <c r="H107" s="149"/>
      <c r="I107" s="149"/>
      <c r="J107" s="149"/>
      <c r="K107" s="149"/>
      <c r="L107" s="149"/>
      <c r="M107" s="149"/>
      <c r="N107" s="149"/>
      <c r="O107" s="149"/>
      <c r="P107" s="149"/>
      <c r="Q107" s="149"/>
      <c r="R107" s="149"/>
    </row>
    <row r="108" spans="2:18" ht="10.050000000000001" customHeight="1" x14ac:dyDescent="0.25">
      <c r="B108" s="149"/>
      <c r="C108" s="149"/>
      <c r="D108" s="149"/>
      <c r="E108" s="149"/>
      <c r="F108" s="149"/>
      <c r="G108" s="149"/>
      <c r="H108" s="149"/>
      <c r="I108" s="149"/>
      <c r="J108" s="149"/>
      <c r="K108" s="149"/>
      <c r="L108" s="149"/>
      <c r="M108" s="149"/>
      <c r="N108" s="149"/>
      <c r="O108" s="149"/>
      <c r="P108" s="149"/>
      <c r="Q108" s="149"/>
      <c r="R108" s="149"/>
    </row>
    <row r="109" spans="2:18" ht="10.050000000000001" customHeight="1" x14ac:dyDescent="0.25">
      <c r="B109" s="149"/>
      <c r="C109" s="149"/>
      <c r="D109" s="149"/>
      <c r="E109" s="149"/>
      <c r="F109" s="149"/>
      <c r="G109" s="149"/>
      <c r="H109" s="149"/>
      <c r="I109" s="149"/>
      <c r="J109" s="149"/>
      <c r="K109" s="149"/>
      <c r="L109" s="149"/>
      <c r="M109" s="149"/>
      <c r="N109" s="149"/>
      <c r="O109" s="149"/>
      <c r="P109" s="149"/>
      <c r="Q109" s="149"/>
      <c r="R109" s="149"/>
    </row>
    <row r="110" spans="2:18" ht="10.050000000000001" customHeight="1" x14ac:dyDescent="0.25">
      <c r="B110" s="149"/>
      <c r="C110" s="149"/>
      <c r="D110" s="149"/>
      <c r="E110" s="149"/>
      <c r="F110" s="149"/>
      <c r="G110" s="149"/>
      <c r="H110" s="149"/>
      <c r="I110" s="149"/>
      <c r="J110" s="149"/>
      <c r="K110" s="149"/>
      <c r="L110" s="149"/>
      <c r="M110" s="149"/>
      <c r="N110" s="149"/>
      <c r="O110" s="149"/>
      <c r="P110" s="149"/>
      <c r="Q110" s="149"/>
      <c r="R110" s="149"/>
    </row>
    <row r="111" spans="2:18" ht="10.050000000000001" customHeight="1" x14ac:dyDescent="0.25">
      <c r="B111" s="149"/>
      <c r="C111" s="149"/>
      <c r="D111" s="149"/>
      <c r="E111" s="149"/>
      <c r="F111" s="149"/>
      <c r="G111" s="149"/>
      <c r="H111" s="149"/>
      <c r="I111" s="149"/>
      <c r="J111" s="149"/>
      <c r="K111" s="149"/>
      <c r="L111" s="149"/>
      <c r="M111" s="149"/>
      <c r="N111" s="149"/>
      <c r="O111" s="149"/>
      <c r="P111" s="149"/>
      <c r="Q111" s="149"/>
      <c r="R111" s="149"/>
    </row>
    <row r="112" spans="2:18" ht="10.050000000000001" customHeight="1" x14ac:dyDescent="0.25">
      <c r="B112" s="149"/>
      <c r="C112" s="149"/>
      <c r="D112" s="149"/>
      <c r="E112" s="149"/>
      <c r="F112" s="149"/>
      <c r="G112" s="149"/>
      <c r="H112" s="149"/>
      <c r="I112" s="149"/>
      <c r="J112" s="149"/>
      <c r="K112" s="149"/>
      <c r="L112" s="149"/>
      <c r="M112" s="149"/>
      <c r="N112" s="149"/>
      <c r="O112" s="149"/>
      <c r="P112" s="149"/>
      <c r="Q112" s="149"/>
      <c r="R112" s="149"/>
    </row>
    <row r="113" spans="2:18" ht="10.050000000000001" customHeight="1" x14ac:dyDescent="0.25">
      <c r="B113" s="149"/>
      <c r="C113" s="149"/>
      <c r="D113" s="149"/>
      <c r="E113" s="149"/>
      <c r="F113" s="149"/>
      <c r="G113" s="149"/>
      <c r="H113" s="149"/>
      <c r="I113" s="149"/>
      <c r="J113" s="149"/>
      <c r="K113" s="149"/>
      <c r="L113" s="149"/>
      <c r="M113" s="149"/>
      <c r="N113" s="149"/>
      <c r="O113" s="149"/>
      <c r="P113" s="149"/>
      <c r="Q113" s="149"/>
      <c r="R113" s="149"/>
    </row>
    <row r="114" spans="2:18" ht="10.050000000000001" customHeight="1" x14ac:dyDescent="0.25">
      <c r="B114" s="149"/>
      <c r="C114" s="149"/>
      <c r="D114" s="149"/>
      <c r="E114" s="149"/>
      <c r="F114" s="149"/>
      <c r="G114" s="149"/>
      <c r="H114" s="149"/>
      <c r="I114" s="149"/>
      <c r="J114" s="149"/>
      <c r="K114" s="149"/>
      <c r="L114" s="149"/>
      <c r="M114" s="149"/>
      <c r="N114" s="149"/>
      <c r="O114" s="149"/>
      <c r="P114" s="149"/>
      <c r="Q114" s="149"/>
      <c r="R114" s="149"/>
    </row>
    <row r="115" spans="2:18" ht="10.050000000000001" customHeight="1" x14ac:dyDescent="0.25">
      <c r="B115" s="149"/>
      <c r="C115" s="149"/>
      <c r="D115" s="149"/>
      <c r="E115" s="149"/>
      <c r="F115" s="149"/>
      <c r="G115" s="149"/>
      <c r="H115" s="149"/>
      <c r="I115" s="149"/>
      <c r="J115" s="149"/>
      <c r="K115" s="149"/>
      <c r="L115" s="149"/>
      <c r="M115" s="149"/>
      <c r="N115" s="149"/>
      <c r="O115" s="149"/>
      <c r="P115" s="149"/>
      <c r="Q115" s="149"/>
      <c r="R115" s="149"/>
    </row>
    <row r="116" spans="2:18" ht="10.050000000000001" customHeight="1" x14ac:dyDescent="0.25">
      <c r="B116" s="149"/>
      <c r="C116" s="149"/>
      <c r="D116" s="149"/>
      <c r="E116" s="149"/>
      <c r="F116" s="149"/>
      <c r="G116" s="149"/>
      <c r="H116" s="149"/>
      <c r="I116" s="149"/>
      <c r="J116" s="149"/>
      <c r="K116" s="149"/>
      <c r="L116" s="149"/>
      <c r="M116" s="149"/>
      <c r="N116" s="149"/>
      <c r="O116" s="149"/>
      <c r="P116" s="149"/>
      <c r="Q116" s="149"/>
      <c r="R116" s="149"/>
    </row>
    <row r="117" spans="2:18" ht="10.050000000000001" customHeight="1" x14ac:dyDescent="0.25">
      <c r="B117" s="149"/>
      <c r="C117" s="149"/>
      <c r="D117" s="149"/>
      <c r="E117" s="149"/>
      <c r="F117" s="149"/>
      <c r="G117" s="149"/>
      <c r="H117" s="149"/>
      <c r="I117" s="149"/>
      <c r="J117" s="149"/>
      <c r="K117" s="149"/>
      <c r="L117" s="149"/>
      <c r="M117" s="149"/>
      <c r="N117" s="149"/>
      <c r="O117" s="149"/>
      <c r="P117" s="149"/>
      <c r="Q117" s="149"/>
      <c r="R117" s="149"/>
    </row>
    <row r="118" spans="2:18" ht="10.050000000000001" customHeight="1" x14ac:dyDescent="0.25">
      <c r="B118" s="149"/>
      <c r="C118" s="149"/>
      <c r="D118" s="149"/>
      <c r="E118" s="149"/>
      <c r="F118" s="149"/>
      <c r="G118" s="149"/>
      <c r="H118" s="149"/>
      <c r="I118" s="149"/>
      <c r="J118" s="149"/>
      <c r="K118" s="149"/>
      <c r="L118" s="149"/>
      <c r="M118" s="149"/>
      <c r="N118" s="149"/>
      <c r="O118" s="149"/>
      <c r="P118" s="149"/>
      <c r="Q118" s="149"/>
      <c r="R118" s="149"/>
    </row>
    <row r="119" spans="2:18" ht="10.050000000000001" customHeight="1" x14ac:dyDescent="0.25">
      <c r="B119" s="149"/>
      <c r="C119" s="149"/>
      <c r="D119" s="149"/>
      <c r="E119" s="149"/>
      <c r="F119" s="149"/>
      <c r="G119" s="149"/>
      <c r="H119" s="149"/>
      <c r="I119" s="149"/>
      <c r="J119" s="149"/>
      <c r="K119" s="149"/>
      <c r="L119" s="149"/>
      <c r="M119" s="149"/>
      <c r="N119" s="149"/>
      <c r="O119" s="149"/>
      <c r="P119" s="149"/>
      <c r="Q119" s="149"/>
      <c r="R119" s="149"/>
    </row>
    <row r="120" spans="2:18" ht="10.050000000000001" customHeight="1" x14ac:dyDescent="0.25">
      <c r="B120" s="149"/>
      <c r="C120" s="149"/>
      <c r="D120" s="149"/>
      <c r="E120" s="149"/>
      <c r="F120" s="149"/>
      <c r="G120" s="149"/>
      <c r="H120" s="149"/>
      <c r="I120" s="149"/>
      <c r="J120" s="149"/>
      <c r="K120" s="149"/>
      <c r="L120" s="149"/>
      <c r="M120" s="149"/>
      <c r="N120" s="149"/>
      <c r="O120" s="149"/>
      <c r="P120" s="149"/>
      <c r="Q120" s="149"/>
      <c r="R120" s="149"/>
    </row>
    <row r="121" spans="2:18" ht="10.050000000000001" customHeight="1" x14ac:dyDescent="0.25">
      <c r="B121" s="149"/>
      <c r="C121" s="149"/>
      <c r="D121" s="149"/>
      <c r="E121" s="149"/>
      <c r="F121" s="149"/>
      <c r="G121" s="149"/>
      <c r="H121" s="149"/>
      <c r="I121" s="149"/>
      <c r="J121" s="149"/>
      <c r="K121" s="149"/>
      <c r="L121" s="149"/>
      <c r="M121" s="149"/>
      <c r="N121" s="149"/>
      <c r="O121" s="149"/>
      <c r="P121" s="149"/>
      <c r="Q121" s="149"/>
      <c r="R121" s="149"/>
    </row>
    <row r="122" spans="2:18" ht="10.050000000000001" customHeight="1" x14ac:dyDescent="0.25">
      <c r="B122" s="149"/>
      <c r="C122" s="149"/>
      <c r="D122" s="149"/>
      <c r="E122" s="149"/>
      <c r="F122" s="149"/>
      <c r="G122" s="149"/>
      <c r="H122" s="149"/>
      <c r="I122" s="149"/>
      <c r="J122" s="149"/>
      <c r="K122" s="149"/>
      <c r="L122" s="149"/>
      <c r="M122" s="149"/>
      <c r="N122" s="149"/>
      <c r="O122" s="149"/>
      <c r="P122" s="149"/>
      <c r="Q122" s="149"/>
      <c r="R122" s="149"/>
    </row>
    <row r="123" spans="2:18" ht="10.050000000000001" customHeight="1" x14ac:dyDescent="0.25">
      <c r="B123" s="149"/>
      <c r="C123" s="149"/>
      <c r="D123" s="149"/>
      <c r="E123" s="149"/>
      <c r="F123" s="149"/>
      <c r="G123" s="149"/>
      <c r="H123" s="149"/>
      <c r="I123" s="149"/>
      <c r="J123" s="149"/>
      <c r="K123" s="149"/>
      <c r="L123" s="149"/>
      <c r="M123" s="149"/>
      <c r="N123" s="149"/>
      <c r="O123" s="149"/>
      <c r="P123" s="149"/>
      <c r="Q123" s="149"/>
      <c r="R123" s="149"/>
    </row>
    <row r="124" spans="2:18" ht="10.050000000000001" customHeight="1" x14ac:dyDescent="0.25">
      <c r="B124" s="149"/>
      <c r="C124" s="149"/>
      <c r="D124" s="149"/>
      <c r="E124" s="149"/>
      <c r="F124" s="149"/>
      <c r="G124" s="149"/>
      <c r="H124" s="149"/>
      <c r="I124" s="149"/>
      <c r="J124" s="149"/>
      <c r="K124" s="149"/>
      <c r="L124" s="149"/>
      <c r="M124" s="149"/>
      <c r="N124" s="149"/>
      <c r="O124" s="149"/>
      <c r="P124" s="149"/>
      <c r="Q124" s="149"/>
      <c r="R124" s="149"/>
    </row>
    <row r="125" spans="2:18" ht="10.050000000000001" customHeight="1" x14ac:dyDescent="0.25">
      <c r="B125" s="149"/>
      <c r="C125" s="149"/>
      <c r="D125" s="149"/>
      <c r="E125" s="149"/>
      <c r="F125" s="149"/>
      <c r="G125" s="149"/>
      <c r="H125" s="149"/>
      <c r="I125" s="149"/>
      <c r="J125" s="149"/>
      <c r="K125" s="149"/>
      <c r="L125" s="149"/>
      <c r="M125" s="149"/>
      <c r="N125" s="149"/>
      <c r="O125" s="149"/>
      <c r="P125" s="149"/>
      <c r="Q125" s="149"/>
      <c r="R125" s="149"/>
    </row>
    <row r="126" spans="2:18" ht="10.050000000000001" customHeight="1" x14ac:dyDescent="0.25">
      <c r="B126" s="149"/>
      <c r="C126" s="149"/>
      <c r="D126" s="149"/>
      <c r="E126" s="149"/>
      <c r="F126" s="149"/>
      <c r="G126" s="149"/>
      <c r="H126" s="149"/>
      <c r="I126" s="149"/>
      <c r="J126" s="149"/>
      <c r="K126" s="149"/>
      <c r="L126" s="149"/>
      <c r="M126" s="149"/>
      <c r="N126" s="149"/>
      <c r="O126" s="149"/>
      <c r="P126" s="149"/>
      <c r="Q126" s="149"/>
      <c r="R126" s="149"/>
    </row>
    <row r="127" spans="2:18" ht="10.050000000000001" customHeight="1" x14ac:dyDescent="0.25">
      <c r="B127" s="149"/>
      <c r="C127" s="149"/>
      <c r="D127" s="149"/>
      <c r="E127" s="149"/>
      <c r="F127" s="149"/>
      <c r="G127" s="149"/>
      <c r="H127" s="149"/>
      <c r="I127" s="149"/>
      <c r="J127" s="149"/>
      <c r="K127" s="149"/>
      <c r="L127" s="149"/>
      <c r="M127" s="149"/>
      <c r="N127" s="149"/>
      <c r="O127" s="149"/>
      <c r="P127" s="149"/>
      <c r="Q127" s="149"/>
      <c r="R127" s="149"/>
    </row>
    <row r="128" spans="2:18" ht="10.050000000000001" customHeight="1" x14ac:dyDescent="0.25">
      <c r="B128" s="149"/>
      <c r="C128" s="149"/>
      <c r="D128" s="149"/>
      <c r="E128" s="149"/>
      <c r="F128" s="149"/>
      <c r="G128" s="149"/>
      <c r="H128" s="149"/>
      <c r="I128" s="149"/>
      <c r="J128" s="149"/>
      <c r="K128" s="149"/>
      <c r="L128" s="149"/>
      <c r="M128" s="149"/>
      <c r="N128" s="149"/>
      <c r="O128" s="149"/>
      <c r="P128" s="149"/>
      <c r="Q128" s="149"/>
      <c r="R128" s="149"/>
    </row>
    <row r="129" spans="2:18" ht="10.050000000000001" customHeight="1" x14ac:dyDescent="0.25">
      <c r="B129" s="149"/>
      <c r="C129" s="149"/>
      <c r="D129" s="149"/>
      <c r="E129" s="149"/>
      <c r="F129" s="149"/>
      <c r="G129" s="149"/>
      <c r="H129" s="149"/>
      <c r="I129" s="149"/>
      <c r="J129" s="149"/>
      <c r="K129" s="149"/>
      <c r="L129" s="149"/>
      <c r="M129" s="149"/>
      <c r="N129" s="149"/>
      <c r="O129" s="149"/>
      <c r="P129" s="149"/>
      <c r="Q129" s="149"/>
      <c r="R129" s="149"/>
    </row>
    <row r="130" spans="2:18" ht="10.050000000000001" customHeight="1" x14ac:dyDescent="0.25">
      <c r="B130" s="149"/>
      <c r="C130" s="149"/>
      <c r="D130" s="149"/>
      <c r="E130" s="149"/>
      <c r="F130" s="149"/>
      <c r="G130" s="149"/>
      <c r="H130" s="149"/>
      <c r="I130" s="149"/>
      <c r="J130" s="149"/>
      <c r="K130" s="149"/>
      <c r="L130" s="149"/>
      <c r="M130" s="149"/>
      <c r="N130" s="149"/>
      <c r="O130" s="149"/>
      <c r="P130" s="149"/>
      <c r="Q130" s="149"/>
      <c r="R130" s="149"/>
    </row>
    <row r="131" spans="2:18" ht="10.050000000000001" customHeight="1" x14ac:dyDescent="0.25">
      <c r="B131" s="149"/>
      <c r="C131" s="149"/>
      <c r="D131" s="149"/>
      <c r="E131" s="149"/>
      <c r="F131" s="149"/>
      <c r="G131" s="149"/>
      <c r="H131" s="149"/>
      <c r="I131" s="149"/>
      <c r="J131" s="149"/>
      <c r="K131" s="149"/>
      <c r="L131" s="149"/>
      <c r="M131" s="149"/>
      <c r="N131" s="149"/>
      <c r="O131" s="149"/>
      <c r="P131" s="149"/>
      <c r="Q131" s="149"/>
      <c r="R131" s="149"/>
    </row>
    <row r="132" spans="2:18" ht="10.050000000000001" customHeight="1" x14ac:dyDescent="0.25">
      <c r="B132" s="149"/>
      <c r="C132" s="149"/>
      <c r="D132" s="149"/>
      <c r="E132" s="149"/>
      <c r="F132" s="149"/>
      <c r="G132" s="149"/>
      <c r="H132" s="149"/>
      <c r="I132" s="149"/>
      <c r="J132" s="149"/>
      <c r="K132" s="149"/>
      <c r="L132" s="149"/>
      <c r="M132" s="149"/>
      <c r="N132" s="149"/>
      <c r="O132" s="149"/>
      <c r="P132" s="149"/>
      <c r="Q132" s="149"/>
      <c r="R132" s="149"/>
    </row>
    <row r="133" spans="2:18" ht="10.050000000000001" customHeight="1" x14ac:dyDescent="0.25">
      <c r="B133" s="149"/>
      <c r="C133" s="149"/>
      <c r="D133" s="149"/>
      <c r="E133" s="149"/>
      <c r="F133" s="149"/>
      <c r="G133" s="149"/>
      <c r="H133" s="149"/>
      <c r="I133" s="149"/>
      <c r="J133" s="149"/>
      <c r="K133" s="149"/>
      <c r="L133" s="149"/>
      <c r="M133" s="149"/>
      <c r="N133" s="149"/>
      <c r="O133" s="149"/>
      <c r="P133" s="149"/>
      <c r="Q133" s="149"/>
      <c r="R133" s="149"/>
    </row>
    <row r="134" spans="2:18" ht="10.050000000000001" customHeight="1" x14ac:dyDescent="0.25">
      <c r="B134" s="149"/>
      <c r="C134" s="149"/>
      <c r="D134" s="149"/>
      <c r="E134" s="149"/>
      <c r="F134" s="149"/>
      <c r="G134" s="149"/>
      <c r="H134" s="149"/>
      <c r="I134" s="149"/>
      <c r="J134" s="149"/>
      <c r="K134" s="149"/>
      <c r="L134" s="149"/>
      <c r="M134" s="149"/>
      <c r="N134" s="149"/>
      <c r="O134" s="149"/>
      <c r="P134" s="149"/>
      <c r="Q134" s="149"/>
      <c r="R134" s="149"/>
    </row>
    <row r="135" spans="2:18" ht="10.050000000000001" customHeight="1" x14ac:dyDescent="0.25">
      <c r="B135" s="149"/>
      <c r="C135" s="149"/>
      <c r="D135" s="149"/>
      <c r="E135" s="149"/>
      <c r="F135" s="149"/>
      <c r="G135" s="149"/>
      <c r="H135" s="149"/>
      <c r="I135" s="149"/>
      <c r="J135" s="149"/>
      <c r="K135" s="149"/>
      <c r="L135" s="149"/>
      <c r="M135" s="149"/>
      <c r="N135" s="149"/>
      <c r="O135" s="149"/>
      <c r="P135" s="149"/>
      <c r="Q135" s="149"/>
      <c r="R135" s="149"/>
    </row>
    <row r="136" spans="2:18" ht="10.050000000000001" customHeight="1" x14ac:dyDescent="0.25">
      <c r="B136" s="149"/>
      <c r="C136" s="149"/>
      <c r="D136" s="149"/>
      <c r="E136" s="149"/>
      <c r="F136" s="149"/>
      <c r="G136" s="149"/>
      <c r="H136" s="149"/>
      <c r="I136" s="149"/>
      <c r="J136" s="149"/>
      <c r="K136" s="149"/>
      <c r="L136" s="149"/>
      <c r="M136" s="149"/>
      <c r="N136" s="149"/>
      <c r="O136" s="149"/>
      <c r="P136" s="149"/>
      <c r="Q136" s="149"/>
      <c r="R136" s="149"/>
    </row>
    <row r="137" spans="2:18" ht="10.050000000000001" customHeight="1" x14ac:dyDescent="0.25">
      <c r="B137" s="149"/>
      <c r="C137" s="149"/>
      <c r="D137" s="149"/>
      <c r="E137" s="149"/>
      <c r="F137" s="149"/>
      <c r="G137" s="149"/>
      <c r="H137" s="149"/>
      <c r="I137" s="149"/>
      <c r="J137" s="149"/>
      <c r="K137" s="149"/>
      <c r="L137" s="149"/>
      <c r="M137" s="149"/>
      <c r="N137" s="149"/>
      <c r="O137" s="149"/>
      <c r="P137" s="149"/>
      <c r="Q137" s="149"/>
      <c r="R137" s="149"/>
    </row>
    <row r="138" spans="2:18" ht="10.050000000000001" customHeight="1" x14ac:dyDescent="0.25">
      <c r="B138" s="149"/>
      <c r="C138" s="149"/>
      <c r="D138" s="149"/>
      <c r="E138" s="149"/>
      <c r="F138" s="149"/>
      <c r="G138" s="149"/>
      <c r="H138" s="149"/>
      <c r="I138" s="149"/>
      <c r="J138" s="149"/>
      <c r="K138" s="149"/>
      <c r="L138" s="149"/>
      <c r="M138" s="149"/>
      <c r="N138" s="149"/>
      <c r="O138" s="149"/>
      <c r="P138" s="149"/>
      <c r="Q138" s="149"/>
      <c r="R138" s="149"/>
    </row>
    <row r="139" spans="2:18" ht="10.050000000000001" customHeight="1" x14ac:dyDescent="0.25">
      <c r="B139" s="149"/>
      <c r="C139" s="149"/>
      <c r="D139" s="149"/>
      <c r="E139" s="149"/>
      <c r="F139" s="149"/>
      <c r="G139" s="149"/>
      <c r="H139" s="149"/>
      <c r="I139" s="149"/>
      <c r="J139" s="149"/>
      <c r="K139" s="149"/>
      <c r="L139" s="149"/>
      <c r="M139" s="149"/>
      <c r="N139" s="149"/>
      <c r="O139" s="149"/>
      <c r="P139" s="149"/>
      <c r="Q139" s="149"/>
      <c r="R139" s="149"/>
    </row>
    <row r="140" spans="2:18" ht="10.050000000000001" customHeight="1" x14ac:dyDescent="0.25">
      <c r="B140" s="149"/>
      <c r="C140" s="149"/>
      <c r="D140" s="149"/>
      <c r="E140" s="149"/>
      <c r="F140" s="149"/>
      <c r="G140" s="149"/>
      <c r="H140" s="149"/>
      <c r="I140" s="149"/>
      <c r="J140" s="149"/>
      <c r="K140" s="149"/>
      <c r="L140" s="149"/>
      <c r="M140" s="149"/>
      <c r="N140" s="149"/>
      <c r="O140" s="149"/>
      <c r="P140" s="149"/>
      <c r="Q140" s="149"/>
      <c r="R140" s="149"/>
    </row>
    <row r="141" spans="2:18" ht="10.050000000000001" customHeight="1" x14ac:dyDescent="0.25">
      <c r="B141" s="149"/>
      <c r="C141" s="149"/>
      <c r="D141" s="149"/>
      <c r="E141" s="149"/>
      <c r="F141" s="149"/>
      <c r="G141" s="149"/>
      <c r="H141" s="149"/>
      <c r="I141" s="149"/>
      <c r="J141" s="149"/>
      <c r="K141" s="149"/>
      <c r="L141" s="149"/>
      <c r="M141" s="149"/>
      <c r="N141" s="149"/>
      <c r="O141" s="149"/>
      <c r="P141" s="149"/>
      <c r="Q141" s="149"/>
      <c r="R141" s="149"/>
    </row>
    <row r="142" spans="2:18" ht="10.050000000000001" customHeight="1" x14ac:dyDescent="0.25">
      <c r="B142" s="149"/>
      <c r="C142" s="149"/>
      <c r="D142" s="149"/>
      <c r="E142" s="149"/>
      <c r="F142" s="149"/>
      <c r="G142" s="149"/>
      <c r="H142" s="149"/>
      <c r="I142" s="149"/>
      <c r="J142" s="149"/>
      <c r="K142" s="149"/>
      <c r="L142" s="149"/>
      <c r="M142" s="149"/>
      <c r="N142" s="149"/>
      <c r="O142" s="149"/>
      <c r="P142" s="149"/>
      <c r="Q142" s="149"/>
      <c r="R142" s="149"/>
    </row>
    <row r="143" spans="2:18" ht="10.050000000000001" customHeight="1" x14ac:dyDescent="0.25">
      <c r="B143" s="149"/>
      <c r="C143" s="149"/>
      <c r="D143" s="149"/>
      <c r="E143" s="149"/>
      <c r="F143" s="149"/>
      <c r="G143" s="149"/>
      <c r="H143" s="149"/>
      <c r="I143" s="149"/>
      <c r="J143" s="149"/>
      <c r="K143" s="149"/>
      <c r="L143" s="149"/>
      <c r="M143" s="149"/>
      <c r="N143" s="149"/>
      <c r="O143" s="149"/>
      <c r="P143" s="149"/>
      <c r="Q143" s="149"/>
      <c r="R143" s="149"/>
    </row>
    <row r="144" spans="2:18" ht="10.050000000000001" customHeight="1" x14ac:dyDescent="0.25">
      <c r="B144" s="149"/>
      <c r="C144" s="149"/>
      <c r="D144" s="149"/>
      <c r="E144" s="149"/>
      <c r="F144" s="149"/>
      <c r="G144" s="149"/>
      <c r="H144" s="149"/>
      <c r="I144" s="149"/>
      <c r="J144" s="149"/>
      <c r="K144" s="149"/>
      <c r="L144" s="149"/>
      <c r="M144" s="149"/>
      <c r="N144" s="149"/>
      <c r="O144" s="149"/>
      <c r="P144" s="149"/>
      <c r="Q144" s="149"/>
      <c r="R144" s="149"/>
    </row>
    <row r="145" spans="2:18" ht="10.050000000000001" customHeight="1" x14ac:dyDescent="0.25">
      <c r="B145" s="149"/>
      <c r="C145" s="149"/>
      <c r="D145" s="149"/>
      <c r="E145" s="149"/>
      <c r="F145" s="149"/>
      <c r="G145" s="149"/>
      <c r="H145" s="149"/>
      <c r="I145" s="149"/>
      <c r="J145" s="149"/>
      <c r="K145" s="149"/>
      <c r="L145" s="149"/>
      <c r="M145" s="149"/>
      <c r="N145" s="149"/>
      <c r="O145" s="149"/>
      <c r="P145" s="149"/>
      <c r="Q145" s="149"/>
      <c r="R145" s="149"/>
    </row>
    <row r="146" spans="2:18" ht="10.050000000000001" customHeight="1" x14ac:dyDescent="0.25">
      <c r="B146" s="149"/>
      <c r="C146" s="149"/>
      <c r="D146" s="149"/>
      <c r="E146" s="149"/>
      <c r="F146" s="149"/>
      <c r="G146" s="149"/>
      <c r="H146" s="149"/>
      <c r="I146" s="149"/>
      <c r="J146" s="149"/>
      <c r="K146" s="149"/>
      <c r="L146" s="149"/>
      <c r="M146" s="149"/>
      <c r="N146" s="149"/>
      <c r="O146" s="149"/>
      <c r="P146" s="149"/>
      <c r="Q146" s="149"/>
      <c r="R146" s="149"/>
    </row>
    <row r="147" spans="2:18" ht="10.050000000000001" customHeight="1" x14ac:dyDescent="0.25">
      <c r="B147" s="149"/>
      <c r="C147" s="149"/>
      <c r="D147" s="149"/>
      <c r="E147" s="149"/>
      <c r="F147" s="149"/>
      <c r="G147" s="149"/>
      <c r="H147" s="149"/>
      <c r="I147" s="149"/>
      <c r="J147" s="149"/>
      <c r="K147" s="149"/>
      <c r="L147" s="149"/>
      <c r="M147" s="149"/>
      <c r="N147" s="149"/>
      <c r="O147" s="149"/>
      <c r="P147" s="149"/>
      <c r="Q147" s="149"/>
      <c r="R147" s="149"/>
    </row>
    <row r="148" spans="2:18" ht="10.050000000000001" customHeight="1" x14ac:dyDescent="0.25">
      <c r="B148" s="149"/>
      <c r="C148" s="149"/>
      <c r="D148" s="149"/>
      <c r="E148" s="149"/>
      <c r="F148" s="149"/>
      <c r="G148" s="149"/>
      <c r="H148" s="149"/>
      <c r="I148" s="149"/>
      <c r="J148" s="149"/>
      <c r="K148" s="149"/>
      <c r="L148" s="149"/>
      <c r="M148" s="149"/>
      <c r="N148" s="149"/>
      <c r="O148" s="149"/>
      <c r="P148" s="149"/>
      <c r="Q148" s="149"/>
      <c r="R148" s="149"/>
    </row>
    <row r="149" spans="2:18" ht="10.050000000000001" customHeight="1" x14ac:dyDescent="0.25">
      <c r="B149" s="149"/>
      <c r="C149" s="149"/>
      <c r="D149" s="149"/>
      <c r="E149" s="149"/>
      <c r="F149" s="149"/>
      <c r="G149" s="149"/>
      <c r="H149" s="149"/>
      <c r="I149" s="149"/>
      <c r="J149" s="149"/>
      <c r="K149" s="149"/>
      <c r="L149" s="149"/>
      <c r="M149" s="149"/>
      <c r="N149" s="149"/>
      <c r="O149" s="149"/>
      <c r="P149" s="149"/>
      <c r="Q149" s="149"/>
      <c r="R149" s="149"/>
    </row>
    <row r="150" spans="2:18" ht="10.050000000000001" customHeight="1" x14ac:dyDescent="0.25">
      <c r="B150" s="149"/>
      <c r="C150" s="149"/>
      <c r="D150" s="149"/>
      <c r="E150" s="149"/>
      <c r="F150" s="149"/>
      <c r="G150" s="149"/>
      <c r="H150" s="149"/>
      <c r="I150" s="149"/>
      <c r="J150" s="149"/>
      <c r="K150" s="149"/>
      <c r="L150" s="149"/>
      <c r="M150" s="149"/>
      <c r="N150" s="149"/>
      <c r="O150" s="149"/>
      <c r="P150" s="149"/>
      <c r="Q150" s="149"/>
      <c r="R150" s="149"/>
    </row>
    <row r="151" spans="2:18" ht="10.050000000000001" customHeight="1" x14ac:dyDescent="0.25">
      <c r="B151" s="149"/>
      <c r="C151" s="149"/>
      <c r="D151" s="149"/>
      <c r="E151" s="149"/>
      <c r="F151" s="149"/>
      <c r="G151" s="149"/>
      <c r="H151" s="149"/>
      <c r="I151" s="149"/>
      <c r="J151" s="149"/>
      <c r="K151" s="149"/>
      <c r="L151" s="149"/>
      <c r="M151" s="149"/>
      <c r="N151" s="149"/>
      <c r="O151" s="149"/>
      <c r="P151" s="149"/>
      <c r="Q151" s="149"/>
      <c r="R151" s="149"/>
    </row>
    <row r="152" spans="2:18" ht="10.050000000000001" customHeight="1" x14ac:dyDescent="0.25">
      <c r="B152" s="149"/>
      <c r="C152" s="149"/>
      <c r="D152" s="149"/>
      <c r="E152" s="149"/>
      <c r="F152" s="149"/>
      <c r="G152" s="149"/>
      <c r="H152" s="149"/>
      <c r="I152" s="149"/>
      <c r="J152" s="149"/>
      <c r="K152" s="149"/>
      <c r="L152" s="149"/>
      <c r="M152" s="149"/>
      <c r="N152" s="149"/>
      <c r="O152" s="149"/>
      <c r="P152" s="149"/>
      <c r="Q152" s="149"/>
      <c r="R152" s="149"/>
    </row>
    <row r="153" spans="2:18" ht="10.050000000000001" customHeight="1" x14ac:dyDescent="0.25">
      <c r="B153" s="149"/>
      <c r="C153" s="149"/>
      <c r="D153" s="149"/>
      <c r="E153" s="149"/>
      <c r="F153" s="149"/>
      <c r="G153" s="149"/>
      <c r="H153" s="149"/>
      <c r="I153" s="149"/>
      <c r="J153" s="149"/>
      <c r="K153" s="149"/>
      <c r="L153" s="149"/>
      <c r="M153" s="149"/>
      <c r="N153" s="149"/>
      <c r="O153" s="149"/>
      <c r="P153" s="149"/>
      <c r="Q153" s="149"/>
      <c r="R153" s="149"/>
    </row>
    <row r="154" spans="2:18" ht="10.050000000000001" customHeight="1" x14ac:dyDescent="0.25">
      <c r="B154" s="149"/>
      <c r="C154" s="149"/>
      <c r="D154" s="149"/>
      <c r="E154" s="149"/>
      <c r="F154" s="149"/>
      <c r="G154" s="149"/>
      <c r="H154" s="149"/>
      <c r="I154" s="149"/>
      <c r="J154" s="149"/>
      <c r="K154" s="149"/>
      <c r="L154" s="149"/>
      <c r="M154" s="149"/>
      <c r="N154" s="149"/>
      <c r="O154" s="149"/>
      <c r="P154" s="149"/>
      <c r="Q154" s="149"/>
      <c r="R154" s="149"/>
    </row>
    <row r="155" spans="2:18" ht="10.050000000000001" customHeight="1" x14ac:dyDescent="0.25">
      <c r="B155" s="149"/>
      <c r="C155" s="149"/>
      <c r="D155" s="149"/>
      <c r="E155" s="149"/>
      <c r="F155" s="149"/>
      <c r="G155" s="149"/>
      <c r="H155" s="149"/>
      <c r="I155" s="149"/>
      <c r="J155" s="149"/>
      <c r="K155" s="149"/>
      <c r="L155" s="149"/>
      <c r="M155" s="149"/>
      <c r="N155" s="149"/>
      <c r="O155" s="149"/>
      <c r="P155" s="149"/>
      <c r="Q155" s="149"/>
      <c r="R155" s="149"/>
    </row>
    <row r="156" spans="2:18" ht="10.050000000000001" customHeight="1" x14ac:dyDescent="0.25">
      <c r="B156" s="149"/>
      <c r="C156" s="149"/>
      <c r="D156" s="149"/>
      <c r="E156" s="149"/>
      <c r="F156" s="149"/>
      <c r="G156" s="149"/>
      <c r="H156" s="149"/>
      <c r="I156" s="149"/>
      <c r="J156" s="149"/>
      <c r="K156" s="149"/>
      <c r="L156" s="149"/>
      <c r="M156" s="149"/>
      <c r="N156" s="149"/>
      <c r="O156" s="149"/>
      <c r="P156" s="149"/>
      <c r="Q156" s="149"/>
      <c r="R156" s="149"/>
    </row>
    <row r="157" spans="2:18" ht="10.050000000000001" customHeight="1" x14ac:dyDescent="0.25">
      <c r="B157" s="149"/>
      <c r="C157" s="149"/>
      <c r="D157" s="149"/>
      <c r="E157" s="149"/>
      <c r="F157" s="149"/>
      <c r="G157" s="149"/>
      <c r="H157" s="149"/>
      <c r="I157" s="149"/>
      <c r="J157" s="149"/>
      <c r="K157" s="149"/>
      <c r="L157" s="149"/>
      <c r="M157" s="149"/>
      <c r="N157" s="149"/>
      <c r="O157" s="149"/>
      <c r="P157" s="149"/>
      <c r="Q157" s="149"/>
      <c r="R157" s="149"/>
    </row>
    <row r="158" spans="2:18" ht="10.050000000000001" customHeight="1" x14ac:dyDescent="0.25">
      <c r="B158" s="149"/>
      <c r="C158" s="149"/>
      <c r="D158" s="149"/>
      <c r="E158" s="149"/>
      <c r="F158" s="149"/>
      <c r="G158" s="149"/>
      <c r="H158" s="149"/>
      <c r="I158" s="149"/>
      <c r="J158" s="149"/>
      <c r="K158" s="149"/>
      <c r="L158" s="149"/>
      <c r="M158" s="149"/>
      <c r="N158" s="149"/>
      <c r="O158" s="149"/>
      <c r="P158" s="149"/>
      <c r="Q158" s="149"/>
      <c r="R158" s="149"/>
    </row>
    <row r="159" spans="2:18" ht="10.050000000000001" customHeight="1" x14ac:dyDescent="0.25">
      <c r="B159" s="149"/>
      <c r="C159" s="149"/>
      <c r="D159" s="149"/>
      <c r="E159" s="149"/>
      <c r="F159" s="149"/>
      <c r="G159" s="149"/>
      <c r="H159" s="149"/>
      <c r="I159" s="149"/>
      <c r="J159" s="149"/>
      <c r="K159" s="149"/>
      <c r="L159" s="149"/>
      <c r="M159" s="149"/>
      <c r="N159" s="149"/>
      <c r="O159" s="149"/>
      <c r="P159" s="149"/>
      <c r="Q159" s="149"/>
      <c r="R159" s="149"/>
    </row>
    <row r="160" spans="2:18" ht="10.050000000000001" customHeight="1" x14ac:dyDescent="0.25">
      <c r="B160" s="149"/>
      <c r="C160" s="149"/>
      <c r="D160" s="149"/>
      <c r="E160" s="149"/>
      <c r="F160" s="149"/>
      <c r="G160" s="149"/>
      <c r="H160" s="149"/>
      <c r="I160" s="149"/>
      <c r="J160" s="149"/>
      <c r="K160" s="149"/>
      <c r="L160" s="149"/>
      <c r="M160" s="149"/>
      <c r="N160" s="149"/>
      <c r="O160" s="149"/>
      <c r="P160" s="149"/>
      <c r="Q160" s="149"/>
      <c r="R160" s="149"/>
    </row>
    <row r="161" spans="2:18" ht="10.050000000000001" customHeight="1" x14ac:dyDescent="0.25">
      <c r="B161" s="149"/>
      <c r="C161" s="149"/>
      <c r="D161" s="149"/>
      <c r="E161" s="149"/>
      <c r="F161" s="149"/>
      <c r="G161" s="149"/>
      <c r="H161" s="149"/>
      <c r="I161" s="149"/>
      <c r="J161" s="149"/>
      <c r="K161" s="149"/>
      <c r="L161" s="149"/>
      <c r="M161" s="149"/>
      <c r="N161" s="149"/>
      <c r="O161" s="149"/>
      <c r="P161" s="149"/>
      <c r="Q161" s="149"/>
      <c r="R161" s="149"/>
    </row>
    <row r="162" spans="2:18" ht="10.050000000000001" customHeight="1" x14ac:dyDescent="0.25">
      <c r="B162" s="149"/>
      <c r="C162" s="149"/>
      <c r="D162" s="149"/>
      <c r="E162" s="149"/>
      <c r="F162" s="149"/>
      <c r="G162" s="149"/>
      <c r="H162" s="149"/>
      <c r="I162" s="149"/>
      <c r="J162" s="149"/>
      <c r="K162" s="149"/>
      <c r="L162" s="149"/>
      <c r="M162" s="149"/>
      <c r="N162" s="149"/>
      <c r="O162" s="149"/>
      <c r="P162" s="149"/>
      <c r="Q162" s="149"/>
      <c r="R162" s="149"/>
    </row>
    <row r="163" spans="2:18" ht="10.050000000000001" customHeight="1" x14ac:dyDescent="0.25">
      <c r="B163" s="149"/>
      <c r="C163" s="149"/>
      <c r="D163" s="149"/>
      <c r="E163" s="149"/>
      <c r="F163" s="149"/>
      <c r="G163" s="149"/>
      <c r="H163" s="149"/>
      <c r="I163" s="149"/>
      <c r="J163" s="149"/>
      <c r="K163" s="149"/>
      <c r="L163" s="149"/>
      <c r="M163" s="149"/>
      <c r="N163" s="149"/>
      <c r="O163" s="149"/>
      <c r="P163" s="149"/>
      <c r="Q163" s="149"/>
      <c r="R163" s="149"/>
    </row>
    <row r="164" spans="2:18" ht="10.050000000000001" customHeight="1" x14ac:dyDescent="0.25">
      <c r="B164" s="149"/>
      <c r="C164" s="149"/>
      <c r="D164" s="149"/>
      <c r="E164" s="149"/>
      <c r="F164" s="149"/>
      <c r="G164" s="149"/>
      <c r="H164" s="149"/>
      <c r="I164" s="149"/>
      <c r="J164" s="149"/>
      <c r="K164" s="149"/>
      <c r="L164" s="149"/>
      <c r="M164" s="149"/>
      <c r="N164" s="149"/>
      <c r="O164" s="149"/>
      <c r="P164" s="149"/>
      <c r="Q164" s="149"/>
      <c r="R164" s="149"/>
    </row>
    <row r="165" spans="2:18" ht="10.050000000000001" customHeight="1" x14ac:dyDescent="0.25">
      <c r="B165" s="149"/>
      <c r="C165" s="149"/>
      <c r="D165" s="149"/>
      <c r="E165" s="149"/>
      <c r="F165" s="149"/>
      <c r="G165" s="149"/>
      <c r="H165" s="149"/>
      <c r="I165" s="149"/>
      <c r="J165" s="149"/>
      <c r="K165" s="149"/>
      <c r="L165" s="149"/>
      <c r="M165" s="149"/>
      <c r="N165" s="149"/>
      <c r="O165" s="149"/>
      <c r="P165" s="149"/>
      <c r="Q165" s="149"/>
      <c r="R165" s="149"/>
    </row>
    <row r="166" spans="2:18" ht="10.050000000000001" customHeight="1" x14ac:dyDescent="0.25">
      <c r="B166" s="149"/>
      <c r="C166" s="149"/>
      <c r="D166" s="149"/>
      <c r="E166" s="149"/>
      <c r="F166" s="149"/>
      <c r="G166" s="149"/>
      <c r="H166" s="149"/>
      <c r="I166" s="149"/>
      <c r="J166" s="149"/>
      <c r="K166" s="149"/>
      <c r="L166" s="149"/>
      <c r="M166" s="149"/>
      <c r="N166" s="149"/>
      <c r="O166" s="149"/>
      <c r="P166" s="149"/>
      <c r="Q166" s="149"/>
      <c r="R166" s="149"/>
    </row>
    <row r="167" spans="2:18" ht="10.050000000000001" customHeight="1" x14ac:dyDescent="0.25">
      <c r="B167" s="149"/>
      <c r="C167" s="149"/>
      <c r="D167" s="149"/>
      <c r="E167" s="149"/>
      <c r="F167" s="149"/>
      <c r="G167" s="149"/>
      <c r="H167" s="149"/>
      <c r="I167" s="149"/>
      <c r="J167" s="149"/>
      <c r="K167" s="149"/>
      <c r="L167" s="149"/>
      <c r="M167" s="149"/>
      <c r="N167" s="149"/>
      <c r="O167" s="149"/>
      <c r="P167" s="149"/>
      <c r="Q167" s="149"/>
      <c r="R167" s="149"/>
    </row>
    <row r="168" spans="2:18" ht="10.050000000000001" customHeight="1" x14ac:dyDescent="0.25">
      <c r="B168" s="149"/>
      <c r="C168" s="149"/>
      <c r="D168" s="149"/>
      <c r="E168" s="149"/>
      <c r="F168" s="149"/>
      <c r="G168" s="149"/>
      <c r="H168" s="149"/>
      <c r="I168" s="149"/>
      <c r="J168" s="149"/>
      <c r="K168" s="149"/>
      <c r="L168" s="149"/>
      <c r="M168" s="149"/>
      <c r="N168" s="149"/>
      <c r="O168" s="149"/>
      <c r="P168" s="149"/>
      <c r="Q168" s="149"/>
      <c r="R168" s="149"/>
    </row>
    <row r="169" spans="2:18" ht="10.050000000000001" customHeight="1" x14ac:dyDescent="0.25">
      <c r="B169" s="149"/>
      <c r="C169" s="149"/>
      <c r="D169" s="149"/>
      <c r="E169" s="149"/>
      <c r="F169" s="149"/>
      <c r="G169" s="149"/>
      <c r="H169" s="149"/>
      <c r="I169" s="149"/>
      <c r="J169" s="149"/>
      <c r="K169" s="149"/>
      <c r="L169" s="149"/>
      <c r="M169" s="149"/>
      <c r="N169" s="149"/>
      <c r="O169" s="149"/>
      <c r="P169" s="149"/>
      <c r="Q169" s="149"/>
      <c r="R169" s="149"/>
    </row>
    <row r="170" spans="2:18" ht="10.050000000000001" customHeight="1" x14ac:dyDescent="0.25">
      <c r="B170" s="149"/>
      <c r="C170" s="149"/>
      <c r="D170" s="149"/>
      <c r="E170" s="149"/>
      <c r="F170" s="149"/>
      <c r="G170" s="149"/>
      <c r="H170" s="149"/>
      <c r="I170" s="149"/>
      <c r="J170" s="149"/>
      <c r="K170" s="149"/>
      <c r="L170" s="149"/>
      <c r="M170" s="149"/>
      <c r="N170" s="149"/>
      <c r="O170" s="149"/>
      <c r="P170" s="149"/>
      <c r="Q170" s="149"/>
      <c r="R170" s="149"/>
    </row>
    <row r="171" spans="2:18" ht="10.050000000000001" customHeight="1" x14ac:dyDescent="0.25">
      <c r="B171" s="149"/>
      <c r="C171" s="149"/>
      <c r="D171" s="149"/>
      <c r="E171" s="149"/>
      <c r="F171" s="149"/>
      <c r="G171" s="149"/>
      <c r="H171" s="149"/>
      <c r="I171" s="149"/>
      <c r="J171" s="149"/>
      <c r="K171" s="149"/>
      <c r="L171" s="149"/>
      <c r="M171" s="149"/>
      <c r="N171" s="149"/>
      <c r="O171" s="149"/>
      <c r="P171" s="149"/>
      <c r="Q171" s="149"/>
      <c r="R171" s="149"/>
    </row>
    <row r="172" spans="2:18" ht="10.050000000000001" customHeight="1" x14ac:dyDescent="0.25">
      <c r="B172" s="149"/>
      <c r="C172" s="149"/>
      <c r="D172" s="149"/>
      <c r="E172" s="149"/>
      <c r="F172" s="149"/>
      <c r="G172" s="149"/>
      <c r="H172" s="149"/>
      <c r="I172" s="149"/>
      <c r="J172" s="149"/>
      <c r="K172" s="149"/>
      <c r="L172" s="149"/>
      <c r="M172" s="149"/>
      <c r="N172" s="149"/>
      <c r="O172" s="149"/>
      <c r="P172" s="149"/>
      <c r="Q172" s="149"/>
      <c r="R172" s="149"/>
    </row>
    <row r="173" spans="2:18" ht="10.050000000000001" customHeight="1" x14ac:dyDescent="0.25">
      <c r="B173" s="149"/>
      <c r="C173" s="149"/>
      <c r="D173" s="149"/>
      <c r="E173" s="149"/>
      <c r="F173" s="149"/>
      <c r="G173" s="149"/>
      <c r="H173" s="149"/>
      <c r="I173" s="149"/>
      <c r="J173" s="149"/>
      <c r="K173" s="149"/>
      <c r="L173" s="149"/>
      <c r="M173" s="149"/>
      <c r="N173" s="149"/>
      <c r="O173" s="149"/>
      <c r="P173" s="149"/>
      <c r="Q173" s="149"/>
      <c r="R173" s="149"/>
    </row>
    <row r="174" spans="2:18" ht="10.050000000000001" customHeight="1" x14ac:dyDescent="0.25">
      <c r="B174" s="149"/>
      <c r="C174" s="149"/>
      <c r="D174" s="149"/>
      <c r="E174" s="149"/>
      <c r="F174" s="149"/>
      <c r="G174" s="149"/>
      <c r="H174" s="149"/>
      <c r="I174" s="149"/>
      <c r="J174" s="149"/>
      <c r="K174" s="149"/>
      <c r="L174" s="149"/>
      <c r="M174" s="149"/>
      <c r="N174" s="149"/>
      <c r="O174" s="149"/>
      <c r="P174" s="149"/>
      <c r="Q174" s="149"/>
      <c r="R174" s="149"/>
    </row>
    <row r="175" spans="2:18" ht="10.050000000000001" customHeight="1" x14ac:dyDescent="0.25">
      <c r="B175" s="149"/>
      <c r="C175" s="149"/>
      <c r="D175" s="149"/>
      <c r="E175" s="149"/>
      <c r="F175" s="149"/>
      <c r="G175" s="149"/>
      <c r="H175" s="149"/>
      <c r="I175" s="149"/>
      <c r="J175" s="149"/>
      <c r="K175" s="149"/>
      <c r="L175" s="149"/>
      <c r="M175" s="149"/>
      <c r="N175" s="149"/>
      <c r="O175" s="149"/>
      <c r="P175" s="149"/>
      <c r="Q175" s="149"/>
      <c r="R175" s="149"/>
    </row>
    <row r="176" spans="2:18" ht="10.050000000000001" customHeight="1" x14ac:dyDescent="0.25">
      <c r="B176" s="149"/>
      <c r="C176" s="149"/>
      <c r="D176" s="149"/>
      <c r="E176" s="149"/>
      <c r="F176" s="149"/>
      <c r="G176" s="149"/>
      <c r="H176" s="149"/>
      <c r="I176" s="149"/>
      <c r="J176" s="149"/>
      <c r="K176" s="149"/>
      <c r="L176" s="149"/>
      <c r="M176" s="149"/>
      <c r="N176" s="149"/>
      <c r="O176" s="149"/>
      <c r="P176" s="149"/>
      <c r="Q176" s="149"/>
      <c r="R176" s="149"/>
    </row>
    <row r="177" spans="2:18" ht="10.050000000000001" customHeight="1" x14ac:dyDescent="0.25">
      <c r="B177" s="149"/>
      <c r="C177" s="149"/>
      <c r="D177" s="149"/>
      <c r="E177" s="149"/>
      <c r="F177" s="149"/>
      <c r="G177" s="149"/>
      <c r="H177" s="149"/>
      <c r="I177" s="149"/>
      <c r="J177" s="149"/>
      <c r="K177" s="149"/>
      <c r="L177" s="149"/>
      <c r="M177" s="149"/>
      <c r="N177" s="149"/>
      <c r="O177" s="149"/>
      <c r="P177" s="149"/>
      <c r="Q177" s="149"/>
      <c r="R177" s="149"/>
    </row>
    <row r="178" spans="2:18" ht="10.050000000000001" customHeight="1" x14ac:dyDescent="0.25">
      <c r="B178" s="149"/>
      <c r="C178" s="149"/>
      <c r="D178" s="149"/>
      <c r="E178" s="149"/>
      <c r="F178" s="149"/>
      <c r="G178" s="149"/>
      <c r="H178" s="149"/>
      <c r="I178" s="149"/>
      <c r="J178" s="149"/>
      <c r="K178" s="149"/>
      <c r="L178" s="149"/>
      <c r="M178" s="149"/>
      <c r="N178" s="149"/>
      <c r="O178" s="149"/>
      <c r="P178" s="149"/>
      <c r="Q178" s="149"/>
      <c r="R178" s="149"/>
    </row>
    <row r="179" spans="2:18" ht="10.050000000000001" customHeight="1" x14ac:dyDescent="0.25">
      <c r="B179" s="149"/>
      <c r="C179" s="149"/>
      <c r="D179" s="149"/>
      <c r="E179" s="149"/>
      <c r="F179" s="149"/>
      <c r="G179" s="149"/>
      <c r="H179" s="149"/>
      <c r="I179" s="149"/>
      <c r="J179" s="149"/>
      <c r="K179" s="149"/>
      <c r="L179" s="149"/>
      <c r="M179" s="149"/>
      <c r="N179" s="149"/>
      <c r="O179" s="149"/>
      <c r="P179" s="149"/>
      <c r="Q179" s="149"/>
      <c r="R179" s="149"/>
    </row>
    <row r="180" spans="2:18" ht="10.050000000000001" customHeight="1" x14ac:dyDescent="0.25"/>
    <row r="181" spans="2:18" ht="10.050000000000001" customHeight="1" x14ac:dyDescent="0.25"/>
    <row r="182" spans="2:18" ht="10.050000000000001" customHeight="1" x14ac:dyDescent="0.25"/>
    <row r="183" spans="2:18" ht="10.050000000000001" customHeight="1" x14ac:dyDescent="0.25"/>
    <row r="184" spans="2:18" ht="10.050000000000001" customHeight="1" x14ac:dyDescent="0.25"/>
    <row r="185" spans="2:18" ht="10.050000000000001" customHeight="1" x14ac:dyDescent="0.25"/>
    <row r="186" spans="2:18" ht="10.050000000000001" customHeight="1" x14ac:dyDescent="0.25"/>
    <row r="187" spans="2:18" ht="10.050000000000001" customHeight="1" x14ac:dyDescent="0.25"/>
    <row r="188" spans="2:18" ht="10.050000000000001" customHeight="1" x14ac:dyDescent="0.25"/>
    <row r="189" spans="2:18" ht="10.050000000000001" customHeight="1" x14ac:dyDescent="0.25"/>
    <row r="190" spans="2:18" ht="10.050000000000001" customHeight="1" x14ac:dyDescent="0.25"/>
    <row r="191" spans="2:18" ht="10.050000000000001" customHeight="1" x14ac:dyDescent="0.25"/>
    <row r="192" spans="2:18" ht="10.050000000000001" customHeight="1" x14ac:dyDescent="0.25"/>
    <row r="193" ht="10.050000000000001" customHeight="1" x14ac:dyDescent="0.25"/>
    <row r="194" ht="10.050000000000001" customHeight="1" x14ac:dyDescent="0.25"/>
    <row r="195" ht="10.050000000000001" customHeight="1" x14ac:dyDescent="0.25"/>
    <row r="196" ht="10.050000000000001" customHeight="1" x14ac:dyDescent="0.25"/>
    <row r="197" ht="10.050000000000001" customHeight="1" x14ac:dyDescent="0.25"/>
    <row r="198" ht="10.050000000000001" customHeight="1" x14ac:dyDescent="0.25"/>
    <row r="199" ht="10.050000000000001" customHeight="1" x14ac:dyDescent="0.25"/>
    <row r="200" ht="10.050000000000001" customHeight="1" x14ac:dyDescent="0.25"/>
    <row r="201" ht="10.050000000000001" customHeight="1" x14ac:dyDescent="0.25"/>
    <row r="202" ht="10.050000000000001" customHeight="1" x14ac:dyDescent="0.25"/>
    <row r="203" ht="10.050000000000001" customHeight="1" x14ac:dyDescent="0.25"/>
    <row r="204" ht="10.050000000000001" customHeight="1" x14ac:dyDescent="0.25"/>
    <row r="205" ht="10.050000000000001" customHeight="1" x14ac:dyDescent="0.25"/>
    <row r="206" ht="10.050000000000001" customHeight="1" x14ac:dyDescent="0.25"/>
    <row r="207" ht="10.050000000000001" customHeight="1" x14ac:dyDescent="0.25"/>
    <row r="208" ht="10.050000000000001" customHeight="1" x14ac:dyDescent="0.25"/>
    <row r="209" ht="10.050000000000001" customHeight="1" x14ac:dyDescent="0.25"/>
    <row r="210" ht="10.050000000000001" customHeight="1" x14ac:dyDescent="0.25"/>
    <row r="211" ht="10.050000000000001" customHeight="1" x14ac:dyDescent="0.25"/>
    <row r="212" ht="10.050000000000001" customHeight="1" x14ac:dyDescent="0.25"/>
    <row r="213" ht="10.050000000000001" customHeight="1" x14ac:dyDescent="0.25"/>
    <row r="214" ht="10.050000000000001" customHeight="1" x14ac:dyDescent="0.25"/>
    <row r="215" ht="10.050000000000001" customHeight="1" x14ac:dyDescent="0.25"/>
    <row r="216" ht="10.050000000000001" customHeight="1" x14ac:dyDescent="0.25"/>
    <row r="217" ht="10.050000000000001" customHeight="1" x14ac:dyDescent="0.25"/>
    <row r="218" ht="10.050000000000001" customHeight="1" x14ac:dyDescent="0.25"/>
    <row r="219" ht="10.050000000000001" customHeight="1" x14ac:dyDescent="0.25"/>
    <row r="220" ht="10.050000000000001" customHeight="1" x14ac:dyDescent="0.25"/>
    <row r="221" ht="10.050000000000001" customHeight="1" x14ac:dyDescent="0.25"/>
    <row r="222" ht="10.050000000000001" customHeight="1" x14ac:dyDescent="0.25"/>
    <row r="223" ht="10.050000000000001" customHeight="1" x14ac:dyDescent="0.25"/>
    <row r="224" ht="10.050000000000001" customHeight="1" x14ac:dyDescent="0.25"/>
    <row r="225" ht="10.050000000000001" customHeight="1" x14ac:dyDescent="0.25"/>
    <row r="226" ht="10.050000000000001" customHeight="1" x14ac:dyDescent="0.25"/>
    <row r="227" ht="10.050000000000001" customHeight="1" x14ac:dyDescent="0.25"/>
    <row r="228" ht="10.050000000000001" customHeight="1" x14ac:dyDescent="0.25"/>
    <row r="229" ht="10.050000000000001" customHeight="1" x14ac:dyDescent="0.25"/>
    <row r="230" ht="10.050000000000001" customHeight="1" x14ac:dyDescent="0.25"/>
    <row r="231" ht="10.050000000000001" customHeight="1" x14ac:dyDescent="0.25"/>
    <row r="232" ht="10.050000000000001" customHeight="1" x14ac:dyDescent="0.25"/>
    <row r="233" ht="10.050000000000001" customHeight="1" x14ac:dyDescent="0.25"/>
    <row r="234" ht="10.050000000000001" customHeight="1" x14ac:dyDescent="0.25"/>
    <row r="235" ht="10.050000000000001" customHeight="1" x14ac:dyDescent="0.25"/>
    <row r="236" ht="10.050000000000001" customHeight="1" x14ac:dyDescent="0.25"/>
    <row r="237" ht="10.050000000000001" customHeight="1" x14ac:dyDescent="0.25"/>
    <row r="238" ht="10.050000000000001" customHeight="1" x14ac:dyDescent="0.25"/>
    <row r="239" ht="10.050000000000001" customHeight="1" x14ac:dyDescent="0.25"/>
    <row r="240" ht="10.050000000000001" customHeight="1" x14ac:dyDescent="0.25"/>
    <row r="241" ht="10.050000000000001" customHeight="1" x14ac:dyDescent="0.25"/>
    <row r="242" ht="10.050000000000001" customHeight="1" x14ac:dyDescent="0.25"/>
    <row r="243" ht="10.050000000000001" customHeight="1" x14ac:dyDescent="0.25"/>
    <row r="244" ht="10.050000000000001" customHeight="1" x14ac:dyDescent="0.25"/>
    <row r="245" ht="10.050000000000001" customHeight="1" x14ac:dyDescent="0.25"/>
    <row r="246" ht="10.050000000000001" customHeight="1" x14ac:dyDescent="0.25"/>
    <row r="247" ht="10.050000000000001" customHeight="1" x14ac:dyDescent="0.25"/>
    <row r="248" ht="10.050000000000001" customHeight="1" x14ac:dyDescent="0.25"/>
    <row r="249" ht="10.050000000000001" customHeight="1" x14ac:dyDescent="0.25"/>
    <row r="250" ht="10.050000000000001" customHeight="1" x14ac:dyDescent="0.25"/>
    <row r="251" ht="10.050000000000001" customHeight="1" x14ac:dyDescent="0.25"/>
    <row r="252" ht="10.050000000000001" customHeight="1" x14ac:dyDescent="0.25"/>
    <row r="253" ht="10.050000000000001" customHeight="1" x14ac:dyDescent="0.25"/>
    <row r="254" ht="10.050000000000001" customHeight="1" x14ac:dyDescent="0.25"/>
    <row r="255" ht="10.050000000000001" customHeight="1" x14ac:dyDescent="0.25"/>
    <row r="256" ht="10.050000000000001" customHeight="1" x14ac:dyDescent="0.25"/>
    <row r="257" ht="10.050000000000001" customHeight="1" x14ac:dyDescent="0.25"/>
    <row r="258" ht="10.050000000000001" customHeight="1" x14ac:dyDescent="0.25"/>
    <row r="259" ht="10.050000000000001" customHeight="1" x14ac:dyDescent="0.25"/>
    <row r="260" ht="10.050000000000001" customHeight="1" x14ac:dyDescent="0.25"/>
    <row r="261" ht="10.050000000000001" customHeight="1" x14ac:dyDescent="0.25"/>
    <row r="262" ht="10.050000000000001" customHeight="1" x14ac:dyDescent="0.25"/>
    <row r="263" ht="10.050000000000001" customHeight="1" x14ac:dyDescent="0.25"/>
    <row r="264" ht="10.050000000000001" customHeight="1" x14ac:dyDescent="0.25"/>
    <row r="265" ht="10.050000000000001" customHeight="1" x14ac:dyDescent="0.25"/>
    <row r="266" ht="10.050000000000001" customHeight="1" x14ac:dyDescent="0.25"/>
    <row r="267" ht="10.050000000000001" customHeight="1" x14ac:dyDescent="0.25"/>
    <row r="268" ht="10.050000000000001" customHeight="1" x14ac:dyDescent="0.25"/>
    <row r="269" ht="10.050000000000001" customHeight="1" x14ac:dyDescent="0.25"/>
    <row r="270" ht="10.050000000000001" customHeight="1" x14ac:dyDescent="0.25"/>
    <row r="271" ht="10.050000000000001" customHeight="1" x14ac:dyDescent="0.25"/>
    <row r="272" ht="10.050000000000001" customHeight="1" x14ac:dyDescent="0.25"/>
    <row r="273" ht="10.050000000000001" customHeight="1" x14ac:dyDescent="0.25"/>
    <row r="274" ht="10.050000000000001" customHeight="1" x14ac:dyDescent="0.25"/>
    <row r="275" ht="10.050000000000001" customHeight="1" x14ac:dyDescent="0.25"/>
    <row r="276" ht="10.050000000000001" customHeight="1" x14ac:dyDescent="0.25"/>
    <row r="277" ht="10.050000000000001" customHeight="1" x14ac:dyDescent="0.25"/>
    <row r="278" ht="10.050000000000001" customHeight="1" x14ac:dyDescent="0.25"/>
    <row r="279" ht="10.050000000000001" customHeight="1" x14ac:dyDescent="0.25"/>
    <row r="280" ht="10.050000000000001" customHeight="1" x14ac:dyDescent="0.25"/>
    <row r="281" ht="10.050000000000001" customHeight="1" x14ac:dyDescent="0.25"/>
    <row r="282" ht="10.050000000000001" customHeight="1" x14ac:dyDescent="0.25"/>
    <row r="283" ht="10.050000000000001" customHeight="1" x14ac:dyDescent="0.25"/>
    <row r="284" ht="10.050000000000001" customHeight="1" x14ac:dyDescent="0.25"/>
    <row r="285" ht="10.050000000000001" customHeight="1" x14ac:dyDescent="0.25"/>
    <row r="286" ht="10.050000000000001" customHeight="1" x14ac:dyDescent="0.25"/>
    <row r="287" ht="10.050000000000001" customHeight="1" x14ac:dyDescent="0.25"/>
    <row r="288" ht="10.050000000000001" customHeight="1" x14ac:dyDescent="0.25"/>
    <row r="289" ht="10.050000000000001" customHeight="1" x14ac:dyDescent="0.25"/>
    <row r="290" ht="10.050000000000001" customHeight="1" x14ac:dyDescent="0.25"/>
    <row r="291" ht="10.050000000000001" customHeight="1" x14ac:dyDescent="0.25"/>
    <row r="292" ht="10.050000000000001" customHeight="1" x14ac:dyDescent="0.25"/>
    <row r="293" ht="10.050000000000001" customHeight="1" x14ac:dyDescent="0.25"/>
    <row r="294" ht="10.050000000000001" customHeight="1" x14ac:dyDescent="0.25"/>
    <row r="295" ht="10.050000000000001" customHeight="1" x14ac:dyDescent="0.25"/>
    <row r="296" ht="10.050000000000001" customHeight="1" x14ac:dyDescent="0.25"/>
    <row r="297" ht="10.050000000000001" customHeight="1" x14ac:dyDescent="0.25"/>
    <row r="298" ht="10.050000000000001" customHeight="1" x14ac:dyDescent="0.25"/>
    <row r="299" ht="10.050000000000001" customHeight="1" x14ac:dyDescent="0.25"/>
    <row r="300" ht="10.050000000000001" customHeight="1" x14ac:dyDescent="0.25"/>
    <row r="301" ht="10.050000000000001" customHeight="1" x14ac:dyDescent="0.25"/>
    <row r="302" ht="10.050000000000001" customHeight="1" x14ac:dyDescent="0.25"/>
    <row r="303" ht="10.050000000000001" customHeight="1" x14ac:dyDescent="0.25"/>
    <row r="304" ht="10.050000000000001" customHeight="1" x14ac:dyDescent="0.25"/>
    <row r="305" ht="10.050000000000001" customHeight="1" x14ac:dyDescent="0.25"/>
    <row r="306" ht="10.050000000000001" customHeight="1" x14ac:dyDescent="0.25"/>
    <row r="307" ht="10.050000000000001" customHeight="1" x14ac:dyDescent="0.25"/>
    <row r="308" ht="10.050000000000001" customHeight="1" x14ac:dyDescent="0.25"/>
    <row r="309" ht="10.050000000000001" customHeight="1" x14ac:dyDescent="0.25"/>
    <row r="310" ht="10.050000000000001" customHeight="1" x14ac:dyDescent="0.25"/>
    <row r="311" ht="10.050000000000001" customHeight="1" x14ac:dyDescent="0.25"/>
    <row r="312" ht="10.050000000000001" customHeight="1" x14ac:dyDescent="0.25"/>
    <row r="313" ht="10.050000000000001" customHeight="1" x14ac:dyDescent="0.25"/>
    <row r="314" ht="10.050000000000001" customHeight="1" x14ac:dyDescent="0.25"/>
    <row r="315" ht="10.050000000000001" customHeight="1" x14ac:dyDescent="0.25"/>
    <row r="316" ht="10.050000000000001" customHeight="1" x14ac:dyDescent="0.25"/>
    <row r="317" ht="10.050000000000001" customHeight="1" x14ac:dyDescent="0.25"/>
    <row r="318" ht="10.050000000000001" customHeight="1" x14ac:dyDescent="0.25"/>
    <row r="319" ht="10.050000000000001" customHeight="1" x14ac:dyDescent="0.25"/>
    <row r="320" ht="10.050000000000001" customHeight="1" x14ac:dyDescent="0.25"/>
    <row r="321" ht="10.050000000000001" customHeight="1" x14ac:dyDescent="0.25"/>
    <row r="322" ht="10.050000000000001" customHeight="1" x14ac:dyDescent="0.25"/>
    <row r="323" ht="10.050000000000001" customHeight="1" x14ac:dyDescent="0.25"/>
    <row r="324" ht="10.050000000000001" customHeight="1" x14ac:dyDescent="0.25"/>
    <row r="325" ht="10.050000000000001" customHeight="1" x14ac:dyDescent="0.25"/>
    <row r="326" ht="10.050000000000001" customHeight="1" x14ac:dyDescent="0.25"/>
    <row r="327" ht="10.050000000000001" customHeight="1" x14ac:dyDescent="0.25"/>
    <row r="328" ht="10.050000000000001" customHeight="1" x14ac:dyDescent="0.25"/>
    <row r="329" ht="10.050000000000001" customHeight="1" x14ac:dyDescent="0.25"/>
    <row r="330" ht="10.050000000000001" customHeight="1" x14ac:dyDescent="0.25"/>
    <row r="331" ht="10.050000000000001" customHeight="1" x14ac:dyDescent="0.25"/>
    <row r="332" ht="10.050000000000001" customHeight="1" x14ac:dyDescent="0.25"/>
    <row r="333" ht="10.050000000000001" customHeight="1" x14ac:dyDescent="0.25"/>
    <row r="334" ht="10.050000000000001" customHeight="1" x14ac:dyDescent="0.25"/>
    <row r="335" ht="10.050000000000001" customHeight="1" x14ac:dyDescent="0.25"/>
    <row r="336" ht="10.050000000000001" customHeight="1" x14ac:dyDescent="0.25"/>
    <row r="337" ht="10.050000000000001" customHeight="1" x14ac:dyDescent="0.25"/>
    <row r="338" ht="10.050000000000001" customHeight="1" x14ac:dyDescent="0.25"/>
    <row r="339" ht="10.050000000000001" customHeight="1" x14ac:dyDescent="0.25"/>
    <row r="340" ht="10.050000000000001" customHeight="1" x14ac:dyDescent="0.25"/>
    <row r="341" ht="10.050000000000001" customHeight="1" x14ac:dyDescent="0.25"/>
    <row r="342" ht="10.050000000000001" customHeight="1" x14ac:dyDescent="0.25"/>
    <row r="343" ht="10.050000000000001" customHeight="1" x14ac:dyDescent="0.25"/>
    <row r="344" ht="10.050000000000001" customHeight="1" x14ac:dyDescent="0.25"/>
    <row r="345" ht="10.050000000000001" customHeight="1" x14ac:dyDescent="0.25"/>
    <row r="346" ht="10.050000000000001" customHeight="1" x14ac:dyDescent="0.25"/>
    <row r="347" ht="10.050000000000001" customHeight="1" x14ac:dyDescent="0.25"/>
    <row r="348" ht="10.050000000000001" customHeight="1" x14ac:dyDescent="0.25"/>
    <row r="349" ht="10.050000000000001" customHeight="1" x14ac:dyDescent="0.25"/>
    <row r="350" ht="10.050000000000001" customHeight="1" x14ac:dyDescent="0.25"/>
    <row r="351" ht="10.050000000000001" customHeight="1" x14ac:dyDescent="0.25"/>
    <row r="352" ht="10.050000000000001" customHeight="1" x14ac:dyDescent="0.25"/>
    <row r="353" ht="10.050000000000001" customHeight="1" x14ac:dyDescent="0.25"/>
    <row r="354" ht="10.050000000000001" customHeight="1" x14ac:dyDescent="0.25"/>
    <row r="355" ht="10.050000000000001" customHeight="1" x14ac:dyDescent="0.25"/>
    <row r="356" ht="10.050000000000001" customHeight="1" x14ac:dyDescent="0.25"/>
    <row r="357" ht="10.050000000000001" customHeight="1" x14ac:dyDescent="0.25"/>
    <row r="358" ht="10.050000000000001" customHeight="1" x14ac:dyDescent="0.25"/>
    <row r="359" ht="10.050000000000001" customHeight="1" x14ac:dyDescent="0.25"/>
    <row r="360" ht="10.050000000000001" customHeight="1" x14ac:dyDescent="0.25"/>
    <row r="361" ht="10.050000000000001" customHeight="1" x14ac:dyDescent="0.25"/>
    <row r="362" ht="10.050000000000001" customHeight="1" x14ac:dyDescent="0.25"/>
    <row r="363" ht="10.050000000000001" customHeight="1" x14ac:dyDescent="0.25"/>
    <row r="364" ht="10.050000000000001" customHeight="1" x14ac:dyDescent="0.25"/>
    <row r="365" ht="10.050000000000001" customHeight="1" x14ac:dyDescent="0.25"/>
    <row r="366" ht="10.050000000000001" customHeight="1" x14ac:dyDescent="0.25"/>
    <row r="367" ht="10.050000000000001" customHeight="1" x14ac:dyDescent="0.25"/>
    <row r="368" ht="10.050000000000001" customHeight="1" x14ac:dyDescent="0.25"/>
    <row r="369" ht="10.050000000000001" customHeight="1" x14ac:dyDescent="0.25"/>
    <row r="370" ht="10.050000000000001" customHeight="1" x14ac:dyDescent="0.25"/>
    <row r="371" ht="10.050000000000001" customHeight="1" x14ac:dyDescent="0.25"/>
    <row r="372" ht="10.050000000000001" customHeight="1" x14ac:dyDescent="0.25"/>
    <row r="373" ht="10.050000000000001" customHeight="1" x14ac:dyDescent="0.25"/>
    <row r="374" ht="10.050000000000001" customHeight="1" x14ac:dyDescent="0.25"/>
    <row r="375" ht="10.050000000000001" customHeight="1" x14ac:dyDescent="0.25"/>
    <row r="376" ht="10.050000000000001" customHeight="1" x14ac:dyDescent="0.25"/>
    <row r="377" ht="10.050000000000001" customHeight="1" x14ac:dyDescent="0.25"/>
    <row r="378" ht="10.050000000000001" customHeight="1" x14ac:dyDescent="0.25"/>
    <row r="379" ht="10.050000000000001" customHeight="1" x14ac:dyDescent="0.25"/>
    <row r="380" ht="10.050000000000001" customHeight="1" x14ac:dyDescent="0.25"/>
    <row r="381" ht="10.050000000000001" customHeight="1" x14ac:dyDescent="0.25"/>
    <row r="382" ht="10.050000000000001" customHeight="1" x14ac:dyDescent="0.25"/>
    <row r="383" ht="10.050000000000001" customHeight="1" x14ac:dyDescent="0.25"/>
    <row r="384" ht="10.050000000000001" customHeight="1" x14ac:dyDescent="0.25"/>
    <row r="385" ht="10.050000000000001" customHeight="1" x14ac:dyDescent="0.25"/>
    <row r="386" ht="10.050000000000001" customHeight="1" x14ac:dyDescent="0.25"/>
    <row r="387" ht="10.050000000000001" customHeight="1" x14ac:dyDescent="0.25"/>
    <row r="388" ht="10.050000000000001" customHeight="1" x14ac:dyDescent="0.25"/>
    <row r="389" ht="10.050000000000001" customHeight="1" x14ac:dyDescent="0.25"/>
    <row r="390" ht="10.050000000000001" customHeight="1" x14ac:dyDescent="0.25"/>
    <row r="391" ht="10.050000000000001" customHeight="1" x14ac:dyDescent="0.25"/>
    <row r="392" ht="10.050000000000001" customHeight="1" x14ac:dyDescent="0.25"/>
    <row r="393" ht="10.050000000000001" customHeight="1" x14ac:dyDescent="0.25"/>
    <row r="394" ht="10.050000000000001" customHeight="1" x14ac:dyDescent="0.25"/>
    <row r="395" ht="10.050000000000001" customHeight="1" x14ac:dyDescent="0.25"/>
    <row r="396" ht="10.050000000000001" customHeight="1" x14ac:dyDescent="0.25"/>
    <row r="397" ht="10.050000000000001" customHeight="1" x14ac:dyDescent="0.25"/>
    <row r="398" ht="10.050000000000001" customHeight="1" x14ac:dyDescent="0.25"/>
    <row r="399" ht="10.050000000000001" customHeight="1" x14ac:dyDescent="0.25"/>
    <row r="400" ht="10.050000000000001" customHeight="1" x14ac:dyDescent="0.25"/>
    <row r="401" ht="10.050000000000001" customHeight="1" x14ac:dyDescent="0.25"/>
    <row r="402" ht="10.050000000000001" customHeight="1" x14ac:dyDescent="0.25"/>
    <row r="403" ht="10.050000000000001" customHeight="1" x14ac:dyDescent="0.25"/>
    <row r="404" ht="10.050000000000001" customHeight="1" x14ac:dyDescent="0.25"/>
    <row r="405" ht="10.050000000000001" customHeight="1" x14ac:dyDescent="0.25"/>
    <row r="406" ht="10.050000000000001" customHeight="1" x14ac:dyDescent="0.25"/>
    <row r="407" ht="10.050000000000001" customHeight="1" x14ac:dyDescent="0.25"/>
    <row r="408" ht="10.050000000000001" customHeight="1" x14ac:dyDescent="0.25"/>
    <row r="409" ht="10.050000000000001" customHeight="1" x14ac:dyDescent="0.25"/>
    <row r="410" ht="10.050000000000001" customHeight="1" x14ac:dyDescent="0.25"/>
    <row r="411" ht="10.050000000000001" customHeight="1" x14ac:dyDescent="0.25"/>
    <row r="412" ht="10.050000000000001" customHeight="1" x14ac:dyDescent="0.25"/>
    <row r="413" ht="10.050000000000001" customHeight="1" x14ac:dyDescent="0.25"/>
    <row r="414" ht="10.050000000000001" customHeight="1" x14ac:dyDescent="0.25"/>
    <row r="415" ht="10.050000000000001" customHeight="1" x14ac:dyDescent="0.25"/>
    <row r="416" ht="10.050000000000001" customHeight="1" x14ac:dyDescent="0.25"/>
    <row r="417" ht="10.050000000000001" customHeight="1" x14ac:dyDescent="0.25"/>
    <row r="418" ht="10.050000000000001" customHeight="1" x14ac:dyDescent="0.25"/>
    <row r="419" ht="10.050000000000001" customHeight="1" x14ac:dyDescent="0.25"/>
    <row r="420" ht="10.050000000000001" customHeight="1" x14ac:dyDescent="0.25"/>
    <row r="421" ht="10.050000000000001" customHeight="1" x14ac:dyDescent="0.25"/>
    <row r="422" ht="10.050000000000001" customHeight="1" x14ac:dyDescent="0.25"/>
    <row r="423" ht="10.050000000000001" customHeight="1" x14ac:dyDescent="0.25"/>
    <row r="424" ht="10.050000000000001" customHeight="1" x14ac:dyDescent="0.25"/>
    <row r="425" ht="10.050000000000001" customHeight="1" x14ac:dyDescent="0.25"/>
    <row r="426" ht="10.050000000000001" customHeight="1" x14ac:dyDescent="0.25"/>
    <row r="427" ht="10.050000000000001" customHeight="1" x14ac:dyDescent="0.25"/>
    <row r="428" ht="10.050000000000001" customHeight="1" x14ac:dyDescent="0.25"/>
    <row r="429" ht="10.050000000000001" customHeight="1" x14ac:dyDescent="0.25"/>
    <row r="430" ht="10.050000000000001" customHeight="1" x14ac:dyDescent="0.25"/>
    <row r="431" ht="10.050000000000001" customHeight="1" x14ac:dyDescent="0.25"/>
    <row r="432" ht="10.050000000000001" customHeight="1" x14ac:dyDescent="0.25"/>
    <row r="433" ht="10.050000000000001" customHeight="1" x14ac:dyDescent="0.25"/>
    <row r="434" ht="10.050000000000001" customHeight="1" x14ac:dyDescent="0.25"/>
    <row r="435" ht="10.050000000000001" customHeight="1" x14ac:dyDescent="0.25"/>
    <row r="436" ht="10.050000000000001" customHeight="1" x14ac:dyDescent="0.25"/>
    <row r="437" ht="10.050000000000001" customHeight="1" x14ac:dyDescent="0.25"/>
    <row r="438" ht="10.050000000000001" customHeight="1" x14ac:dyDescent="0.25"/>
    <row r="439" ht="10.050000000000001" customHeight="1" x14ac:dyDescent="0.25"/>
    <row r="440" ht="10.050000000000001" customHeight="1" x14ac:dyDescent="0.25"/>
    <row r="441" ht="10.050000000000001" customHeight="1" x14ac:dyDescent="0.25"/>
    <row r="442" ht="10.050000000000001" customHeight="1" x14ac:dyDescent="0.25"/>
    <row r="443" ht="10.050000000000001" customHeight="1" x14ac:dyDescent="0.25"/>
    <row r="444" ht="10.050000000000001" customHeight="1" x14ac:dyDescent="0.25"/>
    <row r="445" ht="10.050000000000001" customHeight="1" x14ac:dyDescent="0.25"/>
    <row r="446" ht="10.050000000000001" customHeight="1" x14ac:dyDescent="0.25"/>
    <row r="447" ht="10.050000000000001" customHeight="1" x14ac:dyDescent="0.25"/>
    <row r="448" ht="10.050000000000001" customHeight="1" x14ac:dyDescent="0.25"/>
    <row r="449" ht="10.050000000000001" customHeight="1" x14ac:dyDescent="0.25"/>
    <row r="450" ht="10.050000000000001" customHeight="1" x14ac:dyDescent="0.25"/>
    <row r="451" ht="10.050000000000001" customHeight="1" x14ac:dyDescent="0.25"/>
    <row r="452" ht="10.050000000000001" customHeight="1" x14ac:dyDescent="0.25"/>
    <row r="453" ht="10.050000000000001" customHeight="1" x14ac:dyDescent="0.25"/>
    <row r="454" ht="10.050000000000001" customHeight="1" x14ac:dyDescent="0.25"/>
    <row r="455" ht="10.050000000000001" customHeight="1" x14ac:dyDescent="0.25"/>
    <row r="456" ht="10.050000000000001" customHeight="1" x14ac:dyDescent="0.25"/>
    <row r="457" ht="10.050000000000001" customHeight="1" x14ac:dyDescent="0.25"/>
    <row r="458" ht="10.050000000000001" customHeight="1" x14ac:dyDescent="0.25"/>
    <row r="459" ht="10.050000000000001" customHeight="1" x14ac:dyDescent="0.25"/>
    <row r="460" ht="10.050000000000001" customHeight="1" x14ac:dyDescent="0.25"/>
    <row r="461" ht="10.050000000000001" customHeight="1" x14ac:dyDescent="0.25"/>
    <row r="462" ht="10.050000000000001" customHeight="1" x14ac:dyDescent="0.25"/>
    <row r="463" ht="10.050000000000001" customHeight="1" x14ac:dyDescent="0.25"/>
    <row r="464" ht="10.050000000000001" customHeight="1" x14ac:dyDescent="0.25"/>
    <row r="465" ht="10.050000000000001" customHeight="1" x14ac:dyDescent="0.25"/>
    <row r="466" ht="10.050000000000001" customHeight="1" x14ac:dyDescent="0.25"/>
    <row r="467" ht="10.050000000000001" customHeight="1" x14ac:dyDescent="0.25"/>
    <row r="468" ht="10.050000000000001" customHeight="1" x14ac:dyDescent="0.25"/>
    <row r="469" ht="10.050000000000001" customHeight="1" x14ac:dyDescent="0.25"/>
    <row r="470" ht="10.050000000000001" customHeight="1" x14ac:dyDescent="0.25"/>
    <row r="471" ht="10.050000000000001" customHeight="1" x14ac:dyDescent="0.25"/>
    <row r="472" ht="10.050000000000001" customHeight="1" x14ac:dyDescent="0.25"/>
    <row r="473" ht="10.050000000000001" customHeight="1" x14ac:dyDescent="0.25"/>
    <row r="474" ht="10.050000000000001" customHeight="1" x14ac:dyDescent="0.25"/>
    <row r="475" ht="10.050000000000001" customHeight="1" x14ac:dyDescent="0.25"/>
    <row r="476" ht="10.050000000000001" customHeight="1" x14ac:dyDescent="0.25"/>
    <row r="477" ht="10.050000000000001" customHeight="1" x14ac:dyDescent="0.25"/>
    <row r="478" ht="10.050000000000001" customHeight="1" x14ac:dyDescent="0.25"/>
    <row r="479" ht="10.050000000000001" customHeight="1" x14ac:dyDescent="0.25"/>
    <row r="480" ht="10.050000000000001" customHeight="1" x14ac:dyDescent="0.25"/>
    <row r="481" ht="10.050000000000001" customHeight="1" x14ac:dyDescent="0.25"/>
    <row r="482" ht="10.050000000000001" customHeight="1" x14ac:dyDescent="0.25"/>
    <row r="483" ht="10.050000000000001" customHeight="1" x14ac:dyDescent="0.25"/>
    <row r="484" ht="10.050000000000001" customHeight="1" x14ac:dyDescent="0.25"/>
    <row r="485" ht="10.050000000000001" customHeight="1" x14ac:dyDescent="0.25"/>
    <row r="486" ht="10.050000000000001" customHeight="1" x14ac:dyDescent="0.25"/>
    <row r="487" ht="10.050000000000001" customHeight="1" x14ac:dyDescent="0.25"/>
    <row r="488" ht="10.050000000000001" customHeight="1" x14ac:dyDescent="0.25"/>
    <row r="489" ht="10.050000000000001" customHeight="1" x14ac:dyDescent="0.25"/>
    <row r="490" ht="10.050000000000001" customHeight="1" x14ac:dyDescent="0.25"/>
    <row r="491" ht="10.050000000000001" customHeight="1" x14ac:dyDescent="0.25"/>
    <row r="492" ht="10.050000000000001" customHeight="1" x14ac:dyDescent="0.25"/>
    <row r="493" ht="10.050000000000001" customHeight="1" x14ac:dyDescent="0.25"/>
    <row r="494" ht="10.050000000000001" customHeight="1" x14ac:dyDescent="0.25"/>
    <row r="495" ht="10.050000000000001" customHeight="1" x14ac:dyDescent="0.25"/>
    <row r="496" ht="10.050000000000001" customHeight="1" x14ac:dyDescent="0.25"/>
    <row r="497" ht="10.050000000000001" customHeight="1" x14ac:dyDescent="0.25"/>
    <row r="498" ht="10.050000000000001" customHeight="1" x14ac:dyDescent="0.25"/>
    <row r="499" ht="10.050000000000001" customHeight="1" x14ac:dyDescent="0.25"/>
    <row r="500" ht="10.050000000000001" customHeight="1" x14ac:dyDescent="0.25"/>
    <row r="501" ht="10.050000000000001" customHeight="1" x14ac:dyDescent="0.25"/>
    <row r="502" ht="10.050000000000001" customHeight="1" x14ac:dyDescent="0.25"/>
    <row r="503" ht="10.050000000000001" customHeight="1" x14ac:dyDescent="0.25"/>
    <row r="504" ht="10.050000000000001" customHeight="1" x14ac:dyDescent="0.25"/>
    <row r="505" ht="10.050000000000001" customHeight="1" x14ac:dyDescent="0.25"/>
    <row r="506" ht="10.050000000000001" customHeight="1" x14ac:dyDescent="0.25"/>
    <row r="507" ht="10.050000000000001" customHeight="1" x14ac:dyDescent="0.25"/>
    <row r="508" ht="10.050000000000001" customHeight="1" x14ac:dyDescent="0.25"/>
    <row r="509" ht="10.050000000000001" customHeight="1" x14ac:dyDescent="0.25"/>
    <row r="510" ht="10.050000000000001" customHeight="1" x14ac:dyDescent="0.25"/>
    <row r="511" ht="10.050000000000001" customHeight="1" x14ac:dyDescent="0.25"/>
    <row r="512" ht="10.050000000000001" customHeight="1" x14ac:dyDescent="0.25"/>
    <row r="513" ht="10.050000000000001" customHeight="1" x14ac:dyDescent="0.25"/>
    <row r="514" ht="10.050000000000001" customHeight="1" x14ac:dyDescent="0.25"/>
    <row r="515" ht="10.050000000000001" customHeight="1" x14ac:dyDescent="0.25"/>
    <row r="516" ht="10.050000000000001" customHeight="1" x14ac:dyDescent="0.25"/>
    <row r="517" ht="10.050000000000001" customHeight="1" x14ac:dyDescent="0.25"/>
    <row r="518" ht="10.050000000000001" customHeight="1" x14ac:dyDescent="0.25"/>
    <row r="519" ht="10.050000000000001" customHeight="1" x14ac:dyDescent="0.25"/>
    <row r="520" ht="10.050000000000001" customHeight="1" x14ac:dyDescent="0.25"/>
    <row r="521" ht="10.050000000000001" customHeight="1" x14ac:dyDescent="0.25"/>
    <row r="522" ht="10.050000000000001" customHeight="1" x14ac:dyDescent="0.25"/>
    <row r="523" ht="10.050000000000001" customHeight="1" x14ac:dyDescent="0.25"/>
    <row r="524" ht="10.050000000000001" customHeight="1" x14ac:dyDescent="0.25"/>
    <row r="525" ht="10.050000000000001" customHeight="1" x14ac:dyDescent="0.25"/>
    <row r="526" ht="10.050000000000001" customHeight="1" x14ac:dyDescent="0.25"/>
    <row r="527" ht="10.050000000000001" customHeight="1" x14ac:dyDescent="0.25"/>
    <row r="528" ht="10.050000000000001" customHeight="1" x14ac:dyDescent="0.25"/>
    <row r="529" ht="10.050000000000001" customHeight="1" x14ac:dyDescent="0.25"/>
    <row r="530" ht="10.050000000000001" customHeight="1" x14ac:dyDescent="0.25"/>
    <row r="531" ht="10.050000000000001" customHeight="1" x14ac:dyDescent="0.25"/>
    <row r="532" ht="10.050000000000001" customHeight="1" x14ac:dyDescent="0.25"/>
    <row r="533" ht="10.050000000000001" customHeight="1" x14ac:dyDescent="0.25"/>
    <row r="534" ht="10.050000000000001" customHeight="1" x14ac:dyDescent="0.25"/>
    <row r="535" ht="10.050000000000001" customHeight="1" x14ac:dyDescent="0.25"/>
    <row r="536" ht="10.050000000000001" customHeight="1" x14ac:dyDescent="0.25"/>
    <row r="537" ht="10.050000000000001" customHeight="1" x14ac:dyDescent="0.25"/>
    <row r="538" ht="10.050000000000001" customHeight="1" x14ac:dyDescent="0.25"/>
    <row r="539" ht="10.050000000000001" customHeight="1" x14ac:dyDescent="0.25"/>
    <row r="540" ht="10.050000000000001" customHeight="1" x14ac:dyDescent="0.25"/>
    <row r="541" ht="10.050000000000001" customHeight="1" x14ac:dyDescent="0.25"/>
    <row r="542" ht="10.050000000000001" customHeight="1" x14ac:dyDescent="0.25"/>
    <row r="543" ht="10.050000000000001" customHeight="1" x14ac:dyDescent="0.25"/>
    <row r="544" ht="10.050000000000001" customHeight="1" x14ac:dyDescent="0.25"/>
    <row r="545" ht="10.050000000000001" customHeight="1" x14ac:dyDescent="0.25"/>
    <row r="546" ht="10.050000000000001" customHeight="1" x14ac:dyDescent="0.25"/>
    <row r="547" ht="10.050000000000001" customHeight="1" x14ac:dyDescent="0.25"/>
    <row r="548" ht="10.050000000000001" customHeight="1" x14ac:dyDescent="0.25"/>
    <row r="549" ht="10.050000000000001" customHeight="1" x14ac:dyDescent="0.25"/>
    <row r="550" ht="10.050000000000001" customHeight="1" x14ac:dyDescent="0.25"/>
    <row r="551" ht="10.050000000000001" customHeight="1" x14ac:dyDescent="0.25"/>
    <row r="552" ht="10.050000000000001" customHeight="1" x14ac:dyDescent="0.25"/>
    <row r="553" ht="10.050000000000001" customHeight="1" x14ac:dyDescent="0.25"/>
    <row r="554" ht="10.050000000000001" customHeight="1" x14ac:dyDescent="0.25"/>
    <row r="555" ht="10.050000000000001" customHeight="1" x14ac:dyDescent="0.25"/>
    <row r="556" ht="10.050000000000001" customHeight="1" x14ac:dyDescent="0.25"/>
    <row r="557" ht="10.050000000000001" customHeight="1" x14ac:dyDescent="0.25"/>
    <row r="558" ht="10.050000000000001" customHeight="1" x14ac:dyDescent="0.25"/>
    <row r="559" ht="10.050000000000001" customHeight="1" x14ac:dyDescent="0.25"/>
    <row r="560" ht="10.050000000000001" customHeight="1" x14ac:dyDescent="0.25"/>
    <row r="561" ht="10.050000000000001" customHeight="1" x14ac:dyDescent="0.25"/>
    <row r="562" ht="10.050000000000001" customHeight="1" x14ac:dyDescent="0.25"/>
    <row r="563" ht="10.050000000000001" customHeight="1" x14ac:dyDescent="0.25"/>
    <row r="564" ht="10.050000000000001" customHeight="1" x14ac:dyDescent="0.25"/>
    <row r="565" ht="10.050000000000001" customHeight="1" x14ac:dyDescent="0.25"/>
    <row r="566" ht="10.050000000000001" customHeight="1" x14ac:dyDescent="0.25"/>
    <row r="567" ht="10.050000000000001" customHeight="1" x14ac:dyDescent="0.25"/>
    <row r="568" ht="10.050000000000001" customHeight="1" x14ac:dyDescent="0.25"/>
    <row r="569" ht="10.050000000000001" customHeight="1" x14ac:dyDescent="0.25"/>
    <row r="570" ht="10.050000000000001" customHeight="1" x14ac:dyDescent="0.25"/>
    <row r="571" ht="10.050000000000001" customHeight="1" x14ac:dyDescent="0.25"/>
    <row r="572" ht="10.050000000000001" customHeight="1" x14ac:dyDescent="0.25"/>
    <row r="573" ht="10.050000000000001" customHeight="1" x14ac:dyDescent="0.25"/>
    <row r="574" ht="10.050000000000001" customHeight="1" x14ac:dyDescent="0.25"/>
    <row r="575" ht="10.050000000000001" customHeight="1" x14ac:dyDescent="0.25"/>
    <row r="576" ht="10.050000000000001" customHeight="1" x14ac:dyDescent="0.25"/>
    <row r="577" ht="10.050000000000001" customHeight="1" x14ac:dyDescent="0.25"/>
    <row r="578" ht="10.050000000000001" customHeight="1" x14ac:dyDescent="0.25"/>
    <row r="579" ht="10.050000000000001" customHeight="1" x14ac:dyDescent="0.25"/>
    <row r="580" ht="10.050000000000001" customHeight="1" x14ac:dyDescent="0.25"/>
    <row r="581" ht="10.050000000000001" customHeight="1" x14ac:dyDescent="0.25"/>
    <row r="582" ht="10.050000000000001" customHeight="1" x14ac:dyDescent="0.25"/>
    <row r="583" ht="10.050000000000001" customHeight="1" x14ac:dyDescent="0.25"/>
    <row r="584" ht="10.050000000000001" customHeight="1" x14ac:dyDescent="0.25"/>
    <row r="585" ht="10.050000000000001" customHeight="1" x14ac:dyDescent="0.25"/>
    <row r="586" ht="10.050000000000001" customHeight="1" x14ac:dyDescent="0.25"/>
    <row r="587" ht="10.050000000000001" customHeight="1" x14ac:dyDescent="0.25"/>
    <row r="588" ht="10.050000000000001" customHeight="1" x14ac:dyDescent="0.25"/>
    <row r="589" ht="10.050000000000001" customHeight="1" x14ac:dyDescent="0.25"/>
    <row r="590" ht="10.050000000000001" customHeight="1" x14ac:dyDescent="0.25"/>
    <row r="591" ht="10.050000000000001" customHeight="1" x14ac:dyDescent="0.25"/>
    <row r="592" ht="10.050000000000001" customHeight="1" x14ac:dyDescent="0.25"/>
    <row r="593" ht="10.050000000000001" customHeight="1" x14ac:dyDescent="0.25"/>
    <row r="594" ht="10.050000000000001" customHeight="1" x14ac:dyDescent="0.25"/>
    <row r="595" ht="10.050000000000001" customHeight="1" x14ac:dyDescent="0.25"/>
    <row r="596" ht="10.050000000000001" customHeight="1" x14ac:dyDescent="0.25"/>
    <row r="597" ht="10.050000000000001" customHeight="1" x14ac:dyDescent="0.25"/>
    <row r="598" ht="10.050000000000001" customHeight="1" x14ac:dyDescent="0.25"/>
    <row r="599" ht="10.050000000000001" customHeight="1" x14ac:dyDescent="0.25"/>
    <row r="600" ht="10.050000000000001" customHeight="1" x14ac:dyDescent="0.25"/>
    <row r="601" ht="10.050000000000001" customHeight="1" x14ac:dyDescent="0.25"/>
    <row r="602" ht="10.050000000000001" customHeight="1" x14ac:dyDescent="0.25"/>
    <row r="603" ht="10.050000000000001" customHeight="1" x14ac:dyDescent="0.25"/>
    <row r="604" ht="10.050000000000001" customHeight="1" x14ac:dyDescent="0.25"/>
    <row r="605" ht="10.050000000000001" customHeight="1" x14ac:dyDescent="0.25"/>
    <row r="606" ht="10.050000000000001" customHeight="1" x14ac:dyDescent="0.25"/>
    <row r="607" ht="10.050000000000001" customHeight="1" x14ac:dyDescent="0.25"/>
    <row r="608" ht="10.050000000000001" customHeight="1" x14ac:dyDescent="0.25"/>
    <row r="609" ht="10.050000000000001" customHeight="1" x14ac:dyDescent="0.25"/>
    <row r="610" ht="10.050000000000001" customHeight="1" x14ac:dyDescent="0.25"/>
    <row r="611" ht="10.050000000000001" customHeight="1" x14ac:dyDescent="0.25"/>
    <row r="612" ht="10.050000000000001" customHeight="1" x14ac:dyDescent="0.25"/>
    <row r="613" ht="10.050000000000001" customHeight="1" x14ac:dyDescent="0.25"/>
    <row r="614" ht="10.050000000000001" customHeight="1" x14ac:dyDescent="0.25"/>
    <row r="615" ht="10.050000000000001" customHeight="1" x14ac:dyDescent="0.25"/>
    <row r="616" ht="10.050000000000001" customHeight="1" x14ac:dyDescent="0.25"/>
    <row r="617" ht="10.050000000000001" customHeight="1" x14ac:dyDescent="0.25"/>
    <row r="618" ht="10.050000000000001" customHeight="1" x14ac:dyDescent="0.25"/>
    <row r="619" ht="10.050000000000001" customHeight="1" x14ac:dyDescent="0.25"/>
    <row r="620" ht="10.050000000000001" customHeight="1" x14ac:dyDescent="0.25"/>
    <row r="621" ht="10.050000000000001" customHeight="1" x14ac:dyDescent="0.25"/>
    <row r="622" ht="10.050000000000001" customHeight="1" x14ac:dyDescent="0.25"/>
    <row r="623" ht="10.050000000000001" customHeight="1" x14ac:dyDescent="0.25"/>
    <row r="624" ht="10.050000000000001" customHeight="1" x14ac:dyDescent="0.25"/>
    <row r="625" ht="10.050000000000001" customHeight="1" x14ac:dyDescent="0.25"/>
    <row r="626" ht="10.050000000000001" customHeight="1" x14ac:dyDescent="0.25"/>
    <row r="627" ht="10.050000000000001" customHeight="1" x14ac:dyDescent="0.25"/>
    <row r="628" ht="10.050000000000001" customHeight="1" x14ac:dyDescent="0.25"/>
    <row r="629" ht="10.050000000000001" customHeight="1" x14ac:dyDescent="0.25"/>
    <row r="630" ht="10.050000000000001" customHeight="1" x14ac:dyDescent="0.25"/>
    <row r="631" ht="10.050000000000001" customHeight="1" x14ac:dyDescent="0.25"/>
    <row r="632" ht="10.050000000000001" customHeight="1" x14ac:dyDescent="0.25"/>
    <row r="633" ht="10.050000000000001" customHeight="1" x14ac:dyDescent="0.25"/>
    <row r="634" ht="10.050000000000001" customHeight="1" x14ac:dyDescent="0.25"/>
    <row r="635" ht="10.050000000000001" customHeight="1" x14ac:dyDescent="0.25"/>
    <row r="636" ht="10.050000000000001" customHeight="1" x14ac:dyDescent="0.25"/>
    <row r="637" ht="10.050000000000001" customHeight="1" x14ac:dyDescent="0.25"/>
    <row r="638" ht="10.050000000000001" customHeight="1" x14ac:dyDescent="0.25"/>
    <row r="639" ht="10.050000000000001" customHeight="1" x14ac:dyDescent="0.25"/>
    <row r="640" ht="10.050000000000001" customHeight="1" x14ac:dyDescent="0.25"/>
    <row r="641" ht="10.050000000000001" customHeight="1" x14ac:dyDescent="0.25"/>
    <row r="642" ht="10.050000000000001" customHeight="1" x14ac:dyDescent="0.25"/>
    <row r="643" ht="10.050000000000001" customHeight="1" x14ac:dyDescent="0.25"/>
    <row r="644" ht="10.050000000000001" customHeight="1" x14ac:dyDescent="0.25"/>
    <row r="645" ht="10.050000000000001" customHeight="1" x14ac:dyDescent="0.25"/>
    <row r="646" ht="10.050000000000001" customHeight="1" x14ac:dyDescent="0.25"/>
    <row r="647" ht="10.050000000000001" customHeight="1" x14ac:dyDescent="0.25"/>
    <row r="648" ht="10.050000000000001" customHeight="1" x14ac:dyDescent="0.25"/>
    <row r="649" ht="10.050000000000001" customHeight="1" x14ac:dyDescent="0.25"/>
    <row r="650" ht="10.050000000000001" customHeight="1" x14ac:dyDescent="0.25"/>
    <row r="651" ht="10.050000000000001" customHeight="1" x14ac:dyDescent="0.25"/>
    <row r="652" ht="10.050000000000001" customHeight="1" x14ac:dyDescent="0.25"/>
    <row r="653" ht="10.050000000000001" customHeight="1" x14ac:dyDescent="0.25"/>
    <row r="654" ht="10.050000000000001" customHeight="1" x14ac:dyDescent="0.25"/>
    <row r="655" ht="10.050000000000001" customHeight="1" x14ac:dyDescent="0.25"/>
    <row r="656" ht="10.050000000000001" customHeight="1" x14ac:dyDescent="0.25"/>
    <row r="657" ht="10.050000000000001" customHeight="1" x14ac:dyDescent="0.25"/>
    <row r="658" ht="10.050000000000001" customHeight="1" x14ac:dyDescent="0.25"/>
    <row r="659" ht="10.050000000000001" customHeight="1" x14ac:dyDescent="0.25"/>
    <row r="660" ht="10.050000000000001" customHeight="1" x14ac:dyDescent="0.25"/>
    <row r="661" ht="10.050000000000001" customHeight="1" x14ac:dyDescent="0.25"/>
    <row r="662" ht="10.050000000000001" customHeight="1" x14ac:dyDescent="0.25"/>
    <row r="663" ht="10.050000000000001" customHeight="1" x14ac:dyDescent="0.25"/>
    <row r="664" ht="10.050000000000001" customHeight="1" x14ac:dyDescent="0.25"/>
    <row r="665" ht="10.050000000000001" customHeight="1" x14ac:dyDescent="0.25"/>
    <row r="666" ht="10.050000000000001" customHeight="1" x14ac:dyDescent="0.25"/>
    <row r="667" ht="10.050000000000001" customHeight="1" x14ac:dyDescent="0.25"/>
    <row r="668" ht="10.050000000000001" customHeight="1" x14ac:dyDescent="0.25"/>
    <row r="669" ht="10.050000000000001" customHeight="1" x14ac:dyDescent="0.25"/>
    <row r="670" ht="10.050000000000001" customHeight="1" x14ac:dyDescent="0.25"/>
    <row r="671" ht="10.050000000000001" customHeight="1" x14ac:dyDescent="0.25"/>
    <row r="672" ht="10.050000000000001" customHeight="1" x14ac:dyDescent="0.25"/>
    <row r="673" ht="10.050000000000001" customHeight="1" x14ac:dyDescent="0.25"/>
    <row r="674" ht="10.050000000000001" customHeight="1" x14ac:dyDescent="0.25"/>
    <row r="675" ht="10.050000000000001" customHeight="1" x14ac:dyDescent="0.25"/>
    <row r="676" ht="10.050000000000001" customHeight="1" x14ac:dyDescent="0.25"/>
    <row r="677" ht="10.050000000000001" customHeight="1" x14ac:dyDescent="0.25"/>
    <row r="678" ht="10.050000000000001" customHeight="1" x14ac:dyDescent="0.25"/>
    <row r="679" ht="10.050000000000001" customHeight="1" x14ac:dyDescent="0.25"/>
    <row r="680" ht="10.050000000000001" customHeight="1" x14ac:dyDescent="0.25"/>
    <row r="681" ht="10.050000000000001" customHeight="1" x14ac:dyDescent="0.25"/>
    <row r="682" ht="10.050000000000001" customHeight="1" x14ac:dyDescent="0.25"/>
    <row r="683" ht="10.050000000000001" customHeight="1" x14ac:dyDescent="0.25"/>
    <row r="684" ht="10.050000000000001" customHeight="1" x14ac:dyDescent="0.25"/>
    <row r="685" ht="10.050000000000001" customHeight="1" x14ac:dyDescent="0.25"/>
    <row r="686" ht="10.050000000000001" customHeight="1" x14ac:dyDescent="0.25"/>
    <row r="687" ht="10.050000000000001" customHeight="1" x14ac:dyDescent="0.25"/>
    <row r="688" ht="10.050000000000001" customHeight="1" x14ac:dyDescent="0.25"/>
    <row r="689" ht="10.050000000000001" customHeight="1" x14ac:dyDescent="0.25"/>
    <row r="690" ht="10.050000000000001" customHeight="1" x14ac:dyDescent="0.25"/>
    <row r="691" ht="10.050000000000001" customHeight="1" x14ac:dyDescent="0.25"/>
    <row r="692" ht="10.050000000000001" customHeight="1" x14ac:dyDescent="0.25"/>
    <row r="693" ht="10.050000000000001" customHeight="1" x14ac:dyDescent="0.25"/>
    <row r="694" ht="10.050000000000001" customHeight="1" x14ac:dyDescent="0.25"/>
    <row r="695" ht="10.050000000000001" customHeight="1" x14ac:dyDescent="0.25"/>
    <row r="696" ht="10.050000000000001" customHeight="1" x14ac:dyDescent="0.25"/>
    <row r="697" ht="10.050000000000001" customHeight="1" x14ac:dyDescent="0.25"/>
    <row r="698" ht="10.050000000000001" customHeight="1" x14ac:dyDescent="0.25"/>
    <row r="699" ht="10.050000000000001" customHeight="1" x14ac:dyDescent="0.25"/>
    <row r="700" ht="10.050000000000001" customHeight="1" x14ac:dyDescent="0.25"/>
    <row r="701" ht="10.050000000000001" customHeight="1" x14ac:dyDescent="0.25"/>
    <row r="702" ht="10.050000000000001" customHeight="1" x14ac:dyDescent="0.25"/>
    <row r="703" ht="10.050000000000001" customHeight="1" x14ac:dyDescent="0.25"/>
    <row r="704" ht="10.050000000000001" customHeight="1" x14ac:dyDescent="0.25"/>
    <row r="705" ht="10.050000000000001" customHeight="1" x14ac:dyDescent="0.25"/>
    <row r="706" ht="10.050000000000001" customHeight="1" x14ac:dyDescent="0.25"/>
    <row r="707" ht="10.050000000000001" customHeight="1" x14ac:dyDescent="0.25"/>
    <row r="708" ht="10.050000000000001" customHeight="1" x14ac:dyDescent="0.25"/>
    <row r="709" ht="10.050000000000001" customHeight="1" x14ac:dyDescent="0.25"/>
    <row r="710" ht="10.050000000000001" customHeight="1" x14ac:dyDescent="0.25"/>
    <row r="711" ht="10.050000000000001" customHeight="1" x14ac:dyDescent="0.25"/>
    <row r="712" ht="10.050000000000001" customHeight="1" x14ac:dyDescent="0.25"/>
    <row r="713" ht="10.050000000000001" customHeight="1" x14ac:dyDescent="0.25"/>
    <row r="714" ht="10.050000000000001" customHeight="1" x14ac:dyDescent="0.25"/>
    <row r="715" ht="10.050000000000001" customHeight="1" x14ac:dyDescent="0.25"/>
    <row r="716" ht="10.050000000000001" customHeight="1" x14ac:dyDescent="0.25"/>
    <row r="717" ht="10.050000000000001" customHeight="1" x14ac:dyDescent="0.25"/>
    <row r="718" ht="10.050000000000001" customHeight="1" x14ac:dyDescent="0.25"/>
    <row r="719" ht="10.050000000000001" customHeight="1" x14ac:dyDescent="0.25"/>
    <row r="720" ht="10.050000000000001" customHeight="1" x14ac:dyDescent="0.25"/>
    <row r="721" ht="10.050000000000001" customHeight="1" x14ac:dyDescent="0.25"/>
    <row r="722" ht="10.050000000000001" customHeight="1" x14ac:dyDescent="0.25"/>
    <row r="723" ht="10.050000000000001" customHeight="1" x14ac:dyDescent="0.25"/>
    <row r="724" ht="10.050000000000001" customHeight="1" x14ac:dyDescent="0.25"/>
    <row r="725" ht="10.050000000000001" customHeight="1" x14ac:dyDescent="0.25"/>
    <row r="726" ht="10.050000000000001" customHeight="1" x14ac:dyDescent="0.25"/>
    <row r="727" ht="10.050000000000001" customHeight="1" x14ac:dyDescent="0.25"/>
    <row r="728" ht="10.050000000000001" customHeight="1" x14ac:dyDescent="0.25"/>
    <row r="729" ht="10.050000000000001" customHeight="1" x14ac:dyDescent="0.25"/>
    <row r="730" ht="10.050000000000001" customHeight="1" x14ac:dyDescent="0.25"/>
    <row r="731" ht="10.050000000000001" customHeight="1" x14ac:dyDescent="0.25"/>
    <row r="732" ht="10.050000000000001" customHeight="1" x14ac:dyDescent="0.25"/>
    <row r="733" ht="10.050000000000001" customHeight="1" x14ac:dyDescent="0.25"/>
    <row r="734" ht="10.050000000000001" customHeight="1" x14ac:dyDescent="0.25"/>
    <row r="735" ht="10.050000000000001" customHeight="1" x14ac:dyDescent="0.25"/>
    <row r="736" ht="10.050000000000001" customHeight="1" x14ac:dyDescent="0.25"/>
    <row r="737" ht="10.050000000000001" customHeight="1" x14ac:dyDescent="0.25"/>
    <row r="738" ht="10.050000000000001" customHeight="1" x14ac:dyDescent="0.25"/>
    <row r="739" ht="10.050000000000001" customHeight="1" x14ac:dyDescent="0.25"/>
    <row r="740" ht="10.050000000000001" customHeight="1" x14ac:dyDescent="0.25"/>
    <row r="741" ht="10.050000000000001" customHeight="1" x14ac:dyDescent="0.25"/>
    <row r="742" ht="10.050000000000001" customHeight="1" x14ac:dyDescent="0.25"/>
    <row r="743" ht="10.050000000000001" customHeight="1" x14ac:dyDescent="0.25"/>
    <row r="744" ht="10.050000000000001" customHeight="1" x14ac:dyDescent="0.25"/>
    <row r="745" ht="10.050000000000001" customHeight="1" x14ac:dyDescent="0.25"/>
    <row r="746" ht="10.050000000000001" customHeight="1" x14ac:dyDescent="0.25"/>
    <row r="747" ht="10.050000000000001" customHeight="1" x14ac:dyDescent="0.25"/>
    <row r="748" ht="10.050000000000001" customHeight="1" x14ac:dyDescent="0.25"/>
    <row r="749" ht="10.050000000000001" customHeight="1" x14ac:dyDescent="0.25"/>
    <row r="750" ht="10.050000000000001" customHeight="1" x14ac:dyDescent="0.25"/>
    <row r="751" ht="10.050000000000001" customHeight="1" x14ac:dyDescent="0.25"/>
    <row r="752" ht="10.050000000000001" customHeight="1" x14ac:dyDescent="0.25"/>
    <row r="753" ht="10.050000000000001" customHeight="1" x14ac:dyDescent="0.25"/>
    <row r="754" ht="10.050000000000001" customHeight="1" x14ac:dyDescent="0.25"/>
    <row r="755" ht="10.050000000000001" customHeight="1" x14ac:dyDescent="0.25"/>
    <row r="756" ht="10.050000000000001" customHeight="1" x14ac:dyDescent="0.25"/>
    <row r="757" ht="10.050000000000001" customHeight="1" x14ac:dyDescent="0.25"/>
    <row r="758" ht="10.050000000000001" customHeight="1" x14ac:dyDescent="0.25"/>
    <row r="759" ht="10.050000000000001" customHeight="1" x14ac:dyDescent="0.25"/>
    <row r="760" ht="10.050000000000001" customHeight="1" x14ac:dyDescent="0.25"/>
    <row r="761" ht="10.050000000000001" customHeight="1" x14ac:dyDescent="0.25"/>
    <row r="762" ht="10.050000000000001" customHeight="1" x14ac:dyDescent="0.25"/>
    <row r="763" ht="10.050000000000001" customHeight="1" x14ac:dyDescent="0.25"/>
    <row r="764" ht="10.050000000000001" customHeight="1" x14ac:dyDescent="0.25"/>
    <row r="765" ht="10.050000000000001" customHeight="1" x14ac:dyDescent="0.25"/>
    <row r="766" ht="10.050000000000001" customHeight="1" x14ac:dyDescent="0.25"/>
    <row r="767" ht="10.050000000000001" customHeight="1" x14ac:dyDescent="0.25"/>
    <row r="768" ht="10.050000000000001" customHeight="1" x14ac:dyDescent="0.25"/>
    <row r="769" ht="10.050000000000001" customHeight="1" x14ac:dyDescent="0.25"/>
    <row r="770" ht="10.050000000000001" customHeight="1" x14ac:dyDescent="0.25"/>
    <row r="771" ht="10.050000000000001" customHeight="1" x14ac:dyDescent="0.25"/>
    <row r="772" ht="10.050000000000001" customHeight="1" x14ac:dyDescent="0.25"/>
    <row r="773" ht="10.050000000000001" customHeight="1" x14ac:dyDescent="0.25"/>
    <row r="774" ht="10.050000000000001" customHeight="1" x14ac:dyDescent="0.25"/>
    <row r="775" ht="10.050000000000001" customHeight="1" x14ac:dyDescent="0.25"/>
    <row r="776" ht="10.050000000000001" customHeight="1" x14ac:dyDescent="0.25"/>
    <row r="777" ht="10.050000000000001" customHeight="1" x14ac:dyDescent="0.25"/>
    <row r="778" ht="10.050000000000001" customHeight="1" x14ac:dyDescent="0.25"/>
    <row r="779" ht="10.050000000000001" customHeight="1" x14ac:dyDescent="0.25"/>
    <row r="780" ht="10.050000000000001" customHeight="1" x14ac:dyDescent="0.25"/>
    <row r="781" ht="10.050000000000001" customHeight="1" x14ac:dyDescent="0.25"/>
    <row r="782" ht="10.050000000000001" customHeight="1" x14ac:dyDescent="0.25"/>
    <row r="783" ht="10.050000000000001" customHeight="1" x14ac:dyDescent="0.25"/>
    <row r="784" ht="10.050000000000001" customHeight="1" x14ac:dyDescent="0.25"/>
    <row r="785" ht="10.050000000000001" customHeight="1" x14ac:dyDescent="0.25"/>
    <row r="786" ht="10.050000000000001" customHeight="1" x14ac:dyDescent="0.25"/>
    <row r="787" ht="10.050000000000001" customHeight="1" x14ac:dyDescent="0.25"/>
    <row r="788" ht="10.050000000000001" customHeight="1" x14ac:dyDescent="0.25"/>
    <row r="789" ht="10.050000000000001" customHeight="1" x14ac:dyDescent="0.25"/>
    <row r="790" ht="10.050000000000001" customHeight="1" x14ac:dyDescent="0.25"/>
    <row r="791" ht="10.050000000000001" customHeight="1" x14ac:dyDescent="0.25"/>
    <row r="792" ht="10.050000000000001" customHeight="1" x14ac:dyDescent="0.25"/>
    <row r="793" ht="10.050000000000001" customHeight="1" x14ac:dyDescent="0.25"/>
    <row r="794" ht="10.050000000000001" customHeight="1" x14ac:dyDescent="0.25"/>
    <row r="795" ht="10.050000000000001" customHeight="1" x14ac:dyDescent="0.25"/>
    <row r="796" ht="10.050000000000001" customHeight="1" x14ac:dyDescent="0.25"/>
    <row r="797" ht="10.050000000000001" customHeight="1" x14ac:dyDescent="0.25"/>
    <row r="798" ht="10.050000000000001" customHeight="1" x14ac:dyDescent="0.25"/>
    <row r="799" ht="10.050000000000001" customHeight="1" x14ac:dyDescent="0.25"/>
    <row r="800" ht="10.050000000000001" customHeight="1" x14ac:dyDescent="0.25"/>
    <row r="801" ht="10.050000000000001" customHeight="1" x14ac:dyDescent="0.25"/>
    <row r="802" ht="10.050000000000001" customHeight="1" x14ac:dyDescent="0.25"/>
    <row r="803" ht="10.050000000000001" customHeight="1" x14ac:dyDescent="0.25"/>
    <row r="804" ht="10.050000000000001" customHeight="1" x14ac:dyDescent="0.25"/>
    <row r="805" ht="10.050000000000001" customHeight="1" x14ac:dyDescent="0.25"/>
    <row r="806" ht="10.050000000000001" customHeight="1" x14ac:dyDescent="0.25"/>
    <row r="807" ht="10.050000000000001" customHeight="1" x14ac:dyDescent="0.25"/>
    <row r="808" ht="10.050000000000001" customHeight="1" x14ac:dyDescent="0.25"/>
    <row r="809" ht="10.050000000000001" customHeight="1" x14ac:dyDescent="0.25"/>
    <row r="810" ht="10.050000000000001" customHeight="1" x14ac:dyDescent="0.25"/>
    <row r="811" ht="10.050000000000001" customHeight="1" x14ac:dyDescent="0.25"/>
    <row r="812" ht="10.050000000000001" customHeight="1" x14ac:dyDescent="0.25"/>
    <row r="813" ht="10.050000000000001" customHeight="1" x14ac:dyDescent="0.25"/>
    <row r="814" ht="10.050000000000001" customHeight="1" x14ac:dyDescent="0.25"/>
    <row r="815" ht="10.050000000000001" customHeight="1" x14ac:dyDescent="0.25"/>
    <row r="816" ht="10.050000000000001" customHeight="1" x14ac:dyDescent="0.25"/>
    <row r="817" ht="10.050000000000001" customHeight="1" x14ac:dyDescent="0.25"/>
    <row r="818" ht="10.050000000000001" customHeight="1" x14ac:dyDescent="0.25"/>
    <row r="819" ht="10.050000000000001" customHeight="1" x14ac:dyDescent="0.25"/>
    <row r="820" ht="10.050000000000001" customHeight="1" x14ac:dyDescent="0.25"/>
    <row r="821" ht="10.050000000000001" customHeight="1" x14ac:dyDescent="0.25"/>
    <row r="822" ht="10.050000000000001" customHeight="1" x14ac:dyDescent="0.25"/>
    <row r="823" ht="10.050000000000001" customHeight="1" x14ac:dyDescent="0.25"/>
    <row r="824" ht="10.050000000000001" customHeight="1" x14ac:dyDescent="0.25"/>
    <row r="825" ht="10.050000000000001" customHeight="1" x14ac:dyDescent="0.25"/>
    <row r="826" ht="10.050000000000001" customHeight="1" x14ac:dyDescent="0.25"/>
    <row r="827" ht="10.050000000000001" customHeight="1" x14ac:dyDescent="0.25"/>
    <row r="828" ht="10.050000000000001" customHeight="1" x14ac:dyDescent="0.25"/>
    <row r="829" ht="10.050000000000001" customHeight="1" x14ac:dyDescent="0.25"/>
    <row r="830" ht="10.050000000000001" customHeight="1" x14ac:dyDescent="0.25"/>
    <row r="831" ht="10.050000000000001" customHeight="1" x14ac:dyDescent="0.25"/>
    <row r="832" ht="10.050000000000001" customHeight="1" x14ac:dyDescent="0.25"/>
    <row r="833" ht="10.050000000000001" customHeight="1" x14ac:dyDescent="0.25"/>
    <row r="834" ht="10.050000000000001" customHeight="1" x14ac:dyDescent="0.25"/>
    <row r="835" ht="10.050000000000001" customHeight="1" x14ac:dyDescent="0.25"/>
    <row r="836" ht="10.050000000000001" customHeight="1" x14ac:dyDescent="0.25"/>
    <row r="837" ht="10.050000000000001" customHeight="1" x14ac:dyDescent="0.25"/>
    <row r="838" ht="10.050000000000001" customHeight="1" x14ac:dyDescent="0.25"/>
    <row r="839" ht="10.050000000000001" customHeight="1" x14ac:dyDescent="0.25"/>
    <row r="840" ht="10.050000000000001" customHeight="1" x14ac:dyDescent="0.25"/>
    <row r="841" ht="10.050000000000001" customHeight="1" x14ac:dyDescent="0.25"/>
    <row r="842" ht="10.050000000000001" customHeight="1" x14ac:dyDescent="0.25"/>
    <row r="843" ht="10.050000000000001" customHeight="1" x14ac:dyDescent="0.25"/>
    <row r="844" ht="10.050000000000001" customHeight="1" x14ac:dyDescent="0.25"/>
    <row r="845" ht="10.050000000000001" customHeight="1" x14ac:dyDescent="0.25"/>
    <row r="846" ht="10.050000000000001" customHeight="1" x14ac:dyDescent="0.25"/>
    <row r="847" ht="10.050000000000001" customHeight="1" x14ac:dyDescent="0.25"/>
    <row r="848" ht="10.050000000000001" customHeight="1" x14ac:dyDescent="0.25"/>
    <row r="849" ht="10.050000000000001" customHeight="1" x14ac:dyDescent="0.25"/>
    <row r="850" ht="10.050000000000001" customHeight="1" x14ac:dyDescent="0.25"/>
    <row r="851" ht="10.050000000000001" customHeight="1" x14ac:dyDescent="0.25"/>
    <row r="852" ht="10.050000000000001" customHeight="1" x14ac:dyDescent="0.25"/>
    <row r="853" ht="10.050000000000001" customHeight="1" x14ac:dyDescent="0.25"/>
    <row r="854" ht="10.050000000000001" customHeight="1" x14ac:dyDescent="0.25"/>
    <row r="855" ht="10.050000000000001" customHeight="1" x14ac:dyDescent="0.25"/>
    <row r="856" ht="10.050000000000001" customHeight="1" x14ac:dyDescent="0.25"/>
    <row r="857" ht="10.050000000000001" customHeight="1" x14ac:dyDescent="0.25"/>
    <row r="858" ht="10.050000000000001" customHeight="1" x14ac:dyDescent="0.25"/>
    <row r="859" ht="10.050000000000001" customHeight="1" x14ac:dyDescent="0.25"/>
    <row r="860" ht="10.050000000000001" customHeight="1" x14ac:dyDescent="0.25"/>
    <row r="861" ht="10.050000000000001" customHeight="1" x14ac:dyDescent="0.25"/>
    <row r="862" ht="10.050000000000001" customHeight="1" x14ac:dyDescent="0.25"/>
    <row r="863" ht="10.050000000000001" customHeight="1" x14ac:dyDescent="0.25"/>
    <row r="864" ht="10.050000000000001" customHeight="1" x14ac:dyDescent="0.25"/>
    <row r="865" ht="10.050000000000001" customHeight="1" x14ac:dyDescent="0.25"/>
    <row r="866" ht="10.050000000000001" customHeight="1" x14ac:dyDescent="0.25"/>
    <row r="867" ht="10.050000000000001" customHeight="1" x14ac:dyDescent="0.25"/>
    <row r="868" ht="10.050000000000001" customHeight="1" x14ac:dyDescent="0.25"/>
    <row r="869" ht="10.050000000000001" customHeight="1" x14ac:dyDescent="0.25"/>
    <row r="870" ht="10.050000000000001" customHeight="1" x14ac:dyDescent="0.25"/>
    <row r="871" ht="10.050000000000001" customHeight="1" x14ac:dyDescent="0.25"/>
    <row r="872" ht="10.050000000000001" customHeight="1" x14ac:dyDescent="0.25"/>
    <row r="873" ht="10.050000000000001" customHeight="1" x14ac:dyDescent="0.25"/>
    <row r="874" ht="10.050000000000001" customHeight="1" x14ac:dyDescent="0.25"/>
    <row r="875" ht="10.050000000000001" customHeight="1" x14ac:dyDescent="0.25"/>
    <row r="876" ht="10.050000000000001" customHeight="1" x14ac:dyDescent="0.25"/>
    <row r="877" ht="10.050000000000001" customHeight="1" x14ac:dyDescent="0.25"/>
    <row r="878" ht="10.050000000000001" customHeight="1" x14ac:dyDescent="0.25"/>
    <row r="879" ht="10.050000000000001" customHeight="1" x14ac:dyDescent="0.25"/>
    <row r="880" ht="10.050000000000001" customHeight="1" x14ac:dyDescent="0.25"/>
    <row r="881" ht="10.050000000000001" customHeight="1" x14ac:dyDescent="0.25"/>
    <row r="882" ht="10.050000000000001" customHeight="1" x14ac:dyDescent="0.25"/>
    <row r="883" ht="10.050000000000001" customHeight="1" x14ac:dyDescent="0.25"/>
    <row r="884" ht="10.050000000000001" customHeight="1" x14ac:dyDescent="0.25"/>
    <row r="885" ht="10.050000000000001" customHeight="1" x14ac:dyDescent="0.25"/>
    <row r="886" ht="10.050000000000001" customHeight="1" x14ac:dyDescent="0.25"/>
    <row r="887" ht="10.050000000000001" customHeight="1" x14ac:dyDescent="0.25"/>
    <row r="888" ht="10.050000000000001" customHeight="1" x14ac:dyDescent="0.25"/>
    <row r="889" ht="10.050000000000001" customHeight="1" x14ac:dyDescent="0.25"/>
    <row r="890" ht="10.050000000000001" customHeight="1" x14ac:dyDescent="0.25"/>
    <row r="891" ht="10.050000000000001" customHeight="1" x14ac:dyDescent="0.25"/>
    <row r="892" ht="10.050000000000001" customHeight="1" x14ac:dyDescent="0.25"/>
    <row r="893" ht="10.050000000000001" customHeight="1" x14ac:dyDescent="0.25"/>
    <row r="894" ht="10.050000000000001" customHeight="1" x14ac:dyDescent="0.25"/>
    <row r="895" ht="10.050000000000001" customHeight="1" x14ac:dyDescent="0.25"/>
    <row r="896" ht="10.050000000000001" customHeight="1" x14ac:dyDescent="0.25"/>
    <row r="897" ht="10.050000000000001" customHeight="1" x14ac:dyDescent="0.25"/>
    <row r="898" ht="10.050000000000001" customHeight="1" x14ac:dyDescent="0.25"/>
    <row r="899" ht="10.050000000000001" customHeight="1" x14ac:dyDescent="0.25"/>
    <row r="900" ht="10.050000000000001" customHeight="1" x14ac:dyDescent="0.25"/>
    <row r="901" ht="10.050000000000001" customHeight="1" x14ac:dyDescent="0.25"/>
    <row r="902" ht="10.050000000000001" customHeight="1" x14ac:dyDescent="0.25"/>
    <row r="903" ht="10.050000000000001" customHeight="1" x14ac:dyDescent="0.25"/>
    <row r="904" ht="10.050000000000001" customHeight="1" x14ac:dyDescent="0.25"/>
    <row r="905" ht="10.050000000000001" customHeight="1" x14ac:dyDescent="0.25"/>
    <row r="906" ht="10.050000000000001" customHeight="1" x14ac:dyDescent="0.25"/>
    <row r="907" ht="10.050000000000001" customHeight="1" x14ac:dyDescent="0.25"/>
    <row r="908" ht="10.050000000000001" customHeight="1" x14ac:dyDescent="0.25"/>
    <row r="909" ht="10.050000000000001" customHeight="1" x14ac:dyDescent="0.25"/>
    <row r="910" ht="10.050000000000001" customHeight="1" x14ac:dyDescent="0.25"/>
    <row r="911" ht="10.050000000000001" customHeight="1" x14ac:dyDescent="0.25"/>
    <row r="912" ht="10.050000000000001" customHeight="1" x14ac:dyDescent="0.25"/>
    <row r="913" ht="10.050000000000001" customHeight="1" x14ac:dyDescent="0.25"/>
    <row r="914" ht="10.050000000000001" customHeight="1" x14ac:dyDescent="0.25"/>
    <row r="915" ht="10.050000000000001" customHeight="1" x14ac:dyDescent="0.25"/>
    <row r="916" ht="10.050000000000001" customHeight="1" x14ac:dyDescent="0.25"/>
    <row r="917" ht="10.050000000000001" customHeight="1" x14ac:dyDescent="0.25"/>
    <row r="918" ht="10.050000000000001" customHeight="1" x14ac:dyDescent="0.25"/>
    <row r="919" ht="10.050000000000001" customHeight="1" x14ac:dyDescent="0.25"/>
    <row r="920" ht="10.050000000000001" customHeight="1" x14ac:dyDescent="0.25"/>
    <row r="921" ht="10.050000000000001" customHeight="1" x14ac:dyDescent="0.25"/>
    <row r="922" ht="10.050000000000001" customHeight="1" x14ac:dyDescent="0.25"/>
    <row r="923" ht="10.050000000000001" customHeight="1" x14ac:dyDescent="0.25"/>
    <row r="924" ht="10.050000000000001" customHeight="1" x14ac:dyDescent="0.25"/>
    <row r="925" ht="10.050000000000001" customHeight="1" x14ac:dyDescent="0.25"/>
    <row r="926" ht="10.050000000000001" customHeight="1" x14ac:dyDescent="0.25"/>
    <row r="927" ht="10.050000000000001" customHeight="1" x14ac:dyDescent="0.25"/>
    <row r="928" ht="10.050000000000001" customHeight="1" x14ac:dyDescent="0.25"/>
    <row r="929" ht="10.050000000000001" customHeight="1" x14ac:dyDescent="0.25"/>
    <row r="930" ht="10.050000000000001" customHeight="1" x14ac:dyDescent="0.25"/>
    <row r="931" ht="10.050000000000001" customHeight="1" x14ac:dyDescent="0.25"/>
    <row r="932" ht="10.050000000000001" customHeight="1" x14ac:dyDescent="0.25"/>
    <row r="933" ht="10.050000000000001" customHeight="1" x14ac:dyDescent="0.25"/>
    <row r="934" ht="10.050000000000001" customHeight="1" x14ac:dyDescent="0.25"/>
    <row r="935" ht="10.050000000000001" customHeight="1" x14ac:dyDescent="0.25"/>
    <row r="936" ht="10.050000000000001" customHeight="1" x14ac:dyDescent="0.25"/>
    <row r="937" ht="10.050000000000001" customHeight="1" x14ac:dyDescent="0.25"/>
    <row r="938" ht="10.050000000000001" customHeight="1" x14ac:dyDescent="0.25"/>
    <row r="939" ht="10.050000000000001" customHeight="1" x14ac:dyDescent="0.25"/>
    <row r="940" ht="10.050000000000001" customHeight="1" x14ac:dyDescent="0.25"/>
    <row r="941" ht="10.050000000000001" customHeight="1" x14ac:dyDescent="0.25"/>
    <row r="942" ht="10.050000000000001" customHeight="1" x14ac:dyDescent="0.25"/>
    <row r="943" ht="10.050000000000001" customHeight="1" x14ac:dyDescent="0.25"/>
    <row r="944" ht="10.050000000000001" customHeight="1" x14ac:dyDescent="0.25"/>
    <row r="945" ht="10.050000000000001" customHeight="1" x14ac:dyDescent="0.25"/>
    <row r="946" ht="10.050000000000001" customHeight="1" x14ac:dyDescent="0.25"/>
    <row r="947" ht="10.050000000000001" customHeight="1" x14ac:dyDescent="0.25"/>
    <row r="948" ht="10.050000000000001" customHeight="1" x14ac:dyDescent="0.25"/>
    <row r="949" ht="10.050000000000001" customHeight="1" x14ac:dyDescent="0.25"/>
    <row r="950" ht="10.050000000000001" customHeight="1" x14ac:dyDescent="0.25"/>
    <row r="951" ht="10.050000000000001" customHeight="1" x14ac:dyDescent="0.25"/>
    <row r="952" ht="10.050000000000001" customHeight="1" x14ac:dyDescent="0.25"/>
    <row r="953" ht="10.050000000000001" customHeight="1" x14ac:dyDescent="0.25"/>
    <row r="954" ht="10.050000000000001" customHeight="1" x14ac:dyDescent="0.25"/>
    <row r="955" ht="10.050000000000001" customHeight="1" x14ac:dyDescent="0.25"/>
    <row r="956" ht="10.050000000000001" customHeight="1" x14ac:dyDescent="0.25"/>
    <row r="957" ht="10.050000000000001" customHeight="1" x14ac:dyDescent="0.25"/>
    <row r="958" ht="10.050000000000001" customHeight="1" x14ac:dyDescent="0.25"/>
    <row r="959" ht="10.050000000000001" customHeight="1" x14ac:dyDescent="0.25"/>
    <row r="960" ht="10.050000000000001" customHeight="1" x14ac:dyDescent="0.25"/>
    <row r="961" ht="10.050000000000001" customHeight="1" x14ac:dyDescent="0.25"/>
    <row r="962" ht="10.050000000000001" customHeight="1" x14ac:dyDescent="0.25"/>
    <row r="963" ht="10.050000000000001" customHeight="1" x14ac:dyDescent="0.25"/>
    <row r="964" ht="10.050000000000001" customHeight="1" x14ac:dyDescent="0.25"/>
    <row r="965" ht="10.050000000000001" customHeight="1" x14ac:dyDescent="0.25"/>
    <row r="966" ht="10.050000000000001" customHeight="1" x14ac:dyDescent="0.25"/>
    <row r="967" ht="10.050000000000001" customHeight="1" x14ac:dyDescent="0.25"/>
    <row r="968" ht="10.050000000000001" customHeight="1" x14ac:dyDescent="0.25"/>
    <row r="969" ht="10.050000000000001" customHeight="1" x14ac:dyDescent="0.25"/>
    <row r="970" ht="10.050000000000001" customHeight="1" x14ac:dyDescent="0.25"/>
    <row r="971" ht="10.050000000000001" customHeight="1" x14ac:dyDescent="0.25"/>
    <row r="972" ht="10.050000000000001" customHeight="1" x14ac:dyDescent="0.25"/>
    <row r="973" ht="10.050000000000001" customHeight="1" x14ac:dyDescent="0.25"/>
    <row r="974" ht="10.050000000000001" customHeight="1" x14ac:dyDescent="0.25"/>
    <row r="975" ht="10.050000000000001" customHeight="1" x14ac:dyDescent="0.25"/>
    <row r="976" ht="10.050000000000001" customHeight="1" x14ac:dyDescent="0.25"/>
    <row r="977" ht="10.050000000000001" customHeight="1" x14ac:dyDescent="0.25"/>
    <row r="978" ht="10.050000000000001" customHeight="1" x14ac:dyDescent="0.25"/>
    <row r="979" ht="10.050000000000001" customHeight="1" x14ac:dyDescent="0.25"/>
    <row r="980" ht="10.050000000000001" customHeight="1" x14ac:dyDescent="0.25"/>
    <row r="981" ht="10.050000000000001" customHeight="1" x14ac:dyDescent="0.25"/>
    <row r="982" ht="10.050000000000001" customHeight="1" x14ac:dyDescent="0.25"/>
    <row r="983" ht="10.050000000000001" customHeight="1" x14ac:dyDescent="0.25"/>
    <row r="984" ht="10.050000000000001" customHeight="1" x14ac:dyDescent="0.25"/>
    <row r="985" ht="10.050000000000001" customHeight="1" x14ac:dyDescent="0.25"/>
    <row r="986" ht="10.050000000000001" customHeight="1" x14ac:dyDescent="0.25"/>
    <row r="987" ht="10.050000000000001" customHeight="1" x14ac:dyDescent="0.25"/>
    <row r="988" ht="10.050000000000001" customHeight="1" x14ac:dyDescent="0.25"/>
    <row r="989" ht="10.050000000000001" customHeight="1" x14ac:dyDescent="0.25"/>
    <row r="990" ht="10.050000000000001" customHeight="1" x14ac:dyDescent="0.25"/>
    <row r="991" ht="10.050000000000001" customHeight="1" x14ac:dyDescent="0.25"/>
    <row r="992" ht="10.050000000000001" customHeight="1" x14ac:dyDescent="0.25"/>
    <row r="993" ht="10.050000000000001" customHeight="1" x14ac:dyDescent="0.25"/>
    <row r="994" ht="10.050000000000001" customHeight="1" x14ac:dyDescent="0.25"/>
    <row r="995" ht="10.050000000000001" customHeight="1" x14ac:dyDescent="0.25"/>
    <row r="996" ht="10.050000000000001" customHeight="1" x14ac:dyDescent="0.25"/>
    <row r="997" ht="10.050000000000001" customHeight="1" x14ac:dyDescent="0.25"/>
    <row r="998" ht="10.050000000000001" customHeight="1" x14ac:dyDescent="0.25"/>
    <row r="999" ht="10.050000000000001" customHeight="1" x14ac:dyDescent="0.25"/>
    <row r="1000" ht="10.050000000000001" customHeight="1" x14ac:dyDescent="0.25"/>
    <row r="1001" ht="10.050000000000001" customHeight="1" x14ac:dyDescent="0.25"/>
    <row r="1002" ht="10.050000000000001" customHeight="1" x14ac:dyDescent="0.25"/>
    <row r="1003" ht="10.050000000000001" customHeight="1" x14ac:dyDescent="0.25"/>
    <row r="1004" ht="10.050000000000001" customHeight="1" x14ac:dyDescent="0.25"/>
    <row r="1005" ht="10.050000000000001" customHeight="1" x14ac:dyDescent="0.25"/>
    <row r="1006" ht="10.050000000000001" customHeight="1" x14ac:dyDescent="0.25"/>
    <row r="1007" ht="10.050000000000001" customHeight="1" x14ac:dyDescent="0.25"/>
    <row r="1008" ht="10.050000000000001" customHeight="1" x14ac:dyDescent="0.25"/>
    <row r="1009" ht="10.050000000000001" customHeight="1" x14ac:dyDescent="0.25"/>
    <row r="1010" ht="10.050000000000001" customHeight="1" x14ac:dyDescent="0.25"/>
    <row r="1011" ht="10.050000000000001" customHeight="1" x14ac:dyDescent="0.25"/>
    <row r="1012" ht="10.050000000000001" customHeight="1" x14ac:dyDescent="0.25"/>
    <row r="1013" ht="10.050000000000001" customHeight="1" x14ac:dyDescent="0.25"/>
    <row r="1014" ht="10.050000000000001" customHeight="1" x14ac:dyDescent="0.25"/>
    <row r="1015" ht="10.050000000000001" customHeight="1" x14ac:dyDescent="0.25"/>
    <row r="1016" ht="10.050000000000001" customHeight="1" x14ac:dyDescent="0.25"/>
    <row r="1017" ht="10.050000000000001" customHeight="1" x14ac:dyDescent="0.25"/>
    <row r="1018" ht="10.050000000000001" customHeight="1" x14ac:dyDescent="0.25"/>
    <row r="1019" ht="10.050000000000001" customHeight="1" x14ac:dyDescent="0.25"/>
    <row r="1020" ht="10.050000000000001" customHeight="1" x14ac:dyDescent="0.25"/>
    <row r="1021" ht="10.050000000000001" customHeight="1" x14ac:dyDescent="0.25"/>
    <row r="1022" ht="10.050000000000001" customHeight="1" x14ac:dyDescent="0.25"/>
    <row r="1023" ht="10.050000000000001" customHeight="1" x14ac:dyDescent="0.25"/>
    <row r="1024" ht="10.050000000000001" customHeight="1" x14ac:dyDescent="0.25"/>
    <row r="1025" ht="10.050000000000001" customHeight="1" x14ac:dyDescent="0.25"/>
    <row r="1026" ht="10.050000000000001" customHeight="1" x14ac:dyDescent="0.25"/>
    <row r="1027" ht="10.050000000000001" customHeight="1" x14ac:dyDescent="0.25"/>
    <row r="1028" ht="10.050000000000001" customHeight="1" x14ac:dyDescent="0.25"/>
    <row r="1029" ht="10.050000000000001" customHeight="1" x14ac:dyDescent="0.25"/>
    <row r="1030" ht="10.050000000000001" customHeight="1" x14ac:dyDescent="0.25"/>
    <row r="1031" ht="10.050000000000001" customHeight="1" x14ac:dyDescent="0.25"/>
    <row r="1032" ht="10.050000000000001" customHeight="1" x14ac:dyDescent="0.25"/>
    <row r="1033" ht="10.050000000000001" customHeight="1" x14ac:dyDescent="0.25"/>
    <row r="1034" ht="10.050000000000001" customHeight="1" x14ac:dyDescent="0.25"/>
    <row r="1035" ht="10.050000000000001" customHeight="1" x14ac:dyDescent="0.25"/>
    <row r="1036" ht="10.050000000000001" customHeight="1" x14ac:dyDescent="0.25"/>
    <row r="1037" ht="10.050000000000001" customHeight="1" x14ac:dyDescent="0.25"/>
    <row r="1038" ht="10.050000000000001" customHeight="1" x14ac:dyDescent="0.25"/>
    <row r="1039" ht="10.050000000000001" customHeight="1" x14ac:dyDescent="0.25"/>
    <row r="1040" ht="10.050000000000001" customHeight="1" x14ac:dyDescent="0.25"/>
    <row r="1041" ht="10.050000000000001" customHeight="1" x14ac:dyDescent="0.25"/>
    <row r="1042" ht="10.050000000000001" customHeight="1" x14ac:dyDescent="0.25"/>
    <row r="1043" ht="10.050000000000001" customHeight="1" x14ac:dyDescent="0.25"/>
    <row r="1044" ht="10.050000000000001" customHeight="1" x14ac:dyDescent="0.25"/>
    <row r="1045" ht="10.050000000000001" customHeight="1" x14ac:dyDescent="0.25"/>
    <row r="1046" ht="10.050000000000001" customHeight="1" x14ac:dyDescent="0.25"/>
    <row r="1047" ht="10.050000000000001" customHeight="1" x14ac:dyDescent="0.25"/>
    <row r="1048" ht="10.050000000000001" customHeight="1" x14ac:dyDescent="0.25"/>
    <row r="1049" ht="10.050000000000001" customHeight="1" x14ac:dyDescent="0.25"/>
    <row r="1050" ht="10.050000000000001" customHeight="1" x14ac:dyDescent="0.25"/>
    <row r="1051" ht="10.050000000000001" customHeight="1" x14ac:dyDescent="0.25"/>
    <row r="1052" ht="10.050000000000001" customHeight="1" x14ac:dyDescent="0.25"/>
    <row r="1053" ht="10.050000000000001" customHeight="1" x14ac:dyDescent="0.25"/>
    <row r="1054" ht="10.050000000000001" customHeight="1" x14ac:dyDescent="0.25"/>
    <row r="1055" ht="10.050000000000001" customHeight="1" x14ac:dyDescent="0.25"/>
    <row r="1056" ht="10.050000000000001" customHeight="1" x14ac:dyDescent="0.25"/>
    <row r="1057" ht="10.050000000000001" customHeight="1" x14ac:dyDescent="0.25"/>
    <row r="1058" ht="10.050000000000001" customHeight="1" x14ac:dyDescent="0.25"/>
    <row r="1059" ht="10.050000000000001" customHeight="1" x14ac:dyDescent="0.25"/>
    <row r="1060" ht="10.050000000000001" customHeight="1" x14ac:dyDescent="0.25"/>
    <row r="1061" ht="10.050000000000001" customHeight="1" x14ac:dyDescent="0.25"/>
    <row r="1062" ht="10.050000000000001" customHeight="1" x14ac:dyDescent="0.25"/>
    <row r="1063" ht="10.050000000000001" customHeight="1" x14ac:dyDescent="0.25"/>
    <row r="1064" ht="10.050000000000001" customHeight="1" x14ac:dyDescent="0.25"/>
    <row r="1065" ht="10.050000000000001" customHeight="1" x14ac:dyDescent="0.25"/>
    <row r="1066" ht="10.050000000000001" customHeight="1" x14ac:dyDescent="0.25"/>
    <row r="1067" ht="10.050000000000001" customHeight="1" x14ac:dyDescent="0.25"/>
    <row r="1068" ht="10.050000000000001" customHeight="1" x14ac:dyDescent="0.25"/>
    <row r="1069" ht="10.050000000000001" customHeight="1" x14ac:dyDescent="0.25"/>
    <row r="1070" ht="10.050000000000001" customHeight="1" x14ac:dyDescent="0.25"/>
    <row r="1071" ht="10.050000000000001" customHeight="1" x14ac:dyDescent="0.25"/>
    <row r="1072" ht="10.050000000000001" customHeight="1" x14ac:dyDescent="0.25"/>
    <row r="1073" ht="10.050000000000001" customHeight="1" x14ac:dyDescent="0.25"/>
    <row r="1074" ht="10.050000000000001" customHeight="1" x14ac:dyDescent="0.25"/>
    <row r="1075" ht="10.050000000000001" customHeight="1" x14ac:dyDescent="0.25"/>
    <row r="1076" ht="10.050000000000001" customHeight="1" x14ac:dyDescent="0.25"/>
    <row r="1077" ht="10.050000000000001" customHeight="1" x14ac:dyDescent="0.25"/>
    <row r="1078" ht="10.050000000000001" customHeight="1" x14ac:dyDescent="0.25"/>
    <row r="1079" ht="10.050000000000001" customHeight="1" x14ac:dyDescent="0.25"/>
    <row r="1080" ht="10.050000000000001" customHeight="1" x14ac:dyDescent="0.25"/>
    <row r="1081" ht="10.050000000000001" customHeight="1" x14ac:dyDescent="0.25"/>
    <row r="1082" ht="10.050000000000001" customHeight="1" x14ac:dyDescent="0.25"/>
    <row r="1083" ht="10.050000000000001" customHeight="1" x14ac:dyDescent="0.25"/>
    <row r="1084" ht="10.050000000000001" customHeight="1" x14ac:dyDescent="0.25"/>
    <row r="1085" ht="10.050000000000001" customHeight="1" x14ac:dyDescent="0.25"/>
    <row r="1086" ht="10.050000000000001" customHeight="1" x14ac:dyDescent="0.25"/>
    <row r="1087" ht="10.050000000000001" customHeight="1" x14ac:dyDescent="0.25"/>
    <row r="1088" ht="10.050000000000001" customHeight="1" x14ac:dyDescent="0.25"/>
    <row r="1089" ht="10.050000000000001" customHeight="1" x14ac:dyDescent="0.25"/>
    <row r="1090" ht="10.050000000000001" customHeight="1" x14ac:dyDescent="0.25"/>
    <row r="1091" ht="10.050000000000001" customHeight="1" x14ac:dyDescent="0.25"/>
    <row r="1092" ht="10.050000000000001" customHeight="1" x14ac:dyDescent="0.25"/>
    <row r="1093" ht="10.050000000000001" customHeight="1" x14ac:dyDescent="0.25"/>
    <row r="1094" ht="10.050000000000001" customHeight="1" x14ac:dyDescent="0.25"/>
    <row r="1095" ht="10.050000000000001" customHeight="1" x14ac:dyDescent="0.25"/>
    <row r="1096" ht="10.050000000000001" customHeight="1" x14ac:dyDescent="0.25"/>
    <row r="1097" ht="10.050000000000001" customHeight="1" x14ac:dyDescent="0.25"/>
    <row r="1098" ht="10.050000000000001" customHeight="1" x14ac:dyDescent="0.25"/>
    <row r="1099" ht="10.050000000000001" customHeight="1" x14ac:dyDescent="0.25"/>
    <row r="1100" ht="10.050000000000001" customHeight="1" x14ac:dyDescent="0.25"/>
    <row r="1101" ht="10.050000000000001" customHeight="1" x14ac:dyDescent="0.25"/>
    <row r="1102" ht="10.050000000000001" customHeight="1" x14ac:dyDescent="0.25"/>
    <row r="1103" ht="10.050000000000001" customHeight="1" x14ac:dyDescent="0.25"/>
    <row r="1104" ht="10.050000000000001" customHeight="1" x14ac:dyDescent="0.25"/>
    <row r="1105" ht="10.050000000000001" customHeight="1" x14ac:dyDescent="0.25"/>
    <row r="1106" ht="10.050000000000001" customHeight="1" x14ac:dyDescent="0.25"/>
    <row r="1107" ht="10.050000000000001" customHeight="1" x14ac:dyDescent="0.25"/>
    <row r="1108" ht="10.050000000000001" customHeight="1" x14ac:dyDescent="0.25"/>
    <row r="1109" ht="10.050000000000001" customHeight="1" x14ac:dyDescent="0.25"/>
    <row r="1110" ht="10.050000000000001" customHeight="1" x14ac:dyDescent="0.25"/>
    <row r="1111" ht="10.050000000000001" customHeight="1" x14ac:dyDescent="0.25"/>
    <row r="1112" ht="10.050000000000001" customHeight="1" x14ac:dyDescent="0.25"/>
    <row r="1113" ht="10.050000000000001" customHeight="1" x14ac:dyDescent="0.25"/>
    <row r="1114" ht="10.050000000000001" customHeight="1" x14ac:dyDescent="0.25"/>
    <row r="1115" ht="10.050000000000001" customHeight="1" x14ac:dyDescent="0.25"/>
    <row r="1116" ht="10.050000000000001" customHeight="1" x14ac:dyDescent="0.25"/>
    <row r="1117" ht="10.050000000000001" customHeight="1" x14ac:dyDescent="0.25"/>
    <row r="1118" ht="10.050000000000001" customHeight="1" x14ac:dyDescent="0.25"/>
    <row r="1119" ht="10.050000000000001" customHeight="1" x14ac:dyDescent="0.25"/>
    <row r="1120" ht="10.050000000000001" customHeight="1" x14ac:dyDescent="0.25"/>
    <row r="1121" ht="10.050000000000001" customHeight="1" x14ac:dyDescent="0.25"/>
    <row r="1122" ht="10.050000000000001" customHeight="1" x14ac:dyDescent="0.25"/>
    <row r="1123" ht="10.050000000000001" customHeight="1" x14ac:dyDescent="0.25"/>
    <row r="1124" ht="10.050000000000001" customHeight="1" x14ac:dyDescent="0.25"/>
    <row r="1125" ht="10.050000000000001" customHeight="1" x14ac:dyDescent="0.25"/>
    <row r="1126" ht="10.050000000000001" customHeight="1" x14ac:dyDescent="0.25"/>
    <row r="1127" ht="10.050000000000001" customHeight="1" x14ac:dyDescent="0.25"/>
    <row r="1128" ht="10.050000000000001" customHeight="1" x14ac:dyDescent="0.25"/>
    <row r="1129" ht="10.050000000000001" customHeight="1" x14ac:dyDescent="0.25"/>
    <row r="1130" ht="10.050000000000001" customHeight="1" x14ac:dyDescent="0.25"/>
    <row r="1131" ht="10.050000000000001" customHeight="1" x14ac:dyDescent="0.25"/>
    <row r="1132" ht="10.050000000000001" customHeight="1" x14ac:dyDescent="0.25"/>
    <row r="1133" ht="10.050000000000001" customHeight="1" x14ac:dyDescent="0.25"/>
    <row r="1134" ht="10.050000000000001" customHeight="1" x14ac:dyDescent="0.25"/>
    <row r="1135" ht="10.050000000000001" customHeight="1" x14ac:dyDescent="0.25"/>
    <row r="1136" ht="10.050000000000001" customHeight="1" x14ac:dyDescent="0.25"/>
    <row r="1137" ht="10.050000000000001" customHeight="1" x14ac:dyDescent="0.25"/>
    <row r="1138" ht="10.050000000000001" customHeight="1" x14ac:dyDescent="0.25"/>
    <row r="1139" ht="10.050000000000001" customHeight="1" x14ac:dyDescent="0.25"/>
    <row r="1140" ht="10.050000000000001" customHeight="1" x14ac:dyDescent="0.25"/>
    <row r="1141" ht="10.050000000000001" customHeight="1" x14ac:dyDescent="0.25"/>
    <row r="1142" ht="10.050000000000001" customHeight="1" x14ac:dyDescent="0.25"/>
    <row r="1143" ht="10.050000000000001" customHeight="1" x14ac:dyDescent="0.25"/>
    <row r="1144" ht="10.050000000000001" customHeight="1" x14ac:dyDescent="0.25"/>
    <row r="1145" ht="10.050000000000001" customHeight="1" x14ac:dyDescent="0.25"/>
    <row r="1146" ht="10.050000000000001" customHeight="1" x14ac:dyDescent="0.25"/>
    <row r="1147" ht="10.050000000000001" customHeight="1" x14ac:dyDescent="0.25"/>
    <row r="1148" ht="10.050000000000001" customHeight="1" x14ac:dyDescent="0.25"/>
    <row r="1149" ht="10.050000000000001" customHeight="1" x14ac:dyDescent="0.25"/>
    <row r="1150" ht="10.050000000000001" customHeight="1" x14ac:dyDescent="0.25"/>
    <row r="1151" ht="10.050000000000001" customHeight="1" x14ac:dyDescent="0.25"/>
    <row r="1152" ht="10.050000000000001" customHeight="1" x14ac:dyDescent="0.25"/>
    <row r="1153" ht="10.050000000000001" customHeight="1" x14ac:dyDescent="0.25"/>
    <row r="1154" ht="10.050000000000001" customHeight="1" x14ac:dyDescent="0.25"/>
    <row r="1155" ht="10.050000000000001" customHeight="1" x14ac:dyDescent="0.25"/>
    <row r="1156" ht="10.050000000000001" customHeight="1" x14ac:dyDescent="0.25"/>
    <row r="1157" ht="10.050000000000001" customHeight="1" x14ac:dyDescent="0.25"/>
    <row r="1158" ht="10.050000000000001" customHeight="1" x14ac:dyDescent="0.25"/>
    <row r="1159" ht="10.050000000000001" customHeight="1" x14ac:dyDescent="0.25"/>
    <row r="1160" ht="10.050000000000001" customHeight="1" x14ac:dyDescent="0.25"/>
    <row r="1161" ht="10.050000000000001" customHeight="1" x14ac:dyDescent="0.25"/>
    <row r="1162" ht="10.050000000000001" customHeight="1" x14ac:dyDescent="0.25"/>
    <row r="1163" ht="10.050000000000001" customHeight="1" x14ac:dyDescent="0.25"/>
    <row r="1164" ht="10.050000000000001" customHeight="1" x14ac:dyDescent="0.25"/>
    <row r="1165" ht="10.050000000000001" customHeight="1" x14ac:dyDescent="0.25"/>
    <row r="1166" ht="10.050000000000001" customHeight="1" x14ac:dyDescent="0.25"/>
    <row r="1167" ht="10.050000000000001" customHeight="1" x14ac:dyDescent="0.25"/>
    <row r="1168" ht="10.050000000000001" customHeight="1" x14ac:dyDescent="0.25"/>
    <row r="1169" ht="10.050000000000001" customHeight="1" x14ac:dyDescent="0.25"/>
    <row r="1170" ht="10.050000000000001" customHeight="1" x14ac:dyDescent="0.25"/>
    <row r="1171" ht="10.050000000000001" customHeight="1" x14ac:dyDescent="0.25"/>
    <row r="1172" ht="10.050000000000001" customHeight="1" x14ac:dyDescent="0.25"/>
    <row r="1173" ht="10.050000000000001" customHeight="1" x14ac:dyDescent="0.25"/>
    <row r="1174" ht="10.050000000000001" customHeight="1" x14ac:dyDescent="0.25"/>
    <row r="1175" ht="10.050000000000001" customHeight="1" x14ac:dyDescent="0.25"/>
    <row r="1176" ht="10.050000000000001" customHeight="1" x14ac:dyDescent="0.25"/>
    <row r="1177" ht="10.050000000000001" customHeight="1" x14ac:dyDescent="0.25"/>
    <row r="1178" ht="10.050000000000001" customHeight="1" x14ac:dyDescent="0.25"/>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oddFooter>&amp;C&amp;D&amp;T</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heetViews>
  <sheetFormatPr baseColWidth="10" defaultRowHeight="14.4" x14ac:dyDescent="0.3"/>
  <cols>
    <col min="2" max="2" width="12.109375" bestFit="1" customWidth="1"/>
    <col min="3" max="4" width="11.6640625" bestFit="1" customWidth="1"/>
  </cols>
  <sheetData>
    <row r="1" spans="1:4" ht="15.6" x14ac:dyDescent="0.3">
      <c r="A1" s="19" t="s">
        <v>391</v>
      </c>
      <c r="B1" s="1"/>
      <c r="C1" s="1"/>
      <c r="D1" s="1"/>
    </row>
    <row r="2" spans="1:4" ht="15.6" x14ac:dyDescent="0.3">
      <c r="A2" s="1" t="s">
        <v>301</v>
      </c>
      <c r="B2" s="1"/>
      <c r="C2" s="1"/>
      <c r="D2" s="1"/>
    </row>
    <row r="3" spans="1:4" ht="15.6" x14ac:dyDescent="0.3">
      <c r="A3" s="1"/>
      <c r="B3" s="1"/>
      <c r="C3" s="1"/>
      <c r="D3" s="1"/>
    </row>
    <row r="4" spans="1:4" ht="15.6" x14ac:dyDescent="0.3">
      <c r="A4" s="1" t="s">
        <v>390</v>
      </c>
      <c r="B4" s="1" t="s">
        <v>392</v>
      </c>
      <c r="C4" s="1" t="s">
        <v>19</v>
      </c>
      <c r="D4" s="23" t="s">
        <v>393</v>
      </c>
    </row>
    <row r="5" spans="1:4" ht="15.6" x14ac:dyDescent="0.3">
      <c r="A5" s="1">
        <v>1871</v>
      </c>
      <c r="B5" s="282">
        <v>0.75209999999999999</v>
      </c>
      <c r="C5" s="282">
        <v>0.19390000000000002</v>
      </c>
      <c r="D5" s="282">
        <v>5.3999999999999992E-2</v>
      </c>
    </row>
    <row r="6" spans="1:4" ht="15.6" x14ac:dyDescent="0.3">
      <c r="A6" s="1">
        <v>1881</v>
      </c>
      <c r="B6" s="282">
        <v>0.76549999999999996</v>
      </c>
      <c r="C6" s="282">
        <v>0.19739999999999999</v>
      </c>
      <c r="D6" s="282">
        <v>3.710000000000005E-2</v>
      </c>
    </row>
    <row r="7" spans="1:4" ht="15.6" x14ac:dyDescent="0.3">
      <c r="A7" s="1">
        <f>A6+10</f>
        <v>1891</v>
      </c>
      <c r="B7" s="282">
        <v>0.75549999999999995</v>
      </c>
      <c r="C7" s="282">
        <v>0.1996</v>
      </c>
      <c r="D7" s="282">
        <v>4.4900000000000051E-2</v>
      </c>
    </row>
    <row r="8" spans="1:4" ht="15.6" x14ac:dyDescent="0.3">
      <c r="A8" s="1">
        <f t="shared" ref="A8:A19" si="0">A7+10</f>
        <v>1901</v>
      </c>
      <c r="B8" s="282">
        <v>0.7329</v>
      </c>
      <c r="C8" s="282">
        <v>0.2122</v>
      </c>
      <c r="D8" s="282">
        <v>5.4900000000000004E-2</v>
      </c>
    </row>
    <row r="9" spans="1:4" ht="15.6" x14ac:dyDescent="0.3">
      <c r="A9" s="1">
        <f t="shared" si="0"/>
        <v>1911</v>
      </c>
      <c r="B9" s="282">
        <v>0.7268</v>
      </c>
      <c r="C9" s="282">
        <v>0.21260000000000001</v>
      </c>
      <c r="D9" s="282">
        <v>6.0599999999999987E-2</v>
      </c>
    </row>
    <row r="10" spans="1:4" ht="15.6" x14ac:dyDescent="0.3">
      <c r="A10" s="1">
        <f t="shared" si="0"/>
        <v>1921</v>
      </c>
      <c r="B10" s="282">
        <v>0.71650000000000003</v>
      </c>
      <c r="C10" s="282">
        <v>0.21740000000000001</v>
      </c>
      <c r="D10" s="282">
        <v>6.6099999999999964E-2</v>
      </c>
    </row>
    <row r="11" spans="1:4" ht="15.6" x14ac:dyDescent="0.3">
      <c r="A11" s="1">
        <f t="shared" si="0"/>
        <v>1931</v>
      </c>
      <c r="B11" s="282">
        <v>0.70599999999999996</v>
      </c>
      <c r="C11" s="282">
        <v>0.22159999999999999</v>
      </c>
      <c r="D11" s="282">
        <v>7.2400000000000048E-2</v>
      </c>
    </row>
    <row r="12" spans="1:4" ht="15.6" x14ac:dyDescent="0.3">
      <c r="A12" s="1">
        <f t="shared" si="0"/>
        <v>1941</v>
      </c>
      <c r="B12" s="282">
        <v>0.72509999999999997</v>
      </c>
      <c r="C12" s="282">
        <v>0.23810000000000001</v>
      </c>
      <c r="D12" s="282">
        <v>3.6800000000000027E-2</v>
      </c>
    </row>
    <row r="13" spans="1:4" ht="15.6" x14ac:dyDescent="0.3">
      <c r="A13" s="1">
        <f t="shared" si="0"/>
        <v>1951</v>
      </c>
      <c r="B13" s="282">
        <v>0.84099999999999997</v>
      </c>
      <c r="C13" s="282">
        <v>9.8000000000000004E-2</v>
      </c>
      <c r="D13" s="282">
        <v>6.1000000000000026E-2</v>
      </c>
    </row>
    <row r="14" spans="1:4" ht="15.6" x14ac:dyDescent="0.3">
      <c r="A14" s="1">
        <f t="shared" si="0"/>
        <v>1961</v>
      </c>
      <c r="B14" s="282">
        <v>0.83450000000000002</v>
      </c>
      <c r="C14" s="282">
        <v>0.1069</v>
      </c>
      <c r="D14" s="282">
        <v>5.8599999999999985E-2</v>
      </c>
    </row>
    <row r="15" spans="1:4" ht="15.6" x14ac:dyDescent="0.3">
      <c r="A15" s="1">
        <f t="shared" si="0"/>
        <v>1971</v>
      </c>
      <c r="B15" s="282">
        <v>0.82699999999999996</v>
      </c>
      <c r="C15" s="282">
        <v>0.112</v>
      </c>
      <c r="D15" s="282">
        <v>6.100000000000004E-2</v>
      </c>
    </row>
    <row r="16" spans="1:4" ht="15.6" x14ac:dyDescent="0.3">
      <c r="A16" s="1">
        <f t="shared" si="0"/>
        <v>1981</v>
      </c>
      <c r="B16" s="282">
        <v>0.82299999999999995</v>
      </c>
      <c r="C16" s="282">
        <v>0.11799999999999999</v>
      </c>
      <c r="D16" s="282">
        <v>5.9000000000000052E-2</v>
      </c>
    </row>
    <row r="17" spans="1:4" ht="15.6" x14ac:dyDescent="0.3">
      <c r="A17" s="1">
        <f t="shared" si="0"/>
        <v>1991</v>
      </c>
      <c r="B17" s="282">
        <v>0.81530000000000002</v>
      </c>
      <c r="C17" s="282">
        <v>0.12609999999999999</v>
      </c>
      <c r="D17" s="282">
        <v>5.8599999999999985E-2</v>
      </c>
    </row>
    <row r="18" spans="1:4" ht="15.6" x14ac:dyDescent="0.3">
      <c r="A18" s="1">
        <f t="shared" si="0"/>
        <v>2001</v>
      </c>
      <c r="B18" s="282">
        <v>0.80500000000000005</v>
      </c>
      <c r="C18" s="282">
        <v>0.1343</v>
      </c>
      <c r="D18" s="282">
        <v>6.0699999999999948E-2</v>
      </c>
    </row>
    <row r="19" spans="1:4" ht="15.6" x14ac:dyDescent="0.3">
      <c r="A19" s="1">
        <f t="shared" si="0"/>
        <v>2011</v>
      </c>
      <c r="B19" s="282">
        <v>0.79800000000000004</v>
      </c>
      <c r="C19" s="282">
        <v>0.14230000000000001</v>
      </c>
      <c r="D19" s="282">
        <v>5.9699999999999948E-2</v>
      </c>
    </row>
    <row r="20" spans="1:4" ht="15.6" x14ac:dyDescent="0.3">
      <c r="A20" s="1"/>
      <c r="B20" s="1"/>
      <c r="C20" s="1"/>
      <c r="D20" s="1"/>
    </row>
    <row r="21" spans="1:4" ht="15.6" x14ac:dyDescent="0.3">
      <c r="A21" s="1" t="s">
        <v>396</v>
      </c>
      <c r="B21" s="1"/>
      <c r="C21" s="1"/>
      <c r="D21" s="1"/>
    </row>
    <row r="22" spans="1:4" ht="15.6" x14ac:dyDescent="0.3">
      <c r="A22" s="1"/>
      <c r="B22" s="1"/>
      <c r="C22" s="1"/>
      <c r="D22" s="1"/>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heetViews>
  <sheetFormatPr baseColWidth="10" defaultColWidth="10.77734375" defaultRowHeight="15.6" x14ac:dyDescent="0.3"/>
  <cols>
    <col min="1" max="3" width="30.6640625" style="136" customWidth="1"/>
    <col min="4" max="4" width="32.6640625" style="136" customWidth="1"/>
    <col min="5" max="16384" width="10.77734375" style="136"/>
  </cols>
  <sheetData>
    <row r="1" spans="1:4" x14ac:dyDescent="0.3">
      <c r="A1" s="19" t="s">
        <v>302</v>
      </c>
    </row>
    <row r="2" spans="1:4" x14ac:dyDescent="0.3">
      <c r="A2" s="1" t="s">
        <v>301</v>
      </c>
    </row>
    <row r="3" spans="1:4" x14ac:dyDescent="0.3">
      <c r="A3" s="137"/>
      <c r="B3" s="138" t="s">
        <v>303</v>
      </c>
      <c r="C3" s="138" t="s">
        <v>304</v>
      </c>
      <c r="D3" s="138" t="s">
        <v>305</v>
      </c>
    </row>
    <row r="4" spans="1:4" x14ac:dyDescent="0.3">
      <c r="A4" s="137" t="s">
        <v>532</v>
      </c>
      <c r="B4" s="139">
        <v>2.9000000000000001E-2</v>
      </c>
      <c r="C4" s="139">
        <v>1.4999999999999999E-2</v>
      </c>
      <c r="D4" s="139">
        <f>B4+C4</f>
        <v>4.3999999999999997E-2</v>
      </c>
    </row>
    <row r="5" spans="1:4" x14ac:dyDescent="0.3">
      <c r="A5" s="137" t="s">
        <v>533</v>
      </c>
      <c r="B5" s="139">
        <v>8.9999999999999993E-3</v>
      </c>
      <c r="C5" s="139">
        <v>1.2E-2</v>
      </c>
      <c r="D5" s="139">
        <f>B5+C5</f>
        <v>2.0999999999999998E-2</v>
      </c>
    </row>
    <row r="6" spans="1:4" x14ac:dyDescent="0.3">
      <c r="A6" s="137" t="s">
        <v>310</v>
      </c>
      <c r="B6" s="139">
        <v>3.3000000000000002E-2</v>
      </c>
      <c r="C6" s="139">
        <v>1.9E-2</v>
      </c>
      <c r="D6" s="139">
        <f>B6+C6</f>
        <v>5.2000000000000005E-2</v>
      </c>
    </row>
    <row r="7" spans="1:4" x14ac:dyDescent="0.3">
      <c r="A7" s="137" t="s">
        <v>306</v>
      </c>
      <c r="B7" s="139">
        <v>1.7000000000000001E-2</v>
      </c>
      <c r="C7" s="139">
        <v>7.0000000000000001E-3</v>
      </c>
      <c r="D7" s="139">
        <f>B7+C7</f>
        <v>2.4E-2</v>
      </c>
    </row>
    <row r="8" spans="1:4" x14ac:dyDescent="0.3">
      <c r="A8" s="137" t="s">
        <v>534</v>
      </c>
      <c r="B8" s="139">
        <f>'T8.2'!C6</f>
        <v>6.5648718758617455E-2</v>
      </c>
      <c r="C8" s="139">
        <f>'T8.2'!C7</f>
        <v>3.6904358357012994E-2</v>
      </c>
      <c r="D8" s="139">
        <f t="shared" ref="D8" si="0">B8+C8</f>
        <v>0.10255307711563044</v>
      </c>
    </row>
    <row r="9" spans="1:4" x14ac:dyDescent="0.3">
      <c r="A9" s="137" t="s">
        <v>535</v>
      </c>
      <c r="B9" s="139">
        <f>'T8.2'!H6</f>
        <v>5.5772427671718534E-2</v>
      </c>
      <c r="C9" s="139">
        <f>'T8.2'!H7</f>
        <v>4.1352504889689855E-2</v>
      </c>
      <c r="D9" s="139">
        <f t="shared" ref="D9" si="1">B9+C9</f>
        <v>9.7124932561408389E-2</v>
      </c>
    </row>
    <row r="12" spans="1:4" x14ac:dyDescent="0.3">
      <c r="A12" s="137" t="s">
        <v>307</v>
      </c>
    </row>
    <row r="13" spans="1:4" x14ac:dyDescent="0.3">
      <c r="A13" s="137" t="s">
        <v>403</v>
      </c>
    </row>
    <row r="14" spans="1:4" x14ac:dyDescent="0.3">
      <c r="A14" s="137" t="s">
        <v>412</v>
      </c>
    </row>
    <row r="15" spans="1:4" x14ac:dyDescent="0.3">
      <c r="A15" s="137"/>
    </row>
    <row r="16" spans="1:4" x14ac:dyDescent="0.3">
      <c r="A16" s="137"/>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3"/>
  <sheetViews>
    <sheetView workbookViewId="0"/>
  </sheetViews>
  <sheetFormatPr baseColWidth="10" defaultRowHeight="14.4" x14ac:dyDescent="0.3"/>
  <cols>
    <col min="2" max="4" width="12.77734375" customWidth="1"/>
  </cols>
  <sheetData>
    <row r="1" spans="1:5" ht="15.6" x14ac:dyDescent="0.3">
      <c r="A1" s="19" t="s">
        <v>407</v>
      </c>
    </row>
    <row r="2" spans="1:5" ht="15.6" x14ac:dyDescent="0.3">
      <c r="A2" s="1" t="s">
        <v>301</v>
      </c>
    </row>
    <row r="3" spans="1:5" ht="15.6" x14ac:dyDescent="0.3">
      <c r="A3" s="19" t="s">
        <v>408</v>
      </c>
    </row>
    <row r="5" spans="1:5" ht="15.6" x14ac:dyDescent="0.3">
      <c r="A5" s="1"/>
      <c r="B5" s="1"/>
      <c r="C5" s="1"/>
      <c r="D5" s="1"/>
      <c r="E5" s="1"/>
    </row>
    <row r="6" spans="1:5" ht="48.45" customHeight="1" x14ac:dyDescent="0.3">
      <c r="A6" s="1" t="s">
        <v>402</v>
      </c>
      <c r="B6" s="120" t="s">
        <v>409</v>
      </c>
      <c r="C6" s="120" t="s">
        <v>410</v>
      </c>
      <c r="D6" s="120" t="s">
        <v>411</v>
      </c>
      <c r="E6" s="1" t="s">
        <v>305</v>
      </c>
    </row>
    <row r="7" spans="1:5" ht="15.6" x14ac:dyDescent="0.3">
      <c r="A7" s="1">
        <v>1870</v>
      </c>
      <c r="B7" s="24"/>
      <c r="C7" s="24"/>
      <c r="D7" s="24"/>
      <c r="E7" s="24"/>
    </row>
    <row r="8" spans="1:5" ht="15.6" x14ac:dyDescent="0.3">
      <c r="A8" s="1">
        <v>1871</v>
      </c>
      <c r="B8" s="24">
        <f>'T8.2'!$B$6</f>
        <v>6.7447225480751008E-2</v>
      </c>
      <c r="C8" s="24">
        <f>'T8.2'!$B$7</f>
        <v>3.7553922611973128E-2</v>
      </c>
      <c r="D8" s="24">
        <f>'T8.2'!$B$8</f>
        <v>2.7976693686359508E-2</v>
      </c>
      <c r="E8" s="24">
        <f>SUM(B8:D8)</f>
        <v>0.13297784177908364</v>
      </c>
    </row>
    <row r="9" spans="1:5" ht="15.6" x14ac:dyDescent="0.3">
      <c r="A9" s="1">
        <v>1872</v>
      </c>
      <c r="B9" s="24"/>
      <c r="C9" s="24"/>
      <c r="D9" s="24"/>
      <c r="E9" s="24"/>
    </row>
    <row r="10" spans="1:5" ht="15.6" x14ac:dyDescent="0.3">
      <c r="A10" s="1">
        <v>1873</v>
      </c>
      <c r="B10" s="24"/>
      <c r="C10" s="24"/>
      <c r="D10" s="24"/>
      <c r="E10" s="24"/>
    </row>
    <row r="11" spans="1:5" ht="15.6" x14ac:dyDescent="0.3">
      <c r="A11" s="1">
        <v>1874</v>
      </c>
      <c r="B11" s="24"/>
      <c r="C11" s="24"/>
      <c r="D11" s="24"/>
      <c r="E11" s="24"/>
    </row>
    <row r="12" spans="1:5" ht="15.6" x14ac:dyDescent="0.3">
      <c r="A12" s="1">
        <v>1875</v>
      </c>
      <c r="B12" s="24"/>
      <c r="C12" s="24"/>
      <c r="D12" s="24"/>
      <c r="E12" s="24"/>
    </row>
    <row r="13" spans="1:5" ht="15.6" x14ac:dyDescent="0.3">
      <c r="A13" s="1">
        <v>1876</v>
      </c>
      <c r="B13" s="24"/>
      <c r="C13" s="24"/>
      <c r="D13" s="24"/>
      <c r="E13" s="24"/>
    </row>
    <row r="14" spans="1:5" ht="15.6" x14ac:dyDescent="0.3">
      <c r="A14" s="1">
        <v>1877</v>
      </c>
      <c r="B14" s="24"/>
      <c r="C14" s="24"/>
      <c r="D14" s="24"/>
      <c r="E14" s="24"/>
    </row>
    <row r="15" spans="1:5" ht="15.6" x14ac:dyDescent="0.3">
      <c r="A15" s="1">
        <v>1878</v>
      </c>
      <c r="B15" s="24"/>
      <c r="C15" s="24"/>
      <c r="D15" s="24"/>
      <c r="E15" s="24"/>
    </row>
    <row r="16" spans="1:5" ht="15.6" x14ac:dyDescent="0.3">
      <c r="A16" s="1">
        <v>1879</v>
      </c>
      <c r="B16" s="24"/>
      <c r="C16" s="24"/>
      <c r="D16" s="24"/>
      <c r="E16" s="24"/>
    </row>
    <row r="17" spans="1:5" ht="15.6" x14ac:dyDescent="0.3">
      <c r="A17" s="1">
        <v>1880</v>
      </c>
      <c r="B17" s="24"/>
      <c r="C17" s="24"/>
      <c r="D17" s="24"/>
      <c r="E17" s="24"/>
    </row>
    <row r="18" spans="1:5" ht="15.6" x14ac:dyDescent="0.3">
      <c r="A18" s="1">
        <v>1881</v>
      </c>
      <c r="B18" s="24">
        <f>'T8.2'!$C$6</f>
        <v>6.5648718758617455E-2</v>
      </c>
      <c r="C18" s="24">
        <f>'T8.2'!$C$7</f>
        <v>3.6904358357012994E-2</v>
      </c>
      <c r="D18" s="24">
        <f>'T8.2'!$C$8</f>
        <v>2.2701214521082581E-2</v>
      </c>
      <c r="E18" s="24">
        <f>SUM(B18:D18)</f>
        <v>0.12525429163671303</v>
      </c>
    </row>
    <row r="19" spans="1:5" ht="15.6" x14ac:dyDescent="0.3">
      <c r="A19" s="1">
        <v>1882</v>
      </c>
      <c r="B19" s="24"/>
      <c r="C19" s="24"/>
      <c r="D19" s="24"/>
      <c r="E19" s="24"/>
    </row>
    <row r="20" spans="1:5" ht="15.6" x14ac:dyDescent="0.3">
      <c r="A20" s="1">
        <v>1883</v>
      </c>
      <c r="B20" s="24"/>
      <c r="C20" s="24"/>
      <c r="D20" s="24"/>
      <c r="E20" s="24"/>
    </row>
    <row r="21" spans="1:5" ht="15.6" x14ac:dyDescent="0.3">
      <c r="A21" s="1">
        <v>1884</v>
      </c>
      <c r="B21" s="24"/>
      <c r="C21" s="24"/>
      <c r="D21" s="24"/>
      <c r="E21" s="24"/>
    </row>
    <row r="22" spans="1:5" ht="15.6" x14ac:dyDescent="0.3">
      <c r="A22" s="1">
        <v>1885</v>
      </c>
      <c r="B22" s="24"/>
      <c r="C22" s="24"/>
      <c r="D22" s="24"/>
      <c r="E22" s="24"/>
    </row>
    <row r="23" spans="1:5" ht="15.6" x14ac:dyDescent="0.3">
      <c r="A23" s="1">
        <v>1886</v>
      </c>
      <c r="B23" s="24"/>
      <c r="C23" s="24"/>
      <c r="D23" s="24"/>
      <c r="E23" s="24"/>
    </row>
    <row r="24" spans="1:5" ht="15.6" x14ac:dyDescent="0.3">
      <c r="A24" s="1">
        <v>1887</v>
      </c>
      <c r="B24" s="24"/>
      <c r="C24" s="24"/>
      <c r="D24" s="24"/>
      <c r="E24" s="24"/>
    </row>
    <row r="25" spans="1:5" ht="15.6" x14ac:dyDescent="0.3">
      <c r="A25" s="1">
        <v>1888</v>
      </c>
      <c r="B25" s="24"/>
      <c r="C25" s="24"/>
      <c r="D25" s="24"/>
      <c r="E25" s="24"/>
    </row>
    <row r="26" spans="1:5" ht="15.6" x14ac:dyDescent="0.3">
      <c r="A26" s="1">
        <v>1889</v>
      </c>
      <c r="B26" s="24"/>
      <c r="C26" s="24"/>
      <c r="D26" s="24"/>
      <c r="E26" s="24"/>
    </row>
    <row r="27" spans="1:5" ht="15.6" x14ac:dyDescent="0.3">
      <c r="A27" s="1">
        <v>1890</v>
      </c>
      <c r="B27" s="24"/>
      <c r="C27" s="24"/>
      <c r="D27" s="24"/>
      <c r="E27" s="24"/>
    </row>
    <row r="28" spans="1:5" ht="15.6" x14ac:dyDescent="0.3">
      <c r="A28" s="1">
        <v>1891</v>
      </c>
      <c r="B28" s="24">
        <f>'T8.2'!$D$6</f>
        <v>6.4518070458762372E-2</v>
      </c>
      <c r="C28" s="24">
        <f>'T8.2'!$D$7</f>
        <v>4.5376524802534395E-2</v>
      </c>
      <c r="D28" s="24">
        <f>'T8.2'!$D$8</f>
        <v>2.3621109929040887E-2</v>
      </c>
      <c r="E28" s="24">
        <f>SUM(B28:D28)</f>
        <v>0.13351570519033767</v>
      </c>
    </row>
    <row r="29" spans="1:5" ht="15.6" x14ac:dyDescent="0.3">
      <c r="A29" s="1">
        <v>1892</v>
      </c>
      <c r="B29" s="24"/>
      <c r="C29" s="24"/>
      <c r="D29" s="24"/>
      <c r="E29" s="24"/>
    </row>
    <row r="30" spans="1:5" ht="15.6" x14ac:dyDescent="0.3">
      <c r="A30" s="1">
        <v>1893</v>
      </c>
      <c r="B30" s="24"/>
      <c r="C30" s="24"/>
      <c r="D30" s="24"/>
      <c r="E30" s="24"/>
    </row>
    <row r="31" spans="1:5" ht="15.6" x14ac:dyDescent="0.3">
      <c r="A31" s="1">
        <v>1894</v>
      </c>
      <c r="B31" s="24"/>
      <c r="C31" s="24"/>
      <c r="D31" s="24"/>
      <c r="E31" s="24"/>
    </row>
    <row r="32" spans="1:5" ht="15.6" x14ac:dyDescent="0.3">
      <c r="A32" s="1">
        <v>1895</v>
      </c>
      <c r="B32" s="24"/>
      <c r="C32" s="24"/>
      <c r="D32" s="24"/>
      <c r="E32" s="24"/>
    </row>
    <row r="33" spans="1:5" ht="15.6" x14ac:dyDescent="0.3">
      <c r="A33" s="1">
        <v>1896</v>
      </c>
      <c r="B33" s="24"/>
      <c r="C33" s="24"/>
      <c r="D33" s="24"/>
      <c r="E33" s="24"/>
    </row>
    <row r="34" spans="1:5" ht="15.6" x14ac:dyDescent="0.3">
      <c r="A34" s="1">
        <v>1897</v>
      </c>
      <c r="B34" s="24"/>
      <c r="C34" s="24"/>
      <c r="D34" s="24"/>
      <c r="E34" s="24"/>
    </row>
    <row r="35" spans="1:5" ht="15.6" x14ac:dyDescent="0.3">
      <c r="A35" s="1">
        <v>1898</v>
      </c>
      <c r="B35" s="24"/>
      <c r="C35" s="24"/>
      <c r="D35" s="24"/>
      <c r="E35" s="24"/>
    </row>
    <row r="36" spans="1:5" ht="15.6" x14ac:dyDescent="0.3">
      <c r="A36" s="1">
        <v>1899</v>
      </c>
      <c r="B36" s="24"/>
      <c r="C36" s="24"/>
      <c r="D36" s="24"/>
      <c r="E36" s="24"/>
    </row>
    <row r="37" spans="1:5" ht="15.6" x14ac:dyDescent="0.3">
      <c r="A37" s="1">
        <v>1900</v>
      </c>
      <c r="B37" s="24"/>
      <c r="C37" s="24"/>
      <c r="D37" s="24"/>
      <c r="E37" s="24"/>
    </row>
    <row r="38" spans="1:5" ht="15.6" x14ac:dyDescent="0.3">
      <c r="A38" s="1">
        <v>1901</v>
      </c>
      <c r="B38" s="24">
        <f>'T8.2'!$E$6</f>
        <v>6.4268958632454132E-2</v>
      </c>
      <c r="C38" s="24">
        <f>'T8.2'!$E$7</f>
        <v>4.6356021803029411E-2</v>
      </c>
      <c r="D38" s="24">
        <f>'T8.2'!$E$8</f>
        <v>2.1781319113124274E-2</v>
      </c>
      <c r="E38" s="24">
        <f>SUM(B38:D38)</f>
        <v>0.13240629954860783</v>
      </c>
    </row>
    <row r="39" spans="1:5" ht="15.6" x14ac:dyDescent="0.3">
      <c r="A39" s="1">
        <v>1902</v>
      </c>
      <c r="B39" s="24"/>
      <c r="C39" s="24"/>
      <c r="D39" s="24"/>
      <c r="E39" s="24"/>
    </row>
    <row r="40" spans="1:5" ht="15.6" x14ac:dyDescent="0.3">
      <c r="A40" s="1">
        <v>1903</v>
      </c>
      <c r="B40" s="24"/>
      <c r="C40" s="24"/>
      <c r="D40" s="24"/>
      <c r="E40" s="24"/>
    </row>
    <row r="41" spans="1:5" ht="15.6" x14ac:dyDescent="0.3">
      <c r="A41" s="1">
        <v>1904</v>
      </c>
      <c r="B41" s="24"/>
      <c r="C41" s="24"/>
      <c r="D41" s="24"/>
      <c r="E41" s="24"/>
    </row>
    <row r="42" spans="1:5" ht="15.6" x14ac:dyDescent="0.3">
      <c r="A42" s="1">
        <v>1905</v>
      </c>
      <c r="B42" s="24"/>
      <c r="C42" s="24"/>
      <c r="D42" s="24"/>
      <c r="E42" s="24"/>
    </row>
    <row r="43" spans="1:5" ht="15.6" x14ac:dyDescent="0.3">
      <c r="A43" s="1">
        <v>1906</v>
      </c>
      <c r="B43" s="24"/>
      <c r="C43" s="24"/>
      <c r="D43" s="24"/>
      <c r="E43" s="24"/>
    </row>
    <row r="44" spans="1:5" ht="15.6" x14ac:dyDescent="0.3">
      <c r="A44" s="1">
        <v>1907</v>
      </c>
      <c r="B44" s="24"/>
      <c r="C44" s="24"/>
      <c r="D44" s="24"/>
      <c r="E44" s="24"/>
    </row>
    <row r="45" spans="1:5" ht="15.6" x14ac:dyDescent="0.3">
      <c r="A45" s="1">
        <v>1908</v>
      </c>
      <c r="B45" s="24"/>
      <c r="C45" s="24"/>
      <c r="D45" s="24"/>
      <c r="E45" s="24"/>
    </row>
    <row r="46" spans="1:5" ht="15.6" x14ac:dyDescent="0.3">
      <c r="A46" s="1">
        <v>1909</v>
      </c>
      <c r="B46" s="24"/>
      <c r="C46" s="24"/>
      <c r="D46" s="24"/>
      <c r="E46" s="24"/>
    </row>
    <row r="47" spans="1:5" ht="15.6" x14ac:dyDescent="0.3">
      <c r="A47" s="1">
        <v>1910</v>
      </c>
      <c r="B47" s="24"/>
      <c r="C47" s="24"/>
      <c r="D47" s="24"/>
      <c r="E47" s="24"/>
    </row>
    <row r="48" spans="1:5" ht="15.6" x14ac:dyDescent="0.3">
      <c r="A48" s="1">
        <v>1911</v>
      </c>
      <c r="B48" s="24">
        <f>'T8.2'!$F$6</f>
        <v>5.9100394494825986E-2</v>
      </c>
      <c r="C48" s="24">
        <f>'T8.2'!$F$7</f>
        <v>4.0601734611639025E-2</v>
      </c>
      <c r="D48" s="24">
        <f>'T8.2'!$F$8</f>
        <v>2.3375307395299437E-2</v>
      </c>
      <c r="E48" s="24">
        <f>SUM(B48:D48)</f>
        <v>0.12307743650176445</v>
      </c>
    </row>
    <row r="49" spans="1:5" ht="15.6" x14ac:dyDescent="0.3">
      <c r="A49" s="1">
        <v>1912</v>
      </c>
      <c r="B49" s="24"/>
      <c r="C49" s="24"/>
      <c r="D49" s="24"/>
      <c r="E49" s="24"/>
    </row>
    <row r="50" spans="1:5" ht="15.6" x14ac:dyDescent="0.3">
      <c r="A50" s="1">
        <v>1913</v>
      </c>
      <c r="B50" s="24"/>
      <c r="C50" s="24"/>
      <c r="D50" s="24"/>
      <c r="E50" s="24"/>
    </row>
    <row r="51" spans="1:5" ht="15.6" x14ac:dyDescent="0.3">
      <c r="A51" s="1">
        <v>1914</v>
      </c>
      <c r="B51" s="24"/>
      <c r="C51" s="24"/>
      <c r="D51" s="24"/>
      <c r="E51" s="24"/>
    </row>
    <row r="52" spans="1:5" ht="15.6" x14ac:dyDescent="0.3">
      <c r="A52" s="1">
        <v>1915</v>
      </c>
      <c r="B52" s="24"/>
      <c r="C52" s="24"/>
      <c r="D52" s="24"/>
      <c r="E52" s="24"/>
    </row>
    <row r="53" spans="1:5" ht="15.6" x14ac:dyDescent="0.3">
      <c r="A53" s="1">
        <v>1916</v>
      </c>
      <c r="B53" s="24"/>
      <c r="C53" s="24"/>
      <c r="D53" s="24"/>
      <c r="E53" s="24"/>
    </row>
    <row r="54" spans="1:5" ht="15.6" x14ac:dyDescent="0.3">
      <c r="A54" s="1">
        <v>1917</v>
      </c>
      <c r="B54" s="24"/>
      <c r="C54" s="24"/>
      <c r="D54" s="24"/>
      <c r="E54" s="24"/>
    </row>
    <row r="55" spans="1:5" ht="15.6" x14ac:dyDescent="0.3">
      <c r="A55" s="1">
        <v>1918</v>
      </c>
      <c r="B55" s="24"/>
      <c r="C55" s="24"/>
      <c r="D55" s="24"/>
      <c r="E55" s="24"/>
    </row>
    <row r="56" spans="1:5" ht="15.6" x14ac:dyDescent="0.3">
      <c r="A56" s="1">
        <v>1919</v>
      </c>
      <c r="B56" s="24"/>
      <c r="C56" s="24"/>
      <c r="D56" s="24"/>
      <c r="E56" s="24"/>
    </row>
    <row r="57" spans="1:5" ht="15.6" x14ac:dyDescent="0.3">
      <c r="A57" s="1">
        <v>1920</v>
      </c>
      <c r="B57" s="24"/>
      <c r="C57" s="24"/>
      <c r="D57" s="24"/>
      <c r="E57" s="24"/>
    </row>
    <row r="58" spans="1:5" ht="15.6" x14ac:dyDescent="0.3">
      <c r="A58" s="1">
        <v>1921</v>
      </c>
      <c r="B58" s="24">
        <f>'T8.2'!$G$6</f>
        <v>5.7663942453913736E-2</v>
      </c>
      <c r="C58" s="24">
        <f>'T8.2'!$G$7</f>
        <v>4.1685021314070939E-2</v>
      </c>
      <c r="D58" s="24">
        <f>'T8.2'!$G$8</f>
        <v>2.0697946192319447E-2</v>
      </c>
      <c r="E58" s="24">
        <f>SUM(B58:D58)</f>
        <v>0.12004690996030412</v>
      </c>
    </row>
    <row r="59" spans="1:5" ht="15.6" x14ac:dyDescent="0.3">
      <c r="A59" s="1">
        <v>1922</v>
      </c>
      <c r="B59" s="24"/>
      <c r="C59" s="24"/>
      <c r="D59" s="24"/>
      <c r="E59" s="24"/>
    </row>
    <row r="60" spans="1:5" ht="15.6" x14ac:dyDescent="0.3">
      <c r="A60" s="1">
        <v>1923</v>
      </c>
      <c r="B60" s="24"/>
      <c r="C60" s="24"/>
      <c r="D60" s="24"/>
      <c r="E60" s="24"/>
    </row>
    <row r="61" spans="1:5" ht="15.6" x14ac:dyDescent="0.3">
      <c r="A61" s="1">
        <v>1924</v>
      </c>
      <c r="B61" s="24"/>
      <c r="C61" s="24"/>
      <c r="D61" s="24"/>
      <c r="E61" s="24"/>
    </row>
    <row r="62" spans="1:5" ht="15.6" x14ac:dyDescent="0.3">
      <c r="A62" s="1">
        <v>1925</v>
      </c>
      <c r="B62" s="24"/>
      <c r="C62" s="24"/>
      <c r="D62" s="24"/>
      <c r="E62" s="24"/>
    </row>
    <row r="63" spans="1:5" ht="15.6" x14ac:dyDescent="0.3">
      <c r="A63" s="1">
        <v>1926</v>
      </c>
      <c r="B63" s="24"/>
      <c r="C63" s="24"/>
      <c r="D63" s="24"/>
      <c r="E63" s="24"/>
    </row>
    <row r="64" spans="1:5" ht="15.6" x14ac:dyDescent="0.3">
      <c r="A64" s="1">
        <v>1927</v>
      </c>
      <c r="B64" s="24"/>
      <c r="C64" s="24"/>
      <c r="D64" s="24"/>
      <c r="E64" s="24"/>
    </row>
    <row r="65" spans="1:5" ht="15.6" x14ac:dyDescent="0.3">
      <c r="A65" s="1">
        <v>1928</v>
      </c>
      <c r="B65" s="24"/>
      <c r="C65" s="24"/>
      <c r="D65" s="24"/>
      <c r="E65" s="24"/>
    </row>
    <row r="66" spans="1:5" ht="15.6" x14ac:dyDescent="0.3">
      <c r="A66" s="1">
        <v>1929</v>
      </c>
      <c r="B66" s="24"/>
      <c r="C66" s="24"/>
      <c r="D66" s="24"/>
      <c r="E66" s="24"/>
    </row>
    <row r="67" spans="1:5" ht="15.6" x14ac:dyDescent="0.3">
      <c r="A67" s="1">
        <v>1930</v>
      </c>
      <c r="B67" s="24"/>
      <c r="C67" s="24"/>
      <c r="D67" s="24"/>
      <c r="E67" s="24"/>
    </row>
    <row r="68" spans="1:5" ht="15.6" x14ac:dyDescent="0.3">
      <c r="A68" s="1">
        <v>1931</v>
      </c>
      <c r="B68" s="24">
        <f>'T8.2'!$H$6</f>
        <v>5.5772427671718534E-2</v>
      </c>
      <c r="C68" s="24">
        <f>'T8.2'!$H$7</f>
        <v>4.1352504889689855E-2</v>
      </c>
      <c r="D68" s="24">
        <f>'T8.2'!$H$8</f>
        <v>2.9789426557441885E-2</v>
      </c>
      <c r="E68" s="24">
        <f>SUM(B68:D68)</f>
        <v>0.12691435911885027</v>
      </c>
    </row>
    <row r="69" spans="1:5" ht="15.6" x14ac:dyDescent="0.3">
      <c r="A69" s="1">
        <v>1932</v>
      </c>
      <c r="B69" s="24"/>
      <c r="C69" s="24"/>
      <c r="D69" s="24"/>
      <c r="E69" s="24"/>
    </row>
    <row r="70" spans="1:5" ht="15.6" x14ac:dyDescent="0.3">
      <c r="A70" s="1">
        <v>1933</v>
      </c>
      <c r="B70" s="24"/>
      <c r="C70" s="24"/>
      <c r="D70" s="24"/>
      <c r="E70" s="24"/>
    </row>
    <row r="71" spans="1:5" ht="15.6" x14ac:dyDescent="0.3">
      <c r="A71" s="1">
        <v>1934</v>
      </c>
      <c r="B71" s="24"/>
      <c r="C71" s="24"/>
      <c r="D71" s="24"/>
      <c r="E71" s="24"/>
    </row>
    <row r="72" spans="1:5" ht="15.6" x14ac:dyDescent="0.3">
      <c r="A72" s="1">
        <v>1935</v>
      </c>
      <c r="B72" s="24"/>
      <c r="C72" s="24"/>
      <c r="D72" s="24"/>
      <c r="E72" s="24"/>
    </row>
    <row r="73" spans="1:5" ht="15.6" x14ac:dyDescent="0.3">
      <c r="A73" s="1">
        <v>1936</v>
      </c>
      <c r="B73" s="24"/>
      <c r="C73" s="24"/>
      <c r="D73" s="24"/>
      <c r="E73" s="24"/>
    </row>
    <row r="74" spans="1:5" ht="15.6" x14ac:dyDescent="0.3">
      <c r="A74" s="1">
        <v>1937</v>
      </c>
      <c r="B74" s="24"/>
      <c r="C74" s="24"/>
      <c r="D74" s="24"/>
      <c r="E74" s="24"/>
    </row>
    <row r="75" spans="1:5" ht="15.6" x14ac:dyDescent="0.3">
      <c r="A75" s="1">
        <v>1938</v>
      </c>
      <c r="B75" s="24"/>
      <c r="C75" s="24"/>
      <c r="D75" s="24"/>
      <c r="E75" s="24"/>
    </row>
    <row r="76" spans="1:5" ht="15.6" x14ac:dyDescent="0.3">
      <c r="A76" s="1">
        <v>1939</v>
      </c>
      <c r="B76" s="24"/>
      <c r="C76" s="24"/>
      <c r="D76" s="24"/>
      <c r="E76" s="24"/>
    </row>
    <row r="77" spans="1:5" ht="15.6" x14ac:dyDescent="0.3">
      <c r="A77" s="1">
        <v>1940</v>
      </c>
      <c r="B77" s="24"/>
      <c r="C77" s="24"/>
      <c r="D77" s="24"/>
      <c r="E77" s="24"/>
    </row>
    <row r="78" spans="1:5" ht="15.6" x14ac:dyDescent="0.3">
      <c r="A78" s="1">
        <v>1941</v>
      </c>
      <c r="B78" s="24"/>
      <c r="C78" s="24"/>
      <c r="D78" s="24"/>
      <c r="E78" s="24"/>
    </row>
    <row r="79" spans="1:5" ht="15.6" x14ac:dyDescent="0.3">
      <c r="A79" s="1">
        <v>1942</v>
      </c>
      <c r="B79" s="24"/>
      <c r="C79" s="24"/>
      <c r="D79" s="24"/>
      <c r="E79" s="24"/>
    </row>
    <row r="80" spans="1:5" ht="15.6" x14ac:dyDescent="0.3">
      <c r="A80" s="1">
        <v>1943</v>
      </c>
      <c r="B80" s="24"/>
      <c r="C80" s="24"/>
      <c r="D80" s="24"/>
      <c r="E80" s="24"/>
    </row>
    <row r="81" spans="1:5" ht="15.6" x14ac:dyDescent="0.3">
      <c r="A81" s="1">
        <v>1944</v>
      </c>
      <c r="B81" s="24"/>
      <c r="C81" s="24"/>
      <c r="D81" s="24"/>
      <c r="E81" s="24"/>
    </row>
    <row r="82" spans="1:5" ht="15.6" x14ac:dyDescent="0.3">
      <c r="A82" s="1">
        <v>1945</v>
      </c>
      <c r="B82" s="24"/>
      <c r="C82" s="24"/>
      <c r="D82" s="24"/>
      <c r="E82" s="24"/>
    </row>
    <row r="83" spans="1:5" ht="15.6" x14ac:dyDescent="0.3">
      <c r="A83" s="1">
        <v>1946</v>
      </c>
      <c r="B83" s="24"/>
      <c r="C83" s="24"/>
      <c r="D83" s="24"/>
      <c r="E83" s="24"/>
    </row>
    <row r="84" spans="1:5" ht="15.6" x14ac:dyDescent="0.3">
      <c r="A84" s="1">
        <v>1947</v>
      </c>
      <c r="B84" s="24"/>
      <c r="C84" s="24"/>
      <c r="D84" s="24"/>
      <c r="E84" s="24"/>
    </row>
    <row r="85" spans="1:5" ht="15.6" x14ac:dyDescent="0.3">
      <c r="A85" s="1">
        <v>1948</v>
      </c>
      <c r="B85" s="24"/>
      <c r="C85" s="24"/>
      <c r="D85" s="24"/>
      <c r="E85" s="24"/>
    </row>
    <row r="86" spans="1:5" ht="15.6" x14ac:dyDescent="0.3">
      <c r="A86" s="1">
        <v>1949</v>
      </c>
      <c r="B86" s="24"/>
      <c r="C86" s="24"/>
      <c r="D86" s="24"/>
      <c r="E86" s="24"/>
    </row>
    <row r="87" spans="1:5" ht="15.6" x14ac:dyDescent="0.3">
      <c r="A87" s="1">
        <v>1950</v>
      </c>
      <c r="B87" s="24"/>
      <c r="C87" s="24"/>
      <c r="D87" s="24"/>
      <c r="E87" s="24"/>
    </row>
    <row r="88" spans="1:5" ht="15.6" x14ac:dyDescent="0.3">
      <c r="A88" s="1">
        <v>1951</v>
      </c>
      <c r="B88" s="24"/>
      <c r="C88" s="24"/>
      <c r="D88" s="24"/>
      <c r="E88" s="24"/>
    </row>
    <row r="89" spans="1:5" ht="15.6" x14ac:dyDescent="0.3">
      <c r="A89" s="1">
        <v>1952</v>
      </c>
      <c r="B89" s="24"/>
      <c r="C89" s="24"/>
      <c r="D89" s="24"/>
      <c r="E89" s="24"/>
    </row>
    <row r="90" spans="1:5" ht="15.6" x14ac:dyDescent="0.3">
      <c r="A90" s="1">
        <v>1953</v>
      </c>
      <c r="B90" s="24"/>
      <c r="C90" s="24"/>
      <c r="D90" s="24"/>
      <c r="E90" s="24"/>
    </row>
    <row r="91" spans="1:5" ht="15.6" x14ac:dyDescent="0.3">
      <c r="A91" s="1">
        <v>1954</v>
      </c>
      <c r="B91" s="24"/>
      <c r="C91" s="24"/>
      <c r="D91" s="24"/>
      <c r="E91" s="24"/>
    </row>
    <row r="92" spans="1:5" ht="15.6" x14ac:dyDescent="0.3">
      <c r="A92" s="1">
        <v>1955</v>
      </c>
      <c r="B92" s="24"/>
      <c r="C92" s="24"/>
      <c r="D92" s="24"/>
      <c r="E92" s="24"/>
    </row>
    <row r="93" spans="1:5" ht="15.6" x14ac:dyDescent="0.3">
      <c r="A93" s="1">
        <v>1956</v>
      </c>
      <c r="B93" s="24"/>
      <c r="C93" s="24"/>
      <c r="D93" s="24"/>
      <c r="E93" s="24"/>
    </row>
    <row r="94" spans="1:5" ht="15.6" x14ac:dyDescent="0.3">
      <c r="A94" s="1">
        <v>1957</v>
      </c>
      <c r="B94" s="24"/>
      <c r="C94" s="24"/>
      <c r="D94" s="24"/>
      <c r="E94" s="24"/>
    </row>
    <row r="95" spans="1:5" ht="15.6" x14ac:dyDescent="0.3">
      <c r="A95" s="1">
        <v>1958</v>
      </c>
      <c r="B95" s="24"/>
      <c r="C95" s="24"/>
      <c r="D95" s="24"/>
      <c r="E95" s="24"/>
    </row>
    <row r="96" spans="1:5" ht="15.6" x14ac:dyDescent="0.3">
      <c r="A96" s="1">
        <v>1959</v>
      </c>
      <c r="B96" s="24"/>
      <c r="C96" s="24"/>
      <c r="D96" s="24"/>
      <c r="E96" s="24"/>
    </row>
    <row r="97" spans="1:5" ht="15.6" x14ac:dyDescent="0.3">
      <c r="A97" s="1">
        <v>1960</v>
      </c>
      <c r="B97" s="24"/>
      <c r="C97" s="24"/>
      <c r="D97" s="24"/>
      <c r="E97" s="24"/>
    </row>
    <row r="98" spans="1:5" ht="15.6" x14ac:dyDescent="0.3">
      <c r="A98" s="1">
        <v>1961</v>
      </c>
      <c r="B98" s="24"/>
      <c r="C98" s="24"/>
      <c r="D98" s="24"/>
      <c r="E98" s="24"/>
    </row>
    <row r="99" spans="1:5" ht="15.6" x14ac:dyDescent="0.3">
      <c r="A99" s="1">
        <v>1962</v>
      </c>
      <c r="B99" s="24">
        <f>'T8.2'!$I$6</f>
        <v>6.5863768016615365E-2</v>
      </c>
      <c r="C99" s="24">
        <f>'T8.2'!$I$7</f>
        <v>3.881361759904018E-2</v>
      </c>
      <c r="D99" s="24">
        <f>'T8.2'!$I$8</f>
        <v>3.1339147541472857E-2</v>
      </c>
      <c r="E99" s="24">
        <f>SUM(B99:D99)</f>
        <v>0.13601653315712839</v>
      </c>
    </row>
    <row r="100" spans="1:5" ht="15.6" x14ac:dyDescent="0.3">
      <c r="A100" s="1">
        <v>1963</v>
      </c>
      <c r="B100" s="24"/>
      <c r="C100" s="24"/>
      <c r="D100" s="24"/>
      <c r="E100" s="24"/>
    </row>
    <row r="101" spans="1:5" ht="15.6" x14ac:dyDescent="0.3">
      <c r="A101" s="1">
        <v>1964</v>
      </c>
      <c r="B101" s="24"/>
      <c r="C101" s="24"/>
      <c r="D101" s="24"/>
      <c r="E101" s="24"/>
    </row>
    <row r="102" spans="1:5" ht="15.6" x14ac:dyDescent="0.3">
      <c r="A102" s="1">
        <v>1965</v>
      </c>
      <c r="B102" s="24"/>
      <c r="C102" s="24"/>
      <c r="D102" s="24"/>
      <c r="E102" s="24"/>
    </row>
    <row r="103" spans="1:5" ht="15.6" x14ac:dyDescent="0.3">
      <c r="A103" s="1">
        <v>1966</v>
      </c>
      <c r="B103" s="24"/>
      <c r="C103" s="24"/>
      <c r="D103" s="24"/>
      <c r="E103" s="24"/>
    </row>
    <row r="104" spans="1:5" ht="15.6" x14ac:dyDescent="0.3">
      <c r="A104" s="1">
        <v>1967</v>
      </c>
      <c r="B104" s="24">
        <f>'T8.2'!$J$6</f>
        <v>6.7037729538500831E-2</v>
      </c>
      <c r="C104" s="24">
        <f>'T8.2'!$J$7</f>
        <v>3.9970794279791957E-2</v>
      </c>
      <c r="D104" s="24">
        <f>'T8.2'!$J$8</f>
        <v>3.1032079474651694E-2</v>
      </c>
      <c r="E104" s="24">
        <f>SUM(B104:D104)</f>
        <v>0.13804060329294449</v>
      </c>
    </row>
    <row r="105" spans="1:5" ht="15.6" x14ac:dyDescent="0.3">
      <c r="A105" s="1">
        <v>1968</v>
      </c>
      <c r="B105" s="24"/>
      <c r="C105" s="24"/>
      <c r="D105" s="24"/>
      <c r="E105" s="24"/>
    </row>
    <row r="106" spans="1:5" ht="15.6" x14ac:dyDescent="0.3">
      <c r="A106" s="1">
        <v>1969</v>
      </c>
      <c r="B106" s="24"/>
      <c r="C106" s="24"/>
      <c r="D106" s="24"/>
      <c r="E106" s="24"/>
    </row>
    <row r="107" spans="1:5" ht="15.6" x14ac:dyDescent="0.3">
      <c r="A107" s="1">
        <v>1970</v>
      </c>
      <c r="B107" s="24"/>
      <c r="C107" s="24"/>
      <c r="D107" s="24"/>
      <c r="E107" s="24"/>
    </row>
    <row r="108" spans="1:5" ht="15.6" x14ac:dyDescent="0.3">
      <c r="A108" s="1">
        <v>1971</v>
      </c>
      <c r="B108" s="24">
        <f>'T8.2'!$K$6</f>
        <v>7.1347505343074991E-2</v>
      </c>
      <c r="C108" s="24">
        <f>'T8.2'!$K$7</f>
        <v>4.0870880016032105E-2</v>
      </c>
      <c r="D108" s="24">
        <f>'T8.2'!$K$8</f>
        <v>3.0217531294546782E-2</v>
      </c>
      <c r="E108" s="24">
        <f>SUM(B108:D108)</f>
        <v>0.14243591665365388</v>
      </c>
    </row>
    <row r="109" spans="1:5" ht="15.6" x14ac:dyDescent="0.3">
      <c r="A109" s="1">
        <v>1972</v>
      </c>
      <c r="B109" s="24"/>
      <c r="C109" s="24"/>
      <c r="D109" s="24"/>
      <c r="E109" s="24"/>
    </row>
    <row r="110" spans="1:5" ht="15.6" x14ac:dyDescent="0.3">
      <c r="A110" s="1">
        <v>1973</v>
      </c>
      <c r="B110" s="24"/>
      <c r="C110" s="24"/>
      <c r="D110" s="24"/>
      <c r="E110" s="24"/>
    </row>
    <row r="111" spans="1:5" ht="15.6" x14ac:dyDescent="0.3">
      <c r="A111" s="1">
        <v>1974</v>
      </c>
      <c r="B111" s="24"/>
      <c r="C111" s="24"/>
      <c r="D111" s="24"/>
      <c r="E111" s="24"/>
    </row>
    <row r="112" spans="1:5" ht="15.6" x14ac:dyDescent="0.3">
      <c r="A112" s="1">
        <v>1975</v>
      </c>
      <c r="B112" s="24"/>
      <c r="C112" s="24"/>
      <c r="D112" s="24"/>
      <c r="E112" s="24"/>
    </row>
    <row r="113" spans="1:5" ht="15.6" x14ac:dyDescent="0.3">
      <c r="A113" s="1">
        <v>1976</v>
      </c>
      <c r="B113" s="24"/>
      <c r="C113" s="24"/>
      <c r="D113" s="24"/>
      <c r="E113" s="24"/>
    </row>
    <row r="114" spans="1:5" ht="15.6" x14ac:dyDescent="0.3">
      <c r="A114" s="1">
        <v>1977</v>
      </c>
      <c r="B114" s="24">
        <f>'T8.2'!$L$6</f>
        <v>6.5407239766404501E-2</v>
      </c>
      <c r="C114" s="24">
        <f>'T8.2'!$L$7</f>
        <v>4.1896839939895604E-2</v>
      </c>
      <c r="D114" s="24">
        <f>'T8.2'!$L$8</f>
        <v>3.0189890926963361E-2</v>
      </c>
      <c r="E114" s="24">
        <f>SUM(B114:D114)</f>
        <v>0.13749397063326346</v>
      </c>
    </row>
    <row r="115" spans="1:5" ht="15.6" x14ac:dyDescent="0.3">
      <c r="A115" s="1">
        <v>1978</v>
      </c>
      <c r="B115" s="24"/>
      <c r="C115" s="24"/>
      <c r="D115" s="24"/>
      <c r="E115" s="24"/>
    </row>
    <row r="116" spans="1:5" ht="15.6" x14ac:dyDescent="0.3">
      <c r="A116" s="1">
        <v>1979</v>
      </c>
      <c r="B116" s="24"/>
      <c r="C116" s="24"/>
      <c r="D116" s="24"/>
      <c r="E116" s="24"/>
    </row>
    <row r="117" spans="1:5" ht="15.6" x14ac:dyDescent="0.3">
      <c r="A117" s="1">
        <v>1980</v>
      </c>
      <c r="B117" s="24"/>
      <c r="C117" s="24"/>
      <c r="D117" s="24"/>
      <c r="E117" s="24"/>
    </row>
    <row r="118" spans="1:5" ht="15.6" x14ac:dyDescent="0.3">
      <c r="A118" s="1">
        <v>1981</v>
      </c>
      <c r="B118" s="24"/>
      <c r="C118" s="24"/>
      <c r="D118" s="24"/>
      <c r="E118" s="24"/>
    </row>
    <row r="119" spans="1:5" ht="15.6" x14ac:dyDescent="0.3">
      <c r="A119" s="1">
        <v>1982</v>
      </c>
      <c r="B119" s="24"/>
      <c r="C119" s="24"/>
      <c r="D119" s="24"/>
      <c r="E119" s="24"/>
    </row>
    <row r="120" spans="1:5" ht="15.6" x14ac:dyDescent="0.3">
      <c r="A120" s="1">
        <v>1983</v>
      </c>
      <c r="B120" s="24"/>
      <c r="C120" s="24"/>
      <c r="D120" s="24"/>
      <c r="E120" s="24"/>
    </row>
    <row r="121" spans="1:5" ht="15.6" x14ac:dyDescent="0.3">
      <c r="A121" s="1">
        <v>1984</v>
      </c>
      <c r="B121" s="24">
        <f>(B114+B133)/2</f>
        <v>6.0782941767432853E-2</v>
      </c>
      <c r="C121" s="24">
        <f t="shared" ref="C121:D121" si="0">(C114+C133)/2</f>
        <v>4.1010919691049211E-2</v>
      </c>
      <c r="D121" s="24">
        <f t="shared" si="0"/>
        <v>3.0897706586466907E-2</v>
      </c>
      <c r="E121" s="24">
        <f>SUM(B121:D121)</f>
        <v>0.13269156804494897</v>
      </c>
    </row>
    <row r="122" spans="1:5" ht="15.6" x14ac:dyDescent="0.3">
      <c r="A122" s="1">
        <v>1985</v>
      </c>
      <c r="B122" s="24"/>
      <c r="C122" s="24"/>
      <c r="D122" s="24"/>
      <c r="E122" s="24"/>
    </row>
    <row r="123" spans="1:5" ht="15.6" x14ac:dyDescent="0.3">
      <c r="A123" s="1">
        <v>1986</v>
      </c>
      <c r="B123" s="24"/>
      <c r="C123" s="24"/>
      <c r="D123" s="24"/>
      <c r="E123" s="24"/>
    </row>
    <row r="124" spans="1:5" ht="15.6" x14ac:dyDescent="0.3">
      <c r="A124" s="1">
        <v>1987</v>
      </c>
      <c r="B124" s="24"/>
      <c r="C124" s="24"/>
      <c r="D124" s="24"/>
      <c r="E124" s="24"/>
    </row>
    <row r="125" spans="1:5" ht="15.6" x14ac:dyDescent="0.3">
      <c r="A125" s="1">
        <v>1988</v>
      </c>
      <c r="B125" s="24"/>
      <c r="C125" s="24"/>
      <c r="D125" s="24"/>
      <c r="E125" s="24"/>
    </row>
    <row r="126" spans="1:5" ht="15.6" x14ac:dyDescent="0.3">
      <c r="A126" s="1">
        <v>1989</v>
      </c>
      <c r="B126" s="24"/>
      <c r="C126" s="24"/>
      <c r="D126" s="24"/>
      <c r="E126" s="24"/>
    </row>
    <row r="127" spans="1:5" ht="15.6" x14ac:dyDescent="0.3">
      <c r="A127" s="1">
        <v>1990</v>
      </c>
      <c r="B127" s="24"/>
      <c r="C127" s="24"/>
      <c r="D127" s="24"/>
      <c r="E127" s="24"/>
    </row>
    <row r="128" spans="1:5" ht="15.6" x14ac:dyDescent="0.3">
      <c r="A128" s="1">
        <v>1991</v>
      </c>
      <c r="B128" s="24"/>
      <c r="C128" s="24"/>
      <c r="D128" s="24"/>
      <c r="E128" s="24"/>
    </row>
    <row r="129" spans="1:5" ht="15.6" x14ac:dyDescent="0.3">
      <c r="A129" s="1">
        <v>1992</v>
      </c>
      <c r="B129" s="24"/>
      <c r="C129" s="24"/>
      <c r="D129" s="24"/>
      <c r="E129" s="24"/>
    </row>
    <row r="130" spans="1:5" ht="15.6" x14ac:dyDescent="0.3">
      <c r="A130" s="1">
        <v>1993</v>
      </c>
      <c r="B130" s="24"/>
      <c r="C130" s="24"/>
      <c r="D130" s="24"/>
      <c r="E130" s="24"/>
    </row>
    <row r="131" spans="1:5" ht="15.6" x14ac:dyDescent="0.3">
      <c r="A131" s="1">
        <v>1994</v>
      </c>
      <c r="B131" s="24"/>
      <c r="C131" s="24"/>
      <c r="D131" s="24"/>
      <c r="E131" s="24"/>
    </row>
    <row r="132" spans="1:5" ht="15.6" x14ac:dyDescent="0.3">
      <c r="A132" s="1">
        <v>1995</v>
      </c>
      <c r="B132" s="24"/>
      <c r="C132" s="24"/>
      <c r="D132" s="24"/>
      <c r="E132" s="24"/>
    </row>
    <row r="133" spans="1:5" ht="15.6" x14ac:dyDescent="0.3">
      <c r="A133" s="1">
        <v>1996</v>
      </c>
      <c r="B133" s="24">
        <f>'T8.2'!$M$6</f>
        <v>5.6158643768461206E-2</v>
      </c>
      <c r="C133" s="24">
        <f>'T8.2'!$M$7</f>
        <v>4.0124999442202824E-2</v>
      </c>
      <c r="D133" s="24">
        <f>'T8.2'!$M$8</f>
        <v>3.1605522245970449E-2</v>
      </c>
      <c r="E133" s="24">
        <f>SUM(B133:D133)</f>
        <v>0.12788916545663448</v>
      </c>
    </row>
    <row r="134" spans="1:5" ht="15.6" x14ac:dyDescent="0.3">
      <c r="A134" s="1">
        <v>1997</v>
      </c>
      <c r="B134" s="24"/>
      <c r="C134" s="24"/>
      <c r="D134" s="24"/>
      <c r="E134" s="24"/>
    </row>
    <row r="135" spans="1:5" ht="15.6" x14ac:dyDescent="0.3">
      <c r="A135" s="1">
        <v>1998</v>
      </c>
      <c r="B135" s="24"/>
      <c r="C135" s="24"/>
      <c r="D135" s="24"/>
      <c r="E135" s="24"/>
    </row>
    <row r="136" spans="1:5" ht="15.6" x14ac:dyDescent="0.3">
      <c r="A136" s="1">
        <v>1999</v>
      </c>
      <c r="B136" s="24">
        <f>'T8.2'!$N$6</f>
        <v>6.1279004234779708E-2</v>
      </c>
      <c r="C136" s="24">
        <f>'T8.2'!$N$7</f>
        <v>4.1965487441896994E-2</v>
      </c>
      <c r="D136" s="24">
        <f>'T8.2'!$N$8</f>
        <v>3.3384339060734382E-2</v>
      </c>
      <c r="E136" s="24">
        <f>SUM(B136:D136)</f>
        <v>0.13662883073741108</v>
      </c>
    </row>
    <row r="137" spans="1:5" ht="15.6" x14ac:dyDescent="0.3">
      <c r="A137" s="1">
        <v>2000</v>
      </c>
      <c r="B137" s="24"/>
      <c r="C137" s="24"/>
      <c r="D137" s="24"/>
      <c r="E137" s="24"/>
    </row>
    <row r="138" spans="1:5" ht="15.6" x14ac:dyDescent="0.3">
      <c r="A138" s="1">
        <v>2001</v>
      </c>
      <c r="B138" s="24"/>
      <c r="C138" s="24"/>
      <c r="D138" s="24"/>
      <c r="E138" s="24"/>
    </row>
    <row r="139" spans="1:5" ht="15.6" x14ac:dyDescent="0.3">
      <c r="A139" s="1">
        <v>2002</v>
      </c>
      <c r="B139" s="24"/>
      <c r="C139" s="24"/>
      <c r="D139" s="24"/>
      <c r="E139" s="24"/>
    </row>
    <row r="140" spans="1:5" ht="15.6" x14ac:dyDescent="0.3">
      <c r="A140" s="1">
        <v>2003</v>
      </c>
      <c r="B140" s="24"/>
      <c r="C140" s="24"/>
      <c r="D140" s="24"/>
      <c r="E140" s="24"/>
    </row>
    <row r="141" spans="1:5" ht="15.6" x14ac:dyDescent="0.3">
      <c r="A141" s="1">
        <v>2004</v>
      </c>
      <c r="B141" s="24">
        <f>'T8.2'!$O$6</f>
        <v>6.113851245700936E-2</v>
      </c>
      <c r="C141" s="24">
        <f>'T8.2'!$O$7</f>
        <v>4.69138543643026E-2</v>
      </c>
      <c r="D141" s="24">
        <f>'T8.2'!$O$8</f>
        <v>2.9189671073724728E-2</v>
      </c>
      <c r="E141" s="24">
        <f>SUM(B141:D141)</f>
        <v>0.13724203789503669</v>
      </c>
    </row>
    <row r="142" spans="1:5" ht="15.6" x14ac:dyDescent="0.3">
      <c r="A142" s="1">
        <v>2005</v>
      </c>
      <c r="B142" s="24"/>
      <c r="C142" s="24"/>
      <c r="D142" s="24"/>
      <c r="E142" s="24"/>
    </row>
    <row r="143" spans="1:5" ht="15.6" x14ac:dyDescent="0.3">
      <c r="A143" s="1">
        <v>2006</v>
      </c>
      <c r="B143" s="24"/>
      <c r="C143" s="24"/>
      <c r="D143" s="24"/>
      <c r="E143" s="24"/>
    </row>
    <row r="144" spans="1:5" ht="15.6" x14ac:dyDescent="0.3">
      <c r="A144" s="1">
        <v>2007</v>
      </c>
      <c r="B144" s="24"/>
      <c r="C144" s="24"/>
      <c r="D144" s="24"/>
      <c r="E144" s="24"/>
    </row>
    <row r="145" spans="1:5" ht="15.6" x14ac:dyDescent="0.3">
      <c r="A145" s="1">
        <v>2008</v>
      </c>
      <c r="B145" s="24"/>
      <c r="C145" s="24"/>
      <c r="D145" s="24"/>
      <c r="E145" s="24"/>
    </row>
    <row r="146" spans="1:5" ht="15.6" x14ac:dyDescent="0.3">
      <c r="A146" s="1">
        <v>2009</v>
      </c>
      <c r="B146" s="24">
        <f>'T8.2'!$P$6</f>
        <v>5.7292817839012938E-2</v>
      </c>
      <c r="C146" s="24">
        <f>'T8.2'!$P$7</f>
        <v>4.6271394433473001E-2</v>
      </c>
      <c r="D146" s="24">
        <f>'T8.2'!$P$8</f>
        <v>2.5330242213917328E-2</v>
      </c>
      <c r="E146" s="24">
        <f>SUM(B146:D146)</f>
        <v>0.12889445448640327</v>
      </c>
    </row>
    <row r="147" spans="1:5" ht="15.6" x14ac:dyDescent="0.3">
      <c r="A147" s="1">
        <v>2010</v>
      </c>
      <c r="B147" s="24"/>
      <c r="C147" s="24"/>
      <c r="D147" s="24"/>
      <c r="E147" s="24"/>
    </row>
    <row r="148" spans="1:5" ht="15.6" x14ac:dyDescent="0.3">
      <c r="A148" s="1">
        <v>2011</v>
      </c>
      <c r="B148" s="24"/>
      <c r="C148" s="24"/>
      <c r="D148" s="24"/>
      <c r="E148" s="24"/>
    </row>
    <row r="149" spans="1:5" ht="15.6" x14ac:dyDescent="0.3">
      <c r="A149" s="1">
        <v>2012</v>
      </c>
      <c r="B149" s="24"/>
      <c r="C149" s="24"/>
      <c r="D149" s="24"/>
      <c r="E149" s="24"/>
    </row>
    <row r="150" spans="1:5" ht="15.6" x14ac:dyDescent="0.3">
      <c r="A150" s="1">
        <v>2013</v>
      </c>
      <c r="B150" s="24"/>
      <c r="C150" s="24"/>
      <c r="D150" s="24"/>
      <c r="E150" s="24"/>
    </row>
    <row r="151" spans="1:5" ht="15.6" x14ac:dyDescent="0.3">
      <c r="A151" s="1">
        <v>2014</v>
      </c>
      <c r="B151" s="24">
        <f>'T8.2'!$Q$6</f>
        <v>6.2418695669032367E-2</v>
      </c>
      <c r="C151" s="24">
        <f>'T8.2'!$Q$7</f>
        <v>4.805259948307658E-2</v>
      </c>
      <c r="D151" s="24">
        <f>'T8.2'!$Q$8</f>
        <v>3.0024048721462828E-2</v>
      </c>
      <c r="E151" s="24">
        <f>SUM(B151:D151)</f>
        <v>0.14049534387357177</v>
      </c>
    </row>
    <row r="152" spans="1:5" ht="15.6" x14ac:dyDescent="0.3">
      <c r="A152" s="1">
        <v>2015</v>
      </c>
      <c r="B152" s="24"/>
      <c r="C152" s="24"/>
      <c r="D152" s="24"/>
      <c r="E152" s="24"/>
    </row>
    <row r="153" spans="1:5" ht="15.6" x14ac:dyDescent="0.3">
      <c r="B153" s="24"/>
      <c r="C153" s="24"/>
      <c r="D153" s="24"/>
      <c r="E153" s="24"/>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workbookViewId="0"/>
  </sheetViews>
  <sheetFormatPr baseColWidth="10" defaultRowHeight="14.4" x14ac:dyDescent="0.3"/>
  <cols>
    <col min="2" max="5" width="12.77734375" customWidth="1"/>
  </cols>
  <sheetData>
    <row r="1" spans="1:6" ht="15.6" x14ac:dyDescent="0.3">
      <c r="A1" s="19" t="s">
        <v>418</v>
      </c>
    </row>
    <row r="2" spans="1:6" ht="15.6" x14ac:dyDescent="0.3">
      <c r="A2" s="1" t="s">
        <v>301</v>
      </c>
    </row>
    <row r="3" spans="1:6" ht="15.6" x14ac:dyDescent="0.3">
      <c r="A3" s="19" t="s">
        <v>450</v>
      </c>
    </row>
    <row r="5" spans="1:6" ht="15.6" x14ac:dyDescent="0.3">
      <c r="A5" s="1"/>
      <c r="B5" s="1"/>
      <c r="C5" s="1"/>
      <c r="D5" s="1"/>
      <c r="E5" s="1"/>
    </row>
    <row r="6" spans="1:6" ht="48.45" customHeight="1" x14ac:dyDescent="0.3">
      <c r="A6" s="1" t="s">
        <v>402</v>
      </c>
      <c r="B6" s="120" t="s">
        <v>413</v>
      </c>
      <c r="C6" s="120" t="s">
        <v>414</v>
      </c>
      <c r="D6" s="120" t="s">
        <v>415</v>
      </c>
      <c r="E6" s="120" t="s">
        <v>416</v>
      </c>
      <c r="F6" s="120" t="s">
        <v>417</v>
      </c>
    </row>
    <row r="7" spans="1:6" ht="15.6" x14ac:dyDescent="0.3">
      <c r="A7" s="1">
        <v>1950</v>
      </c>
      <c r="B7" s="24"/>
      <c r="C7" s="24"/>
      <c r="D7" s="24"/>
      <c r="E7" s="24"/>
    </row>
    <row r="8" spans="1:6" ht="15.6" x14ac:dyDescent="0.3">
      <c r="A8" s="1">
        <v>1951</v>
      </c>
      <c r="B8" s="24">
        <f>DataG8.6Details!L$19</f>
        <v>6.2300000000000001E-2</v>
      </c>
      <c r="C8" s="24">
        <f>DataG8.6Details!M$19</f>
        <v>0.14699999999999999</v>
      </c>
      <c r="D8" s="24">
        <f>B8+C8</f>
        <v>0.20929999999999999</v>
      </c>
      <c r="E8" s="24"/>
    </row>
    <row r="9" spans="1:6" ht="15.6" x14ac:dyDescent="0.3">
      <c r="A9" s="1">
        <v>1952</v>
      </c>
      <c r="B9" s="24"/>
      <c r="C9" s="24"/>
      <c r="D9" s="24"/>
      <c r="E9" s="24"/>
    </row>
    <row r="10" spans="1:6" ht="15.6" x14ac:dyDescent="0.3">
      <c r="A10" s="1">
        <v>1953</v>
      </c>
      <c r="B10" s="24"/>
      <c r="C10" s="24"/>
      <c r="D10" s="24"/>
      <c r="E10" s="24"/>
    </row>
    <row r="11" spans="1:6" ht="15.6" x14ac:dyDescent="0.3">
      <c r="A11" s="1">
        <v>1954</v>
      </c>
      <c r="B11" s="24"/>
      <c r="C11" s="24"/>
      <c r="D11" s="24"/>
      <c r="E11" s="24"/>
    </row>
    <row r="12" spans="1:6" ht="15.6" x14ac:dyDescent="0.3">
      <c r="A12" s="1">
        <v>1955</v>
      </c>
      <c r="B12" s="24"/>
      <c r="C12" s="24"/>
      <c r="D12" s="24"/>
      <c r="E12" s="24"/>
    </row>
    <row r="13" spans="1:6" ht="15.6" x14ac:dyDescent="0.3">
      <c r="A13" s="1">
        <v>1956</v>
      </c>
      <c r="B13" s="24"/>
      <c r="C13" s="24"/>
      <c r="D13" s="24"/>
      <c r="E13" s="24"/>
    </row>
    <row r="14" spans="1:6" ht="15.6" x14ac:dyDescent="0.3">
      <c r="A14" s="1">
        <v>1957</v>
      </c>
      <c r="B14" s="24"/>
      <c r="C14" s="24"/>
      <c r="D14" s="24"/>
      <c r="E14" s="24"/>
    </row>
    <row r="15" spans="1:6" ht="15.6" x14ac:dyDescent="0.3">
      <c r="A15" s="1">
        <v>1958</v>
      </c>
      <c r="B15" s="24"/>
      <c r="C15" s="24"/>
      <c r="D15" s="24"/>
      <c r="E15" s="24"/>
    </row>
    <row r="16" spans="1:6" ht="15.6" x14ac:dyDescent="0.3">
      <c r="A16" s="1">
        <v>1959</v>
      </c>
      <c r="B16" s="24"/>
      <c r="C16" s="24"/>
      <c r="D16" s="24"/>
      <c r="E16" s="24"/>
    </row>
    <row r="17" spans="1:5" ht="15.6" x14ac:dyDescent="0.3">
      <c r="A17" s="1">
        <v>1960</v>
      </c>
      <c r="B17" s="24"/>
      <c r="C17" s="24"/>
      <c r="D17" s="24"/>
      <c r="E17" s="24"/>
    </row>
    <row r="18" spans="1:5" ht="15.6" x14ac:dyDescent="0.3">
      <c r="A18" s="1">
        <v>1961</v>
      </c>
      <c r="B18" s="24">
        <f>DataG8.6Details!L$20</f>
        <v>6.9000000000000006E-2</v>
      </c>
      <c r="C18" s="24">
        <f>DataG8.6Details!M$20</f>
        <v>0.14699999999999999</v>
      </c>
      <c r="D18" s="24">
        <f>B18+C18</f>
        <v>0.216</v>
      </c>
      <c r="E18" s="24"/>
    </row>
    <row r="19" spans="1:5" ht="15.6" x14ac:dyDescent="0.3">
      <c r="A19" s="1">
        <v>1962</v>
      </c>
      <c r="B19" s="24"/>
      <c r="C19" s="24"/>
      <c r="D19" s="24"/>
      <c r="E19" s="24"/>
    </row>
    <row r="20" spans="1:5" ht="15.6" x14ac:dyDescent="0.3">
      <c r="A20" s="1">
        <v>1963</v>
      </c>
      <c r="B20" s="24"/>
      <c r="C20" s="24"/>
      <c r="D20" s="24"/>
      <c r="E20" s="24"/>
    </row>
    <row r="21" spans="1:5" ht="15.6" x14ac:dyDescent="0.3">
      <c r="A21" s="1">
        <v>1964</v>
      </c>
      <c r="B21" s="24"/>
      <c r="C21" s="24"/>
      <c r="D21" s="24"/>
      <c r="E21" s="24"/>
    </row>
    <row r="22" spans="1:5" ht="15.6" x14ac:dyDescent="0.3">
      <c r="A22" s="1">
        <v>1965</v>
      </c>
      <c r="B22" s="24"/>
      <c r="C22" s="24"/>
      <c r="D22" s="24"/>
      <c r="E22" s="24"/>
    </row>
    <row r="23" spans="1:5" ht="15.6" x14ac:dyDescent="0.3">
      <c r="A23" s="1">
        <v>1966</v>
      </c>
      <c r="B23" s="24"/>
      <c r="C23" s="24"/>
      <c r="D23" s="24"/>
      <c r="E23" s="24"/>
    </row>
    <row r="24" spans="1:5" ht="15.6" x14ac:dyDescent="0.3">
      <c r="A24" s="1">
        <v>1967</v>
      </c>
      <c r="B24" s="24"/>
      <c r="C24" s="24"/>
      <c r="D24" s="24"/>
      <c r="E24" s="24"/>
    </row>
    <row r="25" spans="1:5" ht="15.6" x14ac:dyDescent="0.3">
      <c r="A25" s="1">
        <v>1968</v>
      </c>
      <c r="B25" s="24"/>
      <c r="C25" s="24"/>
      <c r="D25" s="24"/>
      <c r="E25" s="24"/>
    </row>
    <row r="26" spans="1:5" ht="15.6" x14ac:dyDescent="0.3">
      <c r="A26" s="1">
        <v>1969</v>
      </c>
      <c r="B26" s="24"/>
      <c r="C26" s="24"/>
      <c r="D26" s="24"/>
      <c r="E26" s="24"/>
    </row>
    <row r="27" spans="1:5" ht="15.6" x14ac:dyDescent="0.3">
      <c r="A27" s="1">
        <v>1970</v>
      </c>
      <c r="B27" s="24"/>
      <c r="C27" s="24"/>
      <c r="D27" s="24"/>
      <c r="E27" s="24"/>
    </row>
    <row r="28" spans="1:5" ht="15.6" x14ac:dyDescent="0.3">
      <c r="A28" s="1">
        <v>1971</v>
      </c>
      <c r="B28" s="24">
        <f>DataG8.6Details!L$21</f>
        <v>6.9000000000000006E-2</v>
      </c>
      <c r="C28" s="24">
        <f>DataG8.6Details!M$21</f>
        <v>0.14599999999999999</v>
      </c>
      <c r="D28" s="24">
        <f>B28+C28</f>
        <v>0.215</v>
      </c>
      <c r="E28" s="24"/>
    </row>
    <row r="29" spans="1:5" ht="15.6" x14ac:dyDescent="0.3">
      <c r="A29" s="1">
        <v>1972</v>
      </c>
      <c r="B29" s="24"/>
      <c r="C29" s="24"/>
      <c r="D29" s="24"/>
      <c r="E29" s="24"/>
    </row>
    <row r="30" spans="1:5" ht="15.6" x14ac:dyDescent="0.3">
      <c r="A30" s="1">
        <v>1973</v>
      </c>
      <c r="B30" s="24"/>
      <c r="C30" s="24"/>
      <c r="D30" s="24"/>
      <c r="E30" s="24"/>
    </row>
    <row r="31" spans="1:5" ht="15.6" x14ac:dyDescent="0.3">
      <c r="A31" s="1">
        <v>1974</v>
      </c>
      <c r="B31" s="24"/>
      <c r="C31" s="24"/>
      <c r="D31" s="24"/>
      <c r="E31" s="24"/>
    </row>
    <row r="32" spans="1:5" ht="15.6" x14ac:dyDescent="0.3">
      <c r="A32" s="1">
        <v>1975</v>
      </c>
      <c r="B32" s="24"/>
      <c r="C32" s="24"/>
      <c r="D32" s="24"/>
      <c r="E32" s="24"/>
    </row>
    <row r="33" spans="1:6" ht="15.6" x14ac:dyDescent="0.3">
      <c r="A33" s="1">
        <v>1976</v>
      </c>
      <c r="B33" s="24"/>
      <c r="C33" s="24"/>
      <c r="D33" s="24"/>
      <c r="E33" s="24"/>
    </row>
    <row r="34" spans="1:6" ht="15.6" x14ac:dyDescent="0.3">
      <c r="A34" s="1">
        <v>1977</v>
      </c>
      <c r="B34" s="24"/>
      <c r="C34" s="24"/>
      <c r="D34" s="24"/>
      <c r="E34" s="24"/>
    </row>
    <row r="35" spans="1:6" ht="15.6" x14ac:dyDescent="0.3">
      <c r="A35" s="1">
        <v>1978</v>
      </c>
      <c r="B35" s="24"/>
      <c r="C35" s="24"/>
      <c r="D35" s="24"/>
      <c r="E35" s="24"/>
    </row>
    <row r="36" spans="1:6" ht="15.6" x14ac:dyDescent="0.3">
      <c r="A36" s="1">
        <v>1979</v>
      </c>
      <c r="B36" s="24"/>
      <c r="C36" s="24"/>
      <c r="D36" s="24"/>
      <c r="E36" s="24"/>
    </row>
    <row r="37" spans="1:6" ht="15.6" x14ac:dyDescent="0.3">
      <c r="A37" s="1">
        <v>1980</v>
      </c>
      <c r="B37" s="24"/>
      <c r="C37" s="24"/>
      <c r="D37" s="24"/>
      <c r="E37" s="24"/>
    </row>
    <row r="38" spans="1:6" ht="15.6" x14ac:dyDescent="0.3">
      <c r="A38" s="1">
        <v>1981</v>
      </c>
      <c r="B38" s="24">
        <f>DataG8.6Details!L$22</f>
        <v>7.8E-2</v>
      </c>
      <c r="C38" s="24">
        <f>DataG8.6Details!M$22</f>
        <v>0.157</v>
      </c>
      <c r="D38" s="24">
        <f>B38+C38</f>
        <v>0.23499999999999999</v>
      </c>
      <c r="E38" s="24">
        <v>0.35</v>
      </c>
      <c r="F38" s="122">
        <f>D38+E38</f>
        <v>0.58499999999999996</v>
      </c>
    </row>
    <row r="39" spans="1:6" ht="15.6" x14ac:dyDescent="0.3">
      <c r="A39" s="1">
        <v>1982</v>
      </c>
      <c r="B39" s="24"/>
      <c r="C39" s="24"/>
      <c r="D39" s="24"/>
      <c r="E39" s="24"/>
    </row>
    <row r="40" spans="1:6" ht="15.6" x14ac:dyDescent="0.3">
      <c r="A40" s="1">
        <v>1983</v>
      </c>
      <c r="B40" s="24">
        <f>DataG8.6Details!D$9</f>
        <v>7.8E-2</v>
      </c>
      <c r="C40" s="24">
        <f>DataG8.6Details!E$9</f>
        <v>0.157</v>
      </c>
      <c r="D40" s="24">
        <f>B40+C40</f>
        <v>0.23499999999999999</v>
      </c>
      <c r="E40" s="24"/>
    </row>
    <row r="41" spans="1:6" ht="15.6" x14ac:dyDescent="0.3">
      <c r="A41" s="1">
        <v>1984</v>
      </c>
      <c r="B41" s="24"/>
      <c r="C41" s="24"/>
      <c r="D41" s="24"/>
      <c r="E41" s="24"/>
    </row>
    <row r="42" spans="1:6" ht="15.6" x14ac:dyDescent="0.3">
      <c r="A42" s="1">
        <v>1985</v>
      </c>
      <c r="B42" s="24"/>
      <c r="C42" s="24"/>
      <c r="D42" s="24"/>
      <c r="E42" s="24"/>
    </row>
    <row r="43" spans="1:6" ht="15.6" x14ac:dyDescent="0.3">
      <c r="A43" s="1">
        <v>1986</v>
      </c>
      <c r="B43" s="24"/>
      <c r="C43" s="24"/>
      <c r="D43" s="24"/>
      <c r="E43" s="24"/>
    </row>
    <row r="44" spans="1:6" ht="15.6" x14ac:dyDescent="0.3">
      <c r="A44" s="1">
        <v>1987</v>
      </c>
      <c r="B44" s="24">
        <f>DataG8.6Details!D$10</f>
        <v>7.9500000000000001E-2</v>
      </c>
      <c r="C44" s="24">
        <f>DataG8.6Details!E$10</f>
        <v>0.161</v>
      </c>
      <c r="D44" s="24">
        <f>B44+C44</f>
        <v>0.24049999999999999</v>
      </c>
      <c r="E44" s="24"/>
    </row>
    <row r="45" spans="1:6" ht="15.6" x14ac:dyDescent="0.3">
      <c r="A45" s="1">
        <v>1988</v>
      </c>
      <c r="B45" s="24"/>
      <c r="C45" s="24"/>
      <c r="D45" s="24"/>
      <c r="E45" s="24"/>
    </row>
    <row r="46" spans="1:6" ht="15.6" x14ac:dyDescent="0.3">
      <c r="A46" s="1">
        <v>1989</v>
      </c>
      <c r="B46" s="24"/>
      <c r="C46" s="24"/>
      <c r="D46" s="24"/>
      <c r="E46" s="24"/>
    </row>
    <row r="47" spans="1:6" ht="15.6" x14ac:dyDescent="0.3">
      <c r="A47" s="1">
        <v>1990</v>
      </c>
      <c r="B47" s="24"/>
      <c r="C47" s="24"/>
      <c r="D47" s="24"/>
      <c r="E47" s="24"/>
    </row>
    <row r="48" spans="1:6" ht="15.6" x14ac:dyDescent="0.3">
      <c r="A48" s="1">
        <v>1991</v>
      </c>
      <c r="B48" s="24">
        <f>DataG8.6Details!L$23</f>
        <v>8.1000000000000003E-2</v>
      </c>
      <c r="C48" s="24">
        <f>DataG8.6Details!M$23</f>
        <v>0.16500000000000001</v>
      </c>
      <c r="D48" s="24">
        <f>B48+C48</f>
        <v>0.246</v>
      </c>
      <c r="E48" s="24">
        <v>0.35</v>
      </c>
      <c r="F48" s="122">
        <f>D48+E48</f>
        <v>0.59599999999999997</v>
      </c>
    </row>
    <row r="49" spans="1:6" ht="15.6" x14ac:dyDescent="0.3">
      <c r="A49" s="1">
        <v>1992</v>
      </c>
      <c r="B49" s="24"/>
      <c r="C49" s="24"/>
      <c r="D49" s="24"/>
      <c r="E49" s="24"/>
    </row>
    <row r="50" spans="1:6" ht="15.6" x14ac:dyDescent="0.3">
      <c r="A50" s="1">
        <v>1993</v>
      </c>
      <c r="B50" s="24">
        <f>DataG8.6Details!D$11</f>
        <v>8.1000000000000003E-2</v>
      </c>
      <c r="C50" s="24">
        <f>DataG8.6Details!E$11</f>
        <v>0.16500000000000001</v>
      </c>
      <c r="D50" s="24">
        <f>B50+C50</f>
        <v>0.246</v>
      </c>
      <c r="E50" s="24"/>
    </row>
    <row r="51" spans="1:6" ht="15.6" x14ac:dyDescent="0.3">
      <c r="A51" s="1">
        <v>1994</v>
      </c>
      <c r="B51" s="24"/>
      <c r="C51" s="24"/>
      <c r="D51" s="24"/>
      <c r="E51" s="24"/>
    </row>
    <row r="52" spans="1:6" ht="15.6" x14ac:dyDescent="0.3">
      <c r="A52" s="1">
        <v>1995</v>
      </c>
      <c r="B52" s="24"/>
      <c r="C52" s="24"/>
      <c r="D52" s="24"/>
      <c r="E52" s="24"/>
    </row>
    <row r="53" spans="1:6" ht="15.6" x14ac:dyDescent="0.3">
      <c r="A53" s="1">
        <v>1996</v>
      </c>
      <c r="B53" s="24"/>
      <c r="C53" s="24"/>
      <c r="D53" s="24"/>
      <c r="E53" s="24"/>
    </row>
    <row r="54" spans="1:6" ht="15.6" x14ac:dyDescent="0.3">
      <c r="A54" s="1">
        <v>1997</v>
      </c>
      <c r="B54" s="24"/>
      <c r="C54" s="24"/>
      <c r="D54" s="24"/>
      <c r="E54" s="24"/>
    </row>
    <row r="55" spans="1:6" ht="15.6" x14ac:dyDescent="0.3">
      <c r="A55" s="1">
        <v>1998</v>
      </c>
      <c r="B55" s="24"/>
      <c r="C55" s="24"/>
      <c r="D55" s="24"/>
      <c r="E55" s="24"/>
    </row>
    <row r="56" spans="1:6" ht="15.6" x14ac:dyDescent="0.3">
      <c r="A56" s="1">
        <v>1999</v>
      </c>
      <c r="B56" s="24">
        <f>DataG8.6Details!D$12</f>
        <v>8.1499999999999989E-2</v>
      </c>
      <c r="C56" s="24">
        <f>DataG8.6Details!E$12</f>
        <v>0.16350000000000001</v>
      </c>
      <c r="D56" s="24">
        <f>B56+C56</f>
        <v>0.245</v>
      </c>
      <c r="E56" s="24">
        <v>0.35730000000000001</v>
      </c>
      <c r="F56" s="122">
        <f>D56+E56</f>
        <v>0.60230000000000006</v>
      </c>
    </row>
    <row r="57" spans="1:6" ht="15.6" x14ac:dyDescent="0.3">
      <c r="A57" s="1">
        <v>2000</v>
      </c>
      <c r="B57" s="24"/>
      <c r="C57" s="24"/>
      <c r="D57" s="24"/>
      <c r="E57" s="24"/>
    </row>
    <row r="58" spans="1:6" ht="15.6" x14ac:dyDescent="0.3">
      <c r="A58" s="1">
        <v>2001</v>
      </c>
      <c r="B58" s="24">
        <f>DataG8.6Details!L$24</f>
        <v>8.199999999999999E-2</v>
      </c>
      <c r="C58" s="24">
        <f>DataG8.6Details!M$24</f>
        <v>0.16200000000000001</v>
      </c>
      <c r="D58" s="24">
        <f>B58+C58</f>
        <v>0.24399999999999999</v>
      </c>
      <c r="E58" s="24"/>
    </row>
    <row r="59" spans="1:6" ht="15.6" x14ac:dyDescent="0.3">
      <c r="A59" s="1">
        <v>2002</v>
      </c>
      <c r="B59" s="24"/>
      <c r="C59" s="24"/>
      <c r="D59" s="24"/>
      <c r="E59" s="24"/>
    </row>
    <row r="60" spans="1:6" ht="15.6" x14ac:dyDescent="0.3">
      <c r="A60" s="1">
        <v>2003</v>
      </c>
      <c r="B60" s="24"/>
      <c r="C60" s="24"/>
      <c r="D60" s="24"/>
      <c r="E60" s="24"/>
    </row>
    <row r="61" spans="1:6" ht="15.6" x14ac:dyDescent="0.3">
      <c r="A61" s="1">
        <v>2004</v>
      </c>
      <c r="B61" s="24">
        <f>DataG8.6Details!D$13</f>
        <v>8.199999999999999E-2</v>
      </c>
      <c r="C61" s="24">
        <f>DataG8.6Details!E$13</f>
        <v>0.16200000000000001</v>
      </c>
      <c r="D61" s="24">
        <f>B61+C61</f>
        <v>0.24399999999999999</v>
      </c>
      <c r="E61" s="24">
        <v>0.40939999999999999</v>
      </c>
      <c r="F61" s="122">
        <f>D61+E61</f>
        <v>0.65339999999999998</v>
      </c>
    </row>
    <row r="62" spans="1:6" ht="15.6" x14ac:dyDescent="0.3">
      <c r="A62" s="1">
        <v>2005</v>
      </c>
      <c r="B62" s="24"/>
      <c r="C62" s="24"/>
      <c r="D62" s="24"/>
      <c r="E62" s="24"/>
    </row>
    <row r="63" spans="1:6" ht="15.6" x14ac:dyDescent="0.3">
      <c r="A63" s="1">
        <v>2006</v>
      </c>
      <c r="B63" s="24"/>
      <c r="C63" s="24"/>
      <c r="D63" s="24"/>
      <c r="E63" s="24"/>
    </row>
    <row r="64" spans="1:6" ht="15.6" x14ac:dyDescent="0.3">
      <c r="A64" s="1">
        <v>2007</v>
      </c>
      <c r="B64" s="24"/>
      <c r="C64" s="24"/>
      <c r="D64" s="24"/>
      <c r="E64" s="24"/>
    </row>
    <row r="65" spans="1:6" ht="15.6" x14ac:dyDescent="0.3">
      <c r="A65" s="1">
        <v>2008</v>
      </c>
      <c r="B65" s="24"/>
      <c r="C65" s="24"/>
      <c r="D65" s="24"/>
      <c r="E65" s="24"/>
    </row>
    <row r="66" spans="1:6" ht="15.6" x14ac:dyDescent="0.3">
      <c r="A66" s="1">
        <v>2009</v>
      </c>
      <c r="B66" s="24">
        <f>DataG8.6Details!D$14</f>
        <v>8.3999999999999991E-2</v>
      </c>
      <c r="C66" s="24">
        <f>DataG8.6Details!E$14</f>
        <v>0.16400000000000001</v>
      </c>
      <c r="D66" s="24">
        <f>B66+C66</f>
        <v>0.248</v>
      </c>
      <c r="E66" s="24">
        <v>0.41749999999999998</v>
      </c>
      <c r="F66" s="122">
        <f>D66+E66</f>
        <v>0.66549999999999998</v>
      </c>
    </row>
    <row r="67" spans="1:6" ht="15.6" x14ac:dyDescent="0.3">
      <c r="A67" s="1">
        <v>2010</v>
      </c>
      <c r="B67" s="24"/>
      <c r="C67" s="24"/>
      <c r="D67" s="24"/>
      <c r="E67" s="24"/>
    </row>
    <row r="68" spans="1:6" ht="15.6" x14ac:dyDescent="0.3">
      <c r="A68" s="1">
        <v>2011</v>
      </c>
      <c r="B68" s="24">
        <f>DataG8.6Details!D$15</f>
        <v>8.5999999999999993E-2</v>
      </c>
      <c r="C68" s="24">
        <f>DataG8.6Details!E$15</f>
        <v>0.16600000000000001</v>
      </c>
      <c r="D68" s="24">
        <f>B68+C68</f>
        <v>0.252</v>
      </c>
      <c r="E68" s="24">
        <v>0.44059999999999999</v>
      </c>
      <c r="F68" s="122">
        <f>D68+E68</f>
        <v>0.69259999999999999</v>
      </c>
    </row>
    <row r="69" spans="1:6" ht="15.6" x14ac:dyDescent="0.3">
      <c r="A69" s="1">
        <v>2012</v>
      </c>
      <c r="B69" s="24"/>
      <c r="C69" s="24"/>
      <c r="D69" s="24"/>
      <c r="E69" s="24"/>
    </row>
    <row r="70" spans="1:6" ht="15.6" x14ac:dyDescent="0.3">
      <c r="A70" s="1">
        <v>2013</v>
      </c>
      <c r="B70" s="24"/>
      <c r="C70" s="24"/>
      <c r="D70" s="24"/>
      <c r="E70" s="24"/>
    </row>
    <row r="71" spans="1:6" ht="15.6" x14ac:dyDescent="0.3">
      <c r="A71" s="1">
        <v>2014</v>
      </c>
      <c r="B71" s="24">
        <f>DataG8.6Details!D$16</f>
        <v>8.5999999999999993E-2</v>
      </c>
      <c r="C71" s="24">
        <f>DataG8.6Details!E$16</f>
        <v>0.16600000000000001</v>
      </c>
      <c r="D71" s="24">
        <f>B71+C71</f>
        <v>0.252</v>
      </c>
      <c r="E71" s="24">
        <v>0.43859999999999999</v>
      </c>
      <c r="F71" s="122">
        <f>D71+E71</f>
        <v>0.69059999999999999</v>
      </c>
    </row>
    <row r="72" spans="1:6" ht="15.6" x14ac:dyDescent="0.3">
      <c r="A72" s="1">
        <v>2015</v>
      </c>
      <c r="B72" s="24"/>
      <c r="C72" s="24"/>
      <c r="D72" s="24"/>
      <c r="E72" s="24"/>
    </row>
    <row r="73" spans="1:6" ht="15.6" x14ac:dyDescent="0.3">
      <c r="B73" s="24"/>
      <c r="C73" s="24"/>
      <c r="D73" s="24"/>
      <c r="E73" s="24"/>
    </row>
    <row r="74" spans="1:6" ht="15.6" x14ac:dyDescent="0.3">
      <c r="C74" s="24"/>
      <c r="D74" s="24"/>
      <c r="E74" s="24"/>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8" workbookViewId="0"/>
  </sheetViews>
  <sheetFormatPr baseColWidth="10" defaultRowHeight="14.4" x14ac:dyDescent="0.3"/>
  <cols>
    <col min="2" max="2" width="21.77734375" customWidth="1"/>
    <col min="3" max="3" width="18.77734375" customWidth="1"/>
    <col min="4" max="4" width="18.109375" customWidth="1"/>
    <col min="6" max="6" width="24.44140625" customWidth="1"/>
    <col min="7" max="7" width="22.44140625" customWidth="1"/>
  </cols>
  <sheetData>
    <row r="1" spans="1:7" ht="15.6" x14ac:dyDescent="0.3">
      <c r="A1" s="19" t="s">
        <v>451</v>
      </c>
    </row>
    <row r="2" spans="1:7" ht="15.6" x14ac:dyDescent="0.3">
      <c r="A2" s="1" t="s">
        <v>301</v>
      </c>
    </row>
    <row r="3" spans="1:7" ht="15.6" x14ac:dyDescent="0.3">
      <c r="A3" s="1" t="s">
        <v>452</v>
      </c>
    </row>
    <row r="4" spans="1:7" ht="15.6" x14ac:dyDescent="0.3">
      <c r="A4" s="1" t="s">
        <v>456</v>
      </c>
    </row>
    <row r="5" spans="1:7" ht="15.6" x14ac:dyDescent="0.3">
      <c r="A5" s="1" t="s">
        <v>455</v>
      </c>
    </row>
    <row r="6" spans="1:7" ht="15.6" x14ac:dyDescent="0.3">
      <c r="A6" s="1"/>
      <c r="B6" s="1"/>
      <c r="C6" s="1"/>
      <c r="D6" s="1"/>
    </row>
    <row r="7" spans="1:7" ht="82.2" customHeight="1" x14ac:dyDescent="0.3">
      <c r="A7" s="1" t="s">
        <v>402</v>
      </c>
      <c r="B7" s="120" t="s">
        <v>453</v>
      </c>
      <c r="C7" s="120" t="s">
        <v>459</v>
      </c>
      <c r="D7" s="120" t="s">
        <v>454</v>
      </c>
      <c r="F7" s="120" t="s">
        <v>457</v>
      </c>
      <c r="G7" s="120" t="s">
        <v>458</v>
      </c>
    </row>
    <row r="8" spans="1:7" ht="15.6" x14ac:dyDescent="0.3">
      <c r="A8" s="1">
        <v>1950</v>
      </c>
      <c r="B8" s="24"/>
      <c r="C8" s="24">
        <f>AVERAGE(F8:G8)</f>
        <v>0.53883449411236017</v>
      </c>
      <c r="D8" s="24">
        <v>8.8999999999999996E-2</v>
      </c>
      <c r="F8" s="24">
        <f>17.24/32.08</f>
        <v>0.53740648379052369</v>
      </c>
      <c r="G8" s="24">
        <f>15.23/28.19</f>
        <v>0.54026250443419654</v>
      </c>
    </row>
    <row r="9" spans="1:7" ht="15.6" x14ac:dyDescent="0.3">
      <c r="A9" s="1">
        <v>1951</v>
      </c>
      <c r="B9" s="24">
        <f>DataG8.6Details!J$5</f>
        <v>0.56553015833930143</v>
      </c>
      <c r="C9" s="24"/>
      <c r="D9" s="24"/>
      <c r="F9" s="24"/>
      <c r="G9" s="24"/>
    </row>
    <row r="10" spans="1:7" ht="15.6" x14ac:dyDescent="0.3">
      <c r="A10" s="1">
        <v>1952</v>
      </c>
      <c r="B10" s="24"/>
      <c r="C10" s="24"/>
      <c r="D10" s="24"/>
      <c r="F10" s="24"/>
      <c r="G10" s="24"/>
    </row>
    <row r="11" spans="1:7" ht="15.6" x14ac:dyDescent="0.3">
      <c r="A11" s="1">
        <v>1953</v>
      </c>
      <c r="B11" s="24"/>
      <c r="C11" s="24"/>
      <c r="D11" s="24"/>
      <c r="F11" s="24"/>
      <c r="G11" s="24"/>
    </row>
    <row r="12" spans="1:7" ht="15.6" x14ac:dyDescent="0.3">
      <c r="A12" s="1">
        <v>1954</v>
      </c>
      <c r="B12" s="24"/>
      <c r="C12" s="24"/>
      <c r="D12" s="24"/>
      <c r="F12" s="24"/>
      <c r="G12" s="24"/>
    </row>
    <row r="13" spans="1:7" ht="15.6" x14ac:dyDescent="0.3">
      <c r="A13" s="1">
        <v>1955</v>
      </c>
      <c r="B13" s="24"/>
      <c r="C13" s="24"/>
      <c r="D13" s="24"/>
      <c r="F13" s="24"/>
      <c r="G13" s="24"/>
    </row>
    <row r="14" spans="1:7" ht="15.6" x14ac:dyDescent="0.3">
      <c r="A14" s="1">
        <v>1956</v>
      </c>
      <c r="B14" s="24"/>
      <c r="C14" s="24"/>
      <c r="D14" s="24">
        <v>8.5999999999999993E-2</v>
      </c>
      <c r="F14" s="24"/>
      <c r="G14" s="24"/>
    </row>
    <row r="15" spans="1:7" ht="15.6" x14ac:dyDescent="0.3">
      <c r="A15" s="1">
        <v>1957</v>
      </c>
      <c r="B15" s="24"/>
      <c r="C15" s="24"/>
      <c r="D15" s="24"/>
      <c r="F15" s="24"/>
      <c r="G15" s="24"/>
    </row>
    <row r="16" spans="1:7" ht="15.6" x14ac:dyDescent="0.3">
      <c r="A16" s="1">
        <v>1958</v>
      </c>
      <c r="B16" s="24"/>
      <c r="C16" s="24"/>
      <c r="D16" s="24"/>
      <c r="F16" s="24"/>
      <c r="G16" s="24"/>
    </row>
    <row r="17" spans="1:7" ht="15.6" x14ac:dyDescent="0.3">
      <c r="A17" s="1">
        <v>1959</v>
      </c>
      <c r="B17" s="24"/>
      <c r="C17" s="24"/>
      <c r="D17" s="24"/>
      <c r="F17" s="24"/>
      <c r="G17" s="24"/>
    </row>
    <row r="18" spans="1:7" ht="15.6" x14ac:dyDescent="0.3">
      <c r="A18" s="1">
        <v>1960</v>
      </c>
      <c r="B18" s="24"/>
      <c r="C18" s="24">
        <f>AVERAGE(F18:G18)</f>
        <v>0.52285542690393316</v>
      </c>
      <c r="D18" s="24">
        <v>8.1000000000000003E-2</v>
      </c>
      <c r="F18" s="24">
        <f>24.6/47.21</f>
        <v>0.52107604321118406</v>
      </c>
      <c r="G18" s="24">
        <f>21.19/40.39</f>
        <v>0.52463481059668238</v>
      </c>
    </row>
    <row r="19" spans="1:7" ht="15.6" x14ac:dyDescent="0.3">
      <c r="A19" s="1">
        <v>1961</v>
      </c>
      <c r="B19" s="24">
        <f>DataG8.6Details!J$6</f>
        <v>0.55504455215054493</v>
      </c>
      <c r="C19" s="24"/>
      <c r="D19" s="24"/>
      <c r="F19" s="24"/>
      <c r="G19" s="24"/>
    </row>
    <row r="20" spans="1:7" ht="15.6" x14ac:dyDescent="0.3">
      <c r="A20" s="1">
        <v>1962</v>
      </c>
      <c r="B20" s="24"/>
      <c r="C20" s="24"/>
      <c r="D20" s="24"/>
      <c r="F20" s="24"/>
      <c r="G20" s="24"/>
    </row>
    <row r="21" spans="1:7" ht="15.6" x14ac:dyDescent="0.3">
      <c r="A21" s="1">
        <v>1963</v>
      </c>
      <c r="B21" s="24"/>
      <c r="C21" s="24"/>
      <c r="D21" s="24"/>
      <c r="F21" s="24"/>
      <c r="G21" s="24"/>
    </row>
    <row r="22" spans="1:7" ht="15.6" x14ac:dyDescent="0.3">
      <c r="A22" s="1">
        <v>1964</v>
      </c>
      <c r="B22" s="24"/>
      <c r="C22" s="24"/>
      <c r="D22" s="24"/>
      <c r="F22" s="24"/>
      <c r="G22" s="24"/>
    </row>
    <row r="23" spans="1:7" ht="15.6" x14ac:dyDescent="0.3">
      <c r="A23" s="1">
        <v>1965</v>
      </c>
      <c r="B23" s="24"/>
      <c r="C23" s="24"/>
      <c r="D23" s="24"/>
      <c r="F23" s="24"/>
      <c r="G23" s="24"/>
    </row>
    <row r="24" spans="1:7" ht="15.6" x14ac:dyDescent="0.3">
      <c r="A24" s="1">
        <v>1966</v>
      </c>
      <c r="B24" s="24"/>
      <c r="C24" s="24"/>
      <c r="D24" s="24"/>
      <c r="F24" s="24"/>
      <c r="G24" s="24"/>
    </row>
    <row r="25" spans="1:7" ht="15.6" x14ac:dyDescent="0.3">
      <c r="A25" s="1">
        <v>1967</v>
      </c>
      <c r="B25" s="24"/>
      <c r="C25" s="24"/>
      <c r="D25" s="24"/>
      <c r="F25" s="24"/>
      <c r="G25" s="24"/>
    </row>
    <row r="26" spans="1:7" ht="15.6" x14ac:dyDescent="0.3">
      <c r="A26" s="1">
        <v>1968</v>
      </c>
      <c r="B26" s="24"/>
      <c r="C26" s="24"/>
      <c r="D26" s="24"/>
      <c r="F26" s="24"/>
      <c r="G26" s="24"/>
    </row>
    <row r="27" spans="1:7" ht="15.6" x14ac:dyDescent="0.3">
      <c r="A27" s="1">
        <v>1969</v>
      </c>
      <c r="B27" s="24"/>
      <c r="C27" s="24"/>
      <c r="D27" s="24"/>
      <c r="F27" s="24"/>
      <c r="G27" s="24"/>
    </row>
    <row r="28" spans="1:7" ht="15.6" x14ac:dyDescent="0.3">
      <c r="A28" s="1">
        <v>1970</v>
      </c>
      <c r="B28" s="24"/>
      <c r="C28" s="24">
        <f>AVERAGE(F28:G28)</f>
        <v>0.58637716603351553</v>
      </c>
      <c r="D28" s="24">
        <v>6.8000000000000005E-2</v>
      </c>
      <c r="F28" s="24">
        <f>35.49/60.96</f>
        <v>0.58218503937007882</v>
      </c>
      <c r="G28" s="24">
        <f>30.81/52.17</f>
        <v>0.59056929269695224</v>
      </c>
    </row>
    <row r="29" spans="1:7" ht="15.6" x14ac:dyDescent="0.3">
      <c r="A29" s="1">
        <v>1971</v>
      </c>
      <c r="B29" s="24">
        <f>DataG8.6Details!J$7</f>
        <v>0.63891544454625282</v>
      </c>
      <c r="C29" s="24"/>
      <c r="D29" s="24"/>
      <c r="F29" s="24"/>
      <c r="G29" s="24"/>
    </row>
    <row r="30" spans="1:7" ht="15.6" x14ac:dyDescent="0.3">
      <c r="A30" s="1">
        <v>1972</v>
      </c>
      <c r="B30" s="24"/>
      <c r="C30" s="24"/>
      <c r="D30" s="24"/>
      <c r="F30" s="24"/>
      <c r="G30" s="24"/>
    </row>
    <row r="31" spans="1:7" ht="15.6" x14ac:dyDescent="0.3">
      <c r="A31" s="1">
        <v>1973</v>
      </c>
      <c r="B31" s="24"/>
      <c r="C31" s="24"/>
      <c r="D31" s="24"/>
      <c r="F31" s="24"/>
      <c r="G31" s="24"/>
    </row>
    <row r="32" spans="1:7" ht="15.6" x14ac:dyDescent="0.3">
      <c r="A32" s="1">
        <v>1974</v>
      </c>
      <c r="B32" s="24"/>
      <c r="C32" s="24"/>
      <c r="D32" s="24"/>
      <c r="F32" s="24"/>
      <c r="G32" s="24"/>
    </row>
    <row r="33" spans="1:7" ht="15.6" x14ac:dyDescent="0.3">
      <c r="A33" s="1">
        <v>1975</v>
      </c>
      <c r="B33" s="24"/>
      <c r="C33" s="24"/>
      <c r="D33" s="24">
        <v>8.5999999999999993E-2</v>
      </c>
      <c r="F33" s="24"/>
      <c r="G33" s="24"/>
    </row>
    <row r="34" spans="1:7" ht="15.6" x14ac:dyDescent="0.3">
      <c r="A34" s="1">
        <v>1976</v>
      </c>
      <c r="B34" s="24"/>
      <c r="C34" s="24"/>
      <c r="D34" s="24"/>
      <c r="F34" s="24"/>
      <c r="G34" s="24"/>
    </row>
    <row r="35" spans="1:7" ht="15.6" x14ac:dyDescent="0.3">
      <c r="A35" s="1">
        <v>1977</v>
      </c>
      <c r="B35" s="24"/>
      <c r="C35" s="24"/>
      <c r="D35" s="24"/>
      <c r="F35" s="24"/>
      <c r="G35" s="24"/>
    </row>
    <row r="36" spans="1:7" ht="15.6" x14ac:dyDescent="0.3">
      <c r="A36" s="1">
        <v>1978</v>
      </c>
      <c r="B36" s="24"/>
      <c r="C36" s="24"/>
      <c r="D36" s="24"/>
      <c r="F36" s="24"/>
      <c r="G36" s="24"/>
    </row>
    <row r="37" spans="1:7" ht="15.6" x14ac:dyDescent="0.3">
      <c r="A37" s="1">
        <v>1979</v>
      </c>
      <c r="B37" s="24"/>
      <c r="C37" s="24"/>
      <c r="D37" s="24"/>
      <c r="F37" s="24"/>
      <c r="G37" s="24"/>
    </row>
    <row r="38" spans="1:7" ht="15.6" x14ac:dyDescent="0.3">
      <c r="A38" s="1">
        <v>1980</v>
      </c>
      <c r="B38" s="24"/>
      <c r="C38" s="24">
        <f>AVERAGE(F38:G38)</f>
        <v>0.62241966591213571</v>
      </c>
      <c r="D38" s="24">
        <v>8.5000000000000006E-2</v>
      </c>
      <c r="F38" s="24">
        <f>36.47/55.84</f>
        <v>0.65311604584527216</v>
      </c>
      <c r="G38" s="24">
        <f>28.74/48.57</f>
        <v>0.59172328597899937</v>
      </c>
    </row>
    <row r="39" spans="1:7" ht="15.6" x14ac:dyDescent="0.3">
      <c r="A39" s="1">
        <v>1981</v>
      </c>
      <c r="B39" s="24">
        <f>DataG8.6Details!J$8</f>
        <v>0.714260863815386</v>
      </c>
      <c r="C39" s="24"/>
      <c r="D39" s="24"/>
      <c r="F39" s="24"/>
      <c r="G39" s="24"/>
    </row>
    <row r="40" spans="1:7" ht="15.6" x14ac:dyDescent="0.3">
      <c r="A40" s="1">
        <v>1982</v>
      </c>
      <c r="B40" s="24"/>
      <c r="C40" s="24"/>
      <c r="D40" s="24"/>
      <c r="F40" s="24"/>
      <c r="G40" s="24"/>
    </row>
    <row r="41" spans="1:7" ht="15.6" x14ac:dyDescent="0.3">
      <c r="A41" s="1">
        <v>1983</v>
      </c>
      <c r="B41" s="24">
        <f>DataG8.6Details!J$9</f>
        <v>0.714260863815386</v>
      </c>
      <c r="C41" s="24"/>
      <c r="D41" s="24"/>
      <c r="F41" s="24"/>
      <c r="G41" s="24"/>
    </row>
    <row r="42" spans="1:7" ht="15.6" x14ac:dyDescent="0.3">
      <c r="A42" s="1">
        <v>1984</v>
      </c>
      <c r="B42" s="24"/>
      <c r="C42" s="24"/>
      <c r="D42" s="24"/>
      <c r="F42" s="24"/>
      <c r="G42" s="24"/>
    </row>
    <row r="43" spans="1:7" ht="15.6" x14ac:dyDescent="0.3">
      <c r="A43" s="1">
        <v>1985</v>
      </c>
      <c r="B43" s="24"/>
      <c r="C43" s="24"/>
      <c r="D43" s="24"/>
      <c r="F43" s="24"/>
      <c r="G43" s="24"/>
    </row>
    <row r="44" spans="1:7" ht="15.6" x14ac:dyDescent="0.3">
      <c r="A44" s="1">
        <v>1986</v>
      </c>
      <c r="B44" s="24"/>
      <c r="C44" s="24"/>
      <c r="D44" s="24"/>
      <c r="F44" s="24"/>
      <c r="G44" s="24"/>
    </row>
    <row r="45" spans="1:7" ht="15.6" x14ac:dyDescent="0.3">
      <c r="A45" s="1">
        <v>1987</v>
      </c>
      <c r="B45" s="24">
        <f>DataG8.6Details!J$10</f>
        <v>0.7187711188503576</v>
      </c>
      <c r="C45" s="24"/>
      <c r="D45" s="24">
        <v>8.5000000000000006E-2</v>
      </c>
      <c r="F45" s="24"/>
      <c r="G45" s="24"/>
    </row>
    <row r="46" spans="1:7" ht="15.6" x14ac:dyDescent="0.3">
      <c r="A46" s="1">
        <v>1988</v>
      </c>
      <c r="B46" s="24"/>
      <c r="C46" s="24"/>
      <c r="D46" s="24"/>
      <c r="F46" s="24"/>
      <c r="G46" s="24"/>
    </row>
    <row r="47" spans="1:7" ht="15.6" x14ac:dyDescent="0.3">
      <c r="A47" s="1">
        <v>1989</v>
      </c>
      <c r="B47" s="24"/>
      <c r="C47" s="24"/>
      <c r="D47" s="24"/>
      <c r="F47" s="24"/>
      <c r="G47" s="24"/>
    </row>
    <row r="48" spans="1:7" ht="15.6" x14ac:dyDescent="0.3">
      <c r="A48" s="1">
        <v>1990</v>
      </c>
      <c r="B48" s="24"/>
      <c r="C48" s="24">
        <f>AVERAGE(F48:G48)</f>
        <v>0.59576625218150081</v>
      </c>
      <c r="D48" s="24"/>
      <c r="F48" s="24">
        <f>38.23/61.12</f>
        <v>0.62549083769633507</v>
      </c>
      <c r="G48" s="24">
        <f>27.17/48</f>
        <v>0.56604166666666667</v>
      </c>
    </row>
    <row r="49" spans="1:7" ht="15.6" x14ac:dyDescent="0.3">
      <c r="A49" s="1">
        <v>1991</v>
      </c>
      <c r="B49" s="24"/>
      <c r="C49" s="24"/>
      <c r="D49" s="24"/>
      <c r="F49" s="24"/>
      <c r="G49" s="24"/>
    </row>
    <row r="50" spans="1:7" ht="15.6" x14ac:dyDescent="0.3">
      <c r="A50" s="1">
        <v>1992</v>
      </c>
      <c r="B50" s="24"/>
      <c r="C50" s="24"/>
      <c r="D50" s="24">
        <v>0.109</v>
      </c>
      <c r="F50" s="24"/>
      <c r="G50" s="24"/>
    </row>
    <row r="51" spans="1:7" ht="15.6" x14ac:dyDescent="0.3">
      <c r="A51" s="1">
        <v>1993</v>
      </c>
      <c r="B51" s="24">
        <f>DataG8.6Details!J$11</f>
        <v>0.71701775623054198</v>
      </c>
      <c r="C51" s="24"/>
      <c r="D51" s="24"/>
      <c r="F51" s="24"/>
      <c r="G51" s="24"/>
    </row>
    <row r="52" spans="1:7" ht="15.6" x14ac:dyDescent="0.3">
      <c r="A52" s="1">
        <v>1994</v>
      </c>
      <c r="B52" s="24"/>
      <c r="C52" s="24"/>
      <c r="D52" s="24"/>
      <c r="F52" s="24"/>
      <c r="G52" s="24"/>
    </row>
    <row r="53" spans="1:7" ht="15.6" x14ac:dyDescent="0.3">
      <c r="A53" s="1">
        <v>1995</v>
      </c>
      <c r="B53" s="24"/>
      <c r="C53" s="24"/>
      <c r="D53" s="24">
        <v>0.13500000000000001</v>
      </c>
      <c r="F53" s="24"/>
      <c r="G53" s="24"/>
    </row>
    <row r="54" spans="1:7" ht="15.6" x14ac:dyDescent="0.3">
      <c r="A54" s="1">
        <v>1996</v>
      </c>
      <c r="B54" s="24"/>
      <c r="C54" s="24"/>
      <c r="D54" s="24"/>
      <c r="F54" s="24"/>
      <c r="G54" s="24"/>
    </row>
    <row r="55" spans="1:7" ht="15.6" x14ac:dyDescent="0.3">
      <c r="A55" s="1">
        <v>1997</v>
      </c>
      <c r="B55" s="24"/>
      <c r="C55" s="24"/>
      <c r="D55" s="24"/>
      <c r="F55" s="24"/>
      <c r="G55" s="24"/>
    </row>
    <row r="56" spans="1:7" ht="15.6" x14ac:dyDescent="0.3">
      <c r="A56" s="1">
        <v>1998</v>
      </c>
      <c r="B56" s="24"/>
      <c r="C56" s="24"/>
      <c r="D56" s="24"/>
      <c r="F56" s="24"/>
      <c r="G56" s="24"/>
    </row>
    <row r="57" spans="1:7" ht="15.6" x14ac:dyDescent="0.3">
      <c r="A57" s="1">
        <v>1999</v>
      </c>
      <c r="B57" s="24">
        <f>DataG8.6Details!J$12</f>
        <v>0.70537527485722384</v>
      </c>
      <c r="C57" s="24"/>
      <c r="D57" s="24"/>
      <c r="F57" s="24"/>
      <c r="G57" s="24"/>
    </row>
    <row r="58" spans="1:7" ht="15.6" x14ac:dyDescent="0.3">
      <c r="A58" s="1">
        <v>2000</v>
      </c>
      <c r="B58" s="24"/>
      <c r="C58" s="24">
        <f>AVERAGE(F58:G58)</f>
        <v>0.59699269521164</v>
      </c>
      <c r="D58" s="24">
        <v>0.159</v>
      </c>
      <c r="F58" s="24">
        <f>42.94/68.81</f>
        <v>0.62403720389478268</v>
      </c>
      <c r="G58" s="24">
        <f>27.5/48.25</f>
        <v>0.56994818652849744</v>
      </c>
    </row>
    <row r="59" spans="1:7" ht="15.6" x14ac:dyDescent="0.3">
      <c r="A59" s="1">
        <v>2001</v>
      </c>
      <c r="B59" s="24"/>
      <c r="C59" s="24"/>
      <c r="D59" s="24"/>
      <c r="F59" s="24"/>
      <c r="G59" s="24"/>
    </row>
    <row r="60" spans="1:7" ht="15.6" x14ac:dyDescent="0.3">
      <c r="A60" s="1">
        <v>2002</v>
      </c>
      <c r="B60" s="24"/>
      <c r="C60" s="24"/>
      <c r="D60" s="24"/>
      <c r="F60" s="24"/>
      <c r="G60" s="24"/>
    </row>
    <row r="61" spans="1:7" ht="15.6" x14ac:dyDescent="0.3">
      <c r="A61" s="1">
        <v>2003</v>
      </c>
      <c r="B61" s="24"/>
      <c r="C61" s="24"/>
      <c r="D61" s="24"/>
      <c r="F61" s="24"/>
      <c r="G61" s="24"/>
    </row>
    <row r="62" spans="1:7" ht="15.6" x14ac:dyDescent="0.3">
      <c r="A62" s="1">
        <v>2004</v>
      </c>
      <c r="B62" s="24">
        <f>DataG8.6Details!J$13</f>
        <v>0.69364164206867029</v>
      </c>
      <c r="C62" s="24"/>
      <c r="D62" s="24"/>
      <c r="F62" s="24"/>
      <c r="G62" s="24"/>
    </row>
    <row r="63" spans="1:7" ht="15.6" x14ac:dyDescent="0.3">
      <c r="A63" s="1">
        <v>2005</v>
      </c>
      <c r="B63" s="24"/>
      <c r="C63" s="24"/>
      <c r="D63" s="24"/>
      <c r="F63" s="24"/>
      <c r="G63" s="24"/>
    </row>
    <row r="64" spans="1:7" ht="15.6" x14ac:dyDescent="0.3">
      <c r="A64" s="1">
        <v>2006</v>
      </c>
      <c r="B64" s="24"/>
      <c r="C64" s="24"/>
      <c r="D64" s="24"/>
      <c r="F64" s="24"/>
      <c r="G64" s="24"/>
    </row>
    <row r="65" spans="1:7" ht="15.6" x14ac:dyDescent="0.3">
      <c r="A65" s="1">
        <v>2007</v>
      </c>
      <c r="B65" s="24"/>
      <c r="C65" s="24">
        <f>AVERAGE(F65:G65)</f>
        <v>0.58924565549147478</v>
      </c>
      <c r="D65" s="24"/>
      <c r="F65" s="24">
        <f>41.42/68.22</f>
        <v>0.60715332746995021</v>
      </c>
      <c r="G65" s="24">
        <f>27.03/47.31</f>
        <v>0.57133798351299936</v>
      </c>
    </row>
    <row r="66" spans="1:7" ht="15.6" x14ac:dyDescent="0.3">
      <c r="A66" s="1">
        <v>2008</v>
      </c>
      <c r="B66" s="24"/>
      <c r="C66" s="24"/>
      <c r="D66" s="24">
        <v>0.13</v>
      </c>
      <c r="F66" s="24"/>
      <c r="G66" s="24"/>
    </row>
    <row r="67" spans="1:7" ht="15.6" x14ac:dyDescent="0.3">
      <c r="A67" s="1">
        <v>2009</v>
      </c>
      <c r="B67" s="24">
        <f>DataG8.6Details!J$14</f>
        <v>0.70091363122684591</v>
      </c>
      <c r="C67" s="24"/>
      <c r="D67" s="24"/>
      <c r="F67" s="24"/>
      <c r="G67" s="24"/>
    </row>
    <row r="68" spans="1:7" ht="15.6" x14ac:dyDescent="0.3">
      <c r="A68" s="1">
        <v>2010</v>
      </c>
      <c r="B68" s="24"/>
      <c r="C68" s="24">
        <f>AVERAGE(F68:G68)</f>
        <v>0.56918690119155035</v>
      </c>
      <c r="D68" s="24"/>
      <c r="F68" s="24">
        <f>41.24/64.59</f>
        <v>0.63848893017494968</v>
      </c>
      <c r="G68" s="24">
        <f>21.71/43.43</f>
        <v>0.49988487220815109</v>
      </c>
    </row>
    <row r="69" spans="1:7" ht="15.6" x14ac:dyDescent="0.3">
      <c r="A69" s="1">
        <v>2011</v>
      </c>
      <c r="B69" s="24">
        <f>DataG8.6Details!J$15</f>
        <v>0.70386162441454359</v>
      </c>
      <c r="C69" s="24"/>
      <c r="D69" s="24"/>
      <c r="F69" s="24"/>
      <c r="G69" s="24"/>
    </row>
    <row r="70" spans="1:7" ht="15.6" x14ac:dyDescent="0.3">
      <c r="A70" s="1">
        <v>2012</v>
      </c>
      <c r="B70" s="24"/>
      <c r="C70" s="24"/>
      <c r="D70" s="24"/>
      <c r="F70" s="24"/>
      <c r="G70" s="24"/>
    </row>
    <row r="71" spans="1:7" ht="15.6" x14ac:dyDescent="0.3">
      <c r="A71" s="1">
        <v>2013</v>
      </c>
      <c r="B71" s="24"/>
      <c r="C71" s="24"/>
      <c r="D71" s="24"/>
      <c r="F71" s="24"/>
      <c r="G71" s="24"/>
    </row>
    <row r="72" spans="1:7" ht="15.6" x14ac:dyDescent="0.3">
      <c r="A72" s="1">
        <v>2014</v>
      </c>
      <c r="B72" s="24">
        <f>DataG8.6Details!J$16</f>
        <v>0.74339834048875097</v>
      </c>
      <c r="C72" s="24">
        <f>AVERAGE(F72:G72)</f>
        <v>0.55789060450573835</v>
      </c>
      <c r="D72" s="24">
        <v>0.18</v>
      </c>
      <c r="F72" s="24">
        <f>39.91/64.65</f>
        <v>0.61732405259087386</v>
      </c>
      <c r="G72" s="24">
        <f>21/42.13</f>
        <v>0.49845715642060284</v>
      </c>
    </row>
    <row r="73" spans="1:7" ht="15.6" x14ac:dyDescent="0.3">
      <c r="A73" s="1">
        <v>2015</v>
      </c>
      <c r="B73" s="24"/>
      <c r="C73" s="24"/>
      <c r="D73" s="24"/>
    </row>
    <row r="74" spans="1:7" ht="15.6" x14ac:dyDescent="0.3">
      <c r="B74" s="24"/>
      <c r="C74" s="24"/>
      <c r="D74" s="24"/>
    </row>
    <row r="75" spans="1:7" ht="15.6" x14ac:dyDescent="0.3">
      <c r="C75" s="24"/>
      <c r="D75" s="24"/>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25</vt:i4>
      </vt:variant>
      <vt:variant>
        <vt:lpstr>Graphiques</vt:lpstr>
      </vt:variant>
      <vt:variant>
        <vt:i4>6</vt:i4>
      </vt:variant>
    </vt:vector>
  </HeadingPairs>
  <TitlesOfParts>
    <vt:vector size="31" baseType="lpstr">
      <vt:lpstr>ReadMe</vt:lpstr>
      <vt:lpstr>T8.1</vt:lpstr>
      <vt:lpstr>T8.2</vt:lpstr>
      <vt:lpstr>DataF8.1</vt:lpstr>
      <vt:lpstr>DataF8.2</vt:lpstr>
      <vt:lpstr>DataF8.3</vt:lpstr>
      <vt:lpstr>DataF8.4</vt:lpstr>
      <vt:lpstr>DataF8.5</vt:lpstr>
      <vt:lpstr>Dataf8.6</vt:lpstr>
      <vt:lpstr>DataT8.2</vt:lpstr>
      <vt:lpstr>Census1871</vt:lpstr>
      <vt:lpstr>Census1881</vt:lpstr>
      <vt:lpstr>Census1891</vt:lpstr>
      <vt:lpstr>Census1901</vt:lpstr>
      <vt:lpstr>Census1911</vt:lpstr>
      <vt:lpstr>Census1921</vt:lpstr>
      <vt:lpstr>Census1931</vt:lpstr>
      <vt:lpstr>NES1962-2014</vt:lpstr>
      <vt:lpstr>NESOld</vt:lpstr>
      <vt:lpstr>DataG8.1Details1</vt:lpstr>
      <vt:lpstr>DataG8.1Details2</vt:lpstr>
      <vt:lpstr>DataG8.5Details</vt:lpstr>
      <vt:lpstr>DataG8.6Details</vt:lpstr>
      <vt:lpstr>StatisticalAbstracts</vt:lpstr>
      <vt:lpstr>Cassan2015T1</vt:lpstr>
      <vt:lpstr>F8.1</vt:lpstr>
      <vt:lpstr>F8.2</vt:lpstr>
      <vt:lpstr>F8.3</vt:lpstr>
      <vt:lpstr>F8.4</vt:lpstr>
      <vt:lpstr>F8.5</vt:lpstr>
      <vt:lpstr>F8.6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2019-12-09T12:31:57Z</dcterms:modified>
</cp:coreProperties>
</file>