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mc:AlternateContent xmlns:mc="http://schemas.openxmlformats.org/markup-compatibility/2006">
    <mc:Choice Requires="x15">
      <x15ac:absPath xmlns:x15ac="http://schemas.microsoft.com/office/spreadsheetml/2010/11/ac" url="https://carcgl-my.sharepoint.com/personal/mason_williams_carrier_com/Documents/Documents/IAQ Focused Ventilation/Energy Estimator/"/>
    </mc:Choice>
  </mc:AlternateContent>
  <xr:revisionPtr revIDLastSave="46" documentId="13_ncr:1_{520B3BE0-76E8-4C80-A67A-9EA31E2A114B}" xr6:coauthVersionLast="47" xr6:coauthVersionMax="47" xr10:uidLastSave="{3553F86F-1E5D-4F17-B075-7F0CDB3638A0}"/>
  <bookViews>
    <workbookView xWindow="-110" yWindow="-110" windowWidth="19420" windowHeight="10420" activeTab="1" xr2:uid="{00000000-000D-0000-FFFF-FFFF00000000}"/>
  </bookViews>
  <sheets>
    <sheet name="Readme" sheetId="1" r:id="rId1"/>
    <sheet name=" Calculation" sheetId="2" r:id="rId2"/>
    <sheet name="Scenario Comparison" sheetId="3" r:id="rId3"/>
    <sheet name="Reference Tables --&gt;" sheetId="4" r:id="rId4"/>
    <sheet name="Table 1 - Operational Info" sheetId="5" r:id="rId5"/>
    <sheet name="Table 2 - Filtration Info" sheetId="6" r:id="rId6"/>
    <sheet name="Table 3 - ASHRAE 62.1 OA Rates" sheetId="7"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11" roundtripDataSignature="AMtx7mjTisAEDWkgFvgXv7dpF03fmpJwdA=="/>
    </ext>
  </extLst>
</workbook>
</file>

<file path=xl/calcChain.xml><?xml version="1.0" encoding="utf-8"?>
<calcChain xmlns="http://schemas.openxmlformats.org/spreadsheetml/2006/main">
  <c r="B64" i="2" l="1"/>
  <c r="B56" i="2"/>
  <c r="B19" i="2"/>
  <c r="C68" i="3" s="1"/>
  <c r="G11" i="6"/>
  <c r="F11" i="6"/>
  <c r="E11" i="6"/>
  <c r="G10" i="6"/>
  <c r="F10" i="6"/>
  <c r="E10" i="6"/>
  <c r="G9" i="6"/>
  <c r="F9" i="6"/>
  <c r="E9" i="6"/>
  <c r="G8" i="6"/>
  <c r="F8" i="6"/>
  <c r="E8" i="6"/>
  <c r="G7" i="6"/>
  <c r="F7" i="6"/>
  <c r="E7" i="6"/>
  <c r="G6" i="6"/>
  <c r="F6" i="6"/>
  <c r="E6" i="6"/>
  <c r="G5" i="6"/>
  <c r="F5" i="6"/>
  <c r="E5" i="6"/>
  <c r="G4" i="6"/>
  <c r="F4" i="6"/>
  <c r="E4" i="6"/>
  <c r="J48" i="5"/>
  <c r="M48" i="5" s="1"/>
  <c r="N48" i="5" s="1"/>
  <c r="G48" i="5"/>
  <c r="I48" i="5" s="1"/>
  <c r="F48" i="5"/>
  <c r="J47" i="5"/>
  <c r="M47" i="5" s="1"/>
  <c r="N47" i="5" s="1"/>
  <c r="I47" i="5"/>
  <c r="G47" i="5"/>
  <c r="F47" i="5"/>
  <c r="J46" i="5"/>
  <c r="M46" i="5" s="1"/>
  <c r="N46" i="5" s="1"/>
  <c r="I46" i="5"/>
  <c r="G46" i="5"/>
  <c r="F46" i="5"/>
  <c r="J45" i="5"/>
  <c r="M45" i="5" s="1"/>
  <c r="N45" i="5" s="1"/>
  <c r="I45" i="5"/>
  <c r="G45" i="5"/>
  <c r="F45" i="5"/>
  <c r="J44" i="5"/>
  <c r="M44" i="5" s="1"/>
  <c r="N44" i="5" s="1"/>
  <c r="I44" i="5"/>
  <c r="G44" i="5"/>
  <c r="F44" i="5"/>
  <c r="J43" i="5"/>
  <c r="M43" i="5" s="1"/>
  <c r="N43" i="5" s="1"/>
  <c r="I43" i="5"/>
  <c r="G43" i="5"/>
  <c r="F43" i="5"/>
  <c r="K42" i="5"/>
  <c r="J42" i="5"/>
  <c r="I42" i="5"/>
  <c r="G42" i="5"/>
  <c r="F42" i="5"/>
  <c r="J41" i="5"/>
  <c r="M41" i="5" s="1"/>
  <c r="N41" i="5" s="1"/>
  <c r="I41" i="5"/>
  <c r="G41" i="5"/>
  <c r="F41" i="5"/>
  <c r="M40" i="5"/>
  <c r="N40" i="5" s="1"/>
  <c r="J40" i="5"/>
  <c r="I40" i="5"/>
  <c r="G40" i="5"/>
  <c r="F40" i="5"/>
  <c r="J39" i="5"/>
  <c r="M39" i="5" s="1"/>
  <c r="N39" i="5" s="1"/>
  <c r="I39" i="5"/>
  <c r="G39" i="5"/>
  <c r="F39" i="5"/>
  <c r="M38" i="5"/>
  <c r="N38" i="5" s="1"/>
  <c r="J38" i="5"/>
  <c r="I38" i="5"/>
  <c r="G38" i="5"/>
  <c r="F38" i="5"/>
  <c r="J37" i="5"/>
  <c r="M37" i="5" s="1"/>
  <c r="N37" i="5" s="1"/>
  <c r="I37" i="5"/>
  <c r="G37" i="5"/>
  <c r="F37" i="5"/>
  <c r="J36" i="5"/>
  <c r="M36" i="5" s="1"/>
  <c r="N36" i="5" s="1"/>
  <c r="I36" i="5"/>
  <c r="G36" i="5"/>
  <c r="F36" i="5"/>
  <c r="J35" i="5"/>
  <c r="M35" i="5" s="1"/>
  <c r="N35" i="5" s="1"/>
  <c r="I35" i="5"/>
  <c r="G35" i="5"/>
  <c r="F35" i="5"/>
  <c r="J34" i="5"/>
  <c r="M34" i="5" s="1"/>
  <c r="N34" i="5" s="1"/>
  <c r="I34" i="5"/>
  <c r="G34" i="5"/>
  <c r="F34" i="5"/>
  <c r="J33" i="5"/>
  <c r="M33" i="5" s="1"/>
  <c r="N33" i="5" s="1"/>
  <c r="I33" i="5"/>
  <c r="G33" i="5"/>
  <c r="F33" i="5"/>
  <c r="J32" i="5"/>
  <c r="M32" i="5" s="1"/>
  <c r="N32" i="5" s="1"/>
  <c r="I32" i="5"/>
  <c r="G32" i="5"/>
  <c r="F32" i="5"/>
  <c r="J31" i="5"/>
  <c r="M31" i="5" s="1"/>
  <c r="N31" i="5" s="1"/>
  <c r="I31" i="5"/>
  <c r="G31" i="5"/>
  <c r="F31" i="5"/>
  <c r="M30" i="5"/>
  <c r="N30" i="5" s="1"/>
  <c r="J30" i="5"/>
  <c r="I30" i="5"/>
  <c r="G30" i="5"/>
  <c r="F30" i="5"/>
  <c r="J29" i="5"/>
  <c r="M29" i="5" s="1"/>
  <c r="N29" i="5" s="1"/>
  <c r="I29" i="5"/>
  <c r="G29" i="5"/>
  <c r="F29" i="5"/>
  <c r="J24" i="5"/>
  <c r="M24" i="5" s="1"/>
  <c r="N24" i="5" s="1"/>
  <c r="I24" i="5"/>
  <c r="G24" i="5"/>
  <c r="F24" i="5"/>
  <c r="J23" i="5"/>
  <c r="M23" i="5" s="1"/>
  <c r="N23" i="5" s="1"/>
  <c r="I23" i="5"/>
  <c r="G23" i="5"/>
  <c r="F23" i="5"/>
  <c r="M22" i="5"/>
  <c r="N22" i="5" s="1"/>
  <c r="J22" i="5"/>
  <c r="I22" i="5"/>
  <c r="G22" i="5"/>
  <c r="F22" i="5"/>
  <c r="J21" i="5"/>
  <c r="M21" i="5" s="1"/>
  <c r="N21" i="5" s="1"/>
  <c r="I21" i="5"/>
  <c r="G21" i="5"/>
  <c r="F21" i="5"/>
  <c r="M20" i="5"/>
  <c r="N20" i="5" s="1"/>
  <c r="J20" i="5"/>
  <c r="I20" i="5"/>
  <c r="G20" i="5"/>
  <c r="F20" i="5"/>
  <c r="J19" i="5"/>
  <c r="M19" i="5" s="1"/>
  <c r="N19" i="5" s="1"/>
  <c r="I19" i="5"/>
  <c r="G19" i="5"/>
  <c r="F19" i="5"/>
  <c r="K18" i="5"/>
  <c r="J18" i="5"/>
  <c r="M18" i="5" s="1"/>
  <c r="N18" i="5" s="1"/>
  <c r="G18" i="5"/>
  <c r="I18" i="5" s="1"/>
  <c r="F18" i="5"/>
  <c r="M17" i="5"/>
  <c r="N17" i="5" s="1"/>
  <c r="J17" i="5"/>
  <c r="G17" i="5"/>
  <c r="I17" i="5" s="1"/>
  <c r="F17" i="5"/>
  <c r="J16" i="5"/>
  <c r="M16" i="5" s="1"/>
  <c r="N16" i="5" s="1"/>
  <c r="G16" i="5"/>
  <c r="I16" i="5" s="1"/>
  <c r="F16" i="5"/>
  <c r="J15" i="5"/>
  <c r="M15" i="5" s="1"/>
  <c r="N15" i="5" s="1"/>
  <c r="G15" i="5"/>
  <c r="I15" i="5" s="1"/>
  <c r="F15" i="5"/>
  <c r="M14" i="5"/>
  <c r="N14" i="5" s="1"/>
  <c r="J14" i="5"/>
  <c r="G14" i="5"/>
  <c r="I14" i="5" s="1"/>
  <c r="F14" i="5"/>
  <c r="J13" i="5"/>
  <c r="M13" i="5" s="1"/>
  <c r="N13" i="5" s="1"/>
  <c r="G13" i="5"/>
  <c r="I13" i="5" s="1"/>
  <c r="F13" i="5"/>
  <c r="J12" i="5"/>
  <c r="M12" i="5" s="1"/>
  <c r="N12" i="5" s="1"/>
  <c r="G12" i="5"/>
  <c r="I12" i="5" s="1"/>
  <c r="F12" i="5"/>
  <c r="J11" i="5"/>
  <c r="M11" i="5" s="1"/>
  <c r="N11" i="5" s="1"/>
  <c r="G11" i="5"/>
  <c r="I11" i="5" s="1"/>
  <c r="F11" i="5"/>
  <c r="J10" i="5"/>
  <c r="M10" i="5" s="1"/>
  <c r="N10" i="5" s="1"/>
  <c r="G10" i="5"/>
  <c r="I10" i="5" s="1"/>
  <c r="F10" i="5"/>
  <c r="J9" i="5"/>
  <c r="M9" i="5" s="1"/>
  <c r="N9" i="5" s="1"/>
  <c r="G9" i="5"/>
  <c r="I9" i="5" s="1"/>
  <c r="F9" i="5"/>
  <c r="J8" i="5"/>
  <c r="M8" i="5" s="1"/>
  <c r="N8" i="5" s="1"/>
  <c r="G8" i="5"/>
  <c r="I8" i="5" s="1"/>
  <c r="F8" i="5"/>
  <c r="M7" i="5"/>
  <c r="N7" i="5" s="1"/>
  <c r="J7" i="5"/>
  <c r="G7" i="5"/>
  <c r="I7" i="5" s="1"/>
  <c r="F7" i="5"/>
  <c r="J6" i="5"/>
  <c r="M6" i="5" s="1"/>
  <c r="N6" i="5" s="1"/>
  <c r="G6" i="5"/>
  <c r="I6" i="5" s="1"/>
  <c r="F6" i="5"/>
  <c r="J5" i="5"/>
  <c r="M5" i="5" s="1"/>
  <c r="N5" i="5" s="1"/>
  <c r="G5" i="5"/>
  <c r="I5" i="5" s="1"/>
  <c r="F5" i="5"/>
  <c r="C143" i="3"/>
  <c r="C142" i="3"/>
  <c r="C137" i="3"/>
  <c r="C136" i="3"/>
  <c r="B134" i="3"/>
  <c r="B133" i="3"/>
  <c r="B132" i="3"/>
  <c r="C131" i="3"/>
  <c r="C130" i="3"/>
  <c r="C123" i="3"/>
  <c r="C122" i="3"/>
  <c r="C116" i="3"/>
  <c r="C115" i="3"/>
  <c r="C110" i="3"/>
  <c r="C109" i="3"/>
  <c r="C108" i="3"/>
  <c r="D108" i="3" s="1"/>
  <c r="E108" i="3" s="1"/>
  <c r="F108" i="3" s="1"/>
  <c r="G108" i="3" s="1"/>
  <c r="H108" i="3" s="1"/>
  <c r="I108" i="3" s="1"/>
  <c r="J108" i="3" s="1"/>
  <c r="K108" i="3" s="1"/>
  <c r="L108" i="3" s="1"/>
  <c r="M108" i="3" s="1"/>
  <c r="N108" i="3" s="1"/>
  <c r="O108" i="3" s="1"/>
  <c r="P108" i="3" s="1"/>
  <c r="Q108" i="3" s="1"/>
  <c r="R108" i="3" s="1"/>
  <c r="S108" i="3" s="1"/>
  <c r="T108" i="3" s="1"/>
  <c r="U108" i="3" s="1"/>
  <c r="V108" i="3" s="1"/>
  <c r="F107" i="3"/>
  <c r="G107" i="3" s="1"/>
  <c r="H107" i="3" s="1"/>
  <c r="I107" i="3" s="1"/>
  <c r="J107" i="3" s="1"/>
  <c r="K107" i="3" s="1"/>
  <c r="L107" i="3" s="1"/>
  <c r="M107" i="3" s="1"/>
  <c r="N107" i="3" s="1"/>
  <c r="O107" i="3" s="1"/>
  <c r="P107" i="3" s="1"/>
  <c r="Q107" i="3" s="1"/>
  <c r="R107" i="3" s="1"/>
  <c r="S107" i="3" s="1"/>
  <c r="T107" i="3" s="1"/>
  <c r="U107" i="3" s="1"/>
  <c r="V107" i="3" s="1"/>
  <c r="C107" i="3"/>
  <c r="D107" i="3" s="1"/>
  <c r="E107" i="3" s="1"/>
  <c r="C106" i="3"/>
  <c r="D106" i="3" s="1"/>
  <c r="E106" i="3" s="1"/>
  <c r="F106" i="3" s="1"/>
  <c r="G106" i="3" s="1"/>
  <c r="H106" i="3" s="1"/>
  <c r="I106" i="3" s="1"/>
  <c r="J106" i="3" s="1"/>
  <c r="K106" i="3" s="1"/>
  <c r="L106" i="3" s="1"/>
  <c r="M106" i="3" s="1"/>
  <c r="N106" i="3" s="1"/>
  <c r="O106" i="3" s="1"/>
  <c r="P106" i="3" s="1"/>
  <c r="Q106" i="3" s="1"/>
  <c r="R106" i="3" s="1"/>
  <c r="S106" i="3" s="1"/>
  <c r="T106" i="3" s="1"/>
  <c r="U106" i="3" s="1"/>
  <c r="V106" i="3" s="1"/>
  <c r="C104" i="3"/>
  <c r="D104" i="3" s="1"/>
  <c r="E104" i="3" s="1"/>
  <c r="F104" i="3" s="1"/>
  <c r="G104" i="3" s="1"/>
  <c r="H104" i="3" s="1"/>
  <c r="I104" i="3" s="1"/>
  <c r="J104" i="3" s="1"/>
  <c r="K104" i="3" s="1"/>
  <c r="L104" i="3" s="1"/>
  <c r="M104" i="3" s="1"/>
  <c r="N104" i="3" s="1"/>
  <c r="O104" i="3" s="1"/>
  <c r="P104" i="3" s="1"/>
  <c r="Q104" i="3" s="1"/>
  <c r="R104" i="3" s="1"/>
  <c r="S104" i="3" s="1"/>
  <c r="T104" i="3" s="1"/>
  <c r="U104" i="3" s="1"/>
  <c r="V104" i="3" s="1"/>
  <c r="C102" i="3"/>
  <c r="D102" i="3" s="1"/>
  <c r="C101" i="3"/>
  <c r="D101" i="3" s="1"/>
  <c r="K99" i="3"/>
  <c r="J99" i="3"/>
  <c r="C99" i="3"/>
  <c r="O99" i="3" s="1"/>
  <c r="O128" i="3" s="1"/>
  <c r="O140" i="3" s="1"/>
  <c r="C98" i="3"/>
  <c r="C97" i="3"/>
  <c r="C95" i="3"/>
  <c r="D95" i="3" s="1"/>
  <c r="E95" i="3" s="1"/>
  <c r="F95" i="3" s="1"/>
  <c r="G95" i="3" s="1"/>
  <c r="H95" i="3" s="1"/>
  <c r="U94" i="3"/>
  <c r="R94" i="3"/>
  <c r="N94" i="3"/>
  <c r="M94" i="3"/>
  <c r="I94" i="3"/>
  <c r="F94" i="3"/>
  <c r="C93" i="3"/>
  <c r="D93" i="3" s="1"/>
  <c r="E93" i="3" s="1"/>
  <c r="F93" i="3" s="1"/>
  <c r="G93" i="3" s="1"/>
  <c r="H93" i="3" s="1"/>
  <c r="I93" i="3" s="1"/>
  <c r="J93" i="3" s="1"/>
  <c r="K93" i="3" s="1"/>
  <c r="L93" i="3" s="1"/>
  <c r="M93" i="3" s="1"/>
  <c r="N93" i="3" s="1"/>
  <c r="O93" i="3" s="1"/>
  <c r="P93" i="3" s="1"/>
  <c r="Q93" i="3" s="1"/>
  <c r="R93" i="3" s="1"/>
  <c r="S93" i="3" s="1"/>
  <c r="T93" i="3" s="1"/>
  <c r="U93" i="3" s="1"/>
  <c r="V93" i="3" s="1"/>
  <c r="C92" i="3"/>
  <c r="C91" i="3"/>
  <c r="U90" i="3"/>
  <c r="T90" i="3"/>
  <c r="R90" i="3"/>
  <c r="N90" i="3"/>
  <c r="I90" i="3"/>
  <c r="H90" i="3"/>
  <c r="F90" i="3"/>
  <c r="V89" i="3"/>
  <c r="U89" i="3"/>
  <c r="T89" i="3"/>
  <c r="R89" i="3"/>
  <c r="Q89" i="3"/>
  <c r="P89" i="3"/>
  <c r="P90" i="3" s="1"/>
  <c r="N89" i="3"/>
  <c r="M89" i="3"/>
  <c r="L89" i="3"/>
  <c r="L90" i="3" s="1"/>
  <c r="J89" i="3"/>
  <c r="I89" i="3"/>
  <c r="H89" i="3"/>
  <c r="F89" i="3"/>
  <c r="E89" i="3"/>
  <c r="D89" i="3"/>
  <c r="D90" i="3" s="1"/>
  <c r="C89" i="3"/>
  <c r="C88" i="3"/>
  <c r="O88" i="3" s="1"/>
  <c r="C83" i="3"/>
  <c r="D83" i="3" s="1"/>
  <c r="E83" i="3" s="1"/>
  <c r="F83" i="3" s="1"/>
  <c r="G83" i="3" s="1"/>
  <c r="H83" i="3" s="1"/>
  <c r="I83" i="3" s="1"/>
  <c r="J83" i="3" s="1"/>
  <c r="K83" i="3" s="1"/>
  <c r="L83" i="3" s="1"/>
  <c r="M83" i="3" s="1"/>
  <c r="N83" i="3" s="1"/>
  <c r="O83" i="3" s="1"/>
  <c r="P83" i="3" s="1"/>
  <c r="Q83" i="3" s="1"/>
  <c r="R83" i="3" s="1"/>
  <c r="S83" i="3" s="1"/>
  <c r="T83" i="3" s="1"/>
  <c r="U83" i="3" s="1"/>
  <c r="V83" i="3" s="1"/>
  <c r="C78" i="3"/>
  <c r="C77" i="3"/>
  <c r="C75" i="3"/>
  <c r="D75" i="3" s="1"/>
  <c r="E75" i="3" s="1"/>
  <c r="F75" i="3" s="1"/>
  <c r="G75" i="3" s="1"/>
  <c r="H75" i="3" s="1"/>
  <c r="I75" i="3" s="1"/>
  <c r="J75" i="3" s="1"/>
  <c r="K75" i="3" s="1"/>
  <c r="L75" i="3" s="1"/>
  <c r="M75" i="3" s="1"/>
  <c r="N75" i="3" s="1"/>
  <c r="O75" i="3" s="1"/>
  <c r="P75" i="3" s="1"/>
  <c r="Q75" i="3" s="1"/>
  <c r="R75" i="3" s="1"/>
  <c r="S75" i="3" s="1"/>
  <c r="T75" i="3" s="1"/>
  <c r="U75" i="3" s="1"/>
  <c r="V75" i="3" s="1"/>
  <c r="C74" i="3"/>
  <c r="D74" i="3" s="1"/>
  <c r="D76" i="3" s="1"/>
  <c r="C73" i="3"/>
  <c r="D73" i="3" s="1"/>
  <c r="C72" i="3"/>
  <c r="D72" i="3" s="1"/>
  <c r="E72" i="3" s="1"/>
  <c r="F72" i="3" s="1"/>
  <c r="G72" i="3" s="1"/>
  <c r="H72" i="3" s="1"/>
  <c r="I72" i="3" s="1"/>
  <c r="J72" i="3" s="1"/>
  <c r="K72" i="3" s="1"/>
  <c r="L72" i="3" s="1"/>
  <c r="M72" i="3" s="1"/>
  <c r="N72" i="3" s="1"/>
  <c r="O72" i="3" s="1"/>
  <c r="P72" i="3" s="1"/>
  <c r="Q72" i="3" s="1"/>
  <c r="R72" i="3" s="1"/>
  <c r="S72" i="3" s="1"/>
  <c r="T72" i="3" s="1"/>
  <c r="U72" i="3" s="1"/>
  <c r="V72" i="3" s="1"/>
  <c r="C67" i="3"/>
  <c r="U67" i="3" s="1"/>
  <c r="C66" i="3"/>
  <c r="D66" i="3" s="1"/>
  <c r="E66" i="3" s="1"/>
  <c r="F66" i="3" s="1"/>
  <c r="G66" i="3" s="1"/>
  <c r="H66" i="3" s="1"/>
  <c r="I66" i="3" s="1"/>
  <c r="J66" i="3" s="1"/>
  <c r="K66" i="3" s="1"/>
  <c r="L66" i="3" s="1"/>
  <c r="M66" i="3" s="1"/>
  <c r="N66" i="3" s="1"/>
  <c r="O66" i="3" s="1"/>
  <c r="P66" i="3" s="1"/>
  <c r="Q66" i="3" s="1"/>
  <c r="R66" i="3" s="1"/>
  <c r="S66" i="3" s="1"/>
  <c r="T66" i="3" s="1"/>
  <c r="U66" i="3" s="1"/>
  <c r="V66" i="3" s="1"/>
  <c r="C65" i="3"/>
  <c r="C64" i="3"/>
  <c r="D64" i="3" s="1"/>
  <c r="E64" i="3" s="1"/>
  <c r="F64" i="3" s="1"/>
  <c r="G64" i="3" s="1"/>
  <c r="H64" i="3" s="1"/>
  <c r="C63" i="3"/>
  <c r="D63" i="3" s="1"/>
  <c r="E63" i="3" s="1"/>
  <c r="F63" i="3" s="1"/>
  <c r="G63" i="3" s="1"/>
  <c r="H63" i="3" s="1"/>
  <c r="I63" i="3" s="1"/>
  <c r="J63" i="3" s="1"/>
  <c r="K63" i="3" s="1"/>
  <c r="L63" i="3" s="1"/>
  <c r="M63" i="3" s="1"/>
  <c r="N63" i="3" s="1"/>
  <c r="O63" i="3" s="1"/>
  <c r="P63" i="3" s="1"/>
  <c r="Q63" i="3" s="1"/>
  <c r="R63" i="3" s="1"/>
  <c r="S63" i="3" s="1"/>
  <c r="T63" i="3" s="1"/>
  <c r="U63" i="3" s="1"/>
  <c r="V63" i="3" s="1"/>
  <c r="C62" i="3"/>
  <c r="D62" i="3" s="1"/>
  <c r="C61" i="3"/>
  <c r="C60" i="3"/>
  <c r="D60" i="3" s="1"/>
  <c r="B47" i="3"/>
  <c r="B23" i="3"/>
  <c r="B31" i="3" s="1"/>
  <c r="B39" i="3" s="1"/>
  <c r="F18" i="3"/>
  <c r="F26" i="3" s="1"/>
  <c r="F34" i="3" s="1"/>
  <c r="F42" i="3" s="1"/>
  <c r="C10" i="3"/>
  <c r="C9" i="3"/>
  <c r="C8" i="3"/>
  <c r="C7" i="3"/>
  <c r="C90" i="2"/>
  <c r="C89" i="2"/>
  <c r="C85" i="2"/>
  <c r="B85" i="2"/>
  <c r="C134" i="3" s="1"/>
  <c r="A85" i="2"/>
  <c r="C84" i="2"/>
  <c r="A84" i="2"/>
  <c r="C83" i="2"/>
  <c r="A83" i="2"/>
  <c r="B80" i="2"/>
  <c r="C129" i="3" s="1"/>
  <c r="B79" i="2"/>
  <c r="C128" i="3" s="1"/>
  <c r="B78" i="2"/>
  <c r="C127" i="3" s="1"/>
  <c r="B77" i="2"/>
  <c r="C126" i="3" s="1"/>
  <c r="B76" i="2"/>
  <c r="C125" i="3" s="1"/>
  <c r="B75" i="2"/>
  <c r="C124" i="3" s="1"/>
  <c r="C64" i="2"/>
  <c r="C105" i="3"/>
  <c r="B51" i="2"/>
  <c r="C100" i="3" s="1"/>
  <c r="D100" i="3" s="1"/>
  <c r="E100" i="3" s="1"/>
  <c r="F100" i="3" s="1"/>
  <c r="G100" i="3" s="1"/>
  <c r="H100" i="3" s="1"/>
  <c r="I100" i="3" s="1"/>
  <c r="J100" i="3" s="1"/>
  <c r="K100" i="3" s="1"/>
  <c r="L100" i="3" s="1"/>
  <c r="M100" i="3" s="1"/>
  <c r="N100" i="3" s="1"/>
  <c r="O100" i="3" s="1"/>
  <c r="P100" i="3" s="1"/>
  <c r="Q100" i="3" s="1"/>
  <c r="R100" i="3" s="1"/>
  <c r="S100" i="3" s="1"/>
  <c r="T100" i="3" s="1"/>
  <c r="U100" i="3" s="1"/>
  <c r="V100" i="3" s="1"/>
  <c r="B45" i="2"/>
  <c r="C94" i="3" s="1"/>
  <c r="B41" i="2"/>
  <c r="C90" i="3" s="1"/>
  <c r="B36" i="2"/>
  <c r="C85" i="3" s="1"/>
  <c r="D85" i="3" s="1"/>
  <c r="E85" i="3" s="1"/>
  <c r="F85" i="3" s="1"/>
  <c r="G85" i="3" s="1"/>
  <c r="H85" i="3" s="1"/>
  <c r="I85" i="3" s="1"/>
  <c r="J85" i="3" s="1"/>
  <c r="K85" i="3" s="1"/>
  <c r="L85" i="3" s="1"/>
  <c r="M85" i="3" s="1"/>
  <c r="N85" i="3" s="1"/>
  <c r="O85" i="3" s="1"/>
  <c r="P85" i="3" s="1"/>
  <c r="Q85" i="3" s="1"/>
  <c r="R85" i="3" s="1"/>
  <c r="S85" i="3" s="1"/>
  <c r="T85" i="3" s="1"/>
  <c r="U85" i="3" s="1"/>
  <c r="V85" i="3" s="1"/>
  <c r="B35" i="2"/>
  <c r="C84" i="3" s="1"/>
  <c r="D84" i="3" s="1"/>
  <c r="E84" i="3" s="1"/>
  <c r="F84" i="3" s="1"/>
  <c r="G84" i="3" s="1"/>
  <c r="H84" i="3" s="1"/>
  <c r="I84" i="3" s="1"/>
  <c r="J84" i="3" s="1"/>
  <c r="K84" i="3" s="1"/>
  <c r="L84" i="3" s="1"/>
  <c r="M84" i="3" s="1"/>
  <c r="N84" i="3" s="1"/>
  <c r="O84" i="3" s="1"/>
  <c r="P84" i="3" s="1"/>
  <c r="Q84" i="3" s="1"/>
  <c r="R84" i="3" s="1"/>
  <c r="S84" i="3" s="1"/>
  <c r="T84" i="3" s="1"/>
  <c r="U84" i="3" s="1"/>
  <c r="V84" i="3" s="1"/>
  <c r="C31" i="2"/>
  <c r="B31" i="2"/>
  <c r="B30" i="2"/>
  <c r="C79" i="3" s="1"/>
  <c r="B27" i="2"/>
  <c r="B62" i="2" l="1"/>
  <c r="V67" i="3"/>
  <c r="D99" i="3"/>
  <c r="D129" i="3" s="1"/>
  <c r="G99" i="3"/>
  <c r="M99" i="3"/>
  <c r="M134" i="3" s="1"/>
  <c r="C76" i="3"/>
  <c r="C113" i="3" s="1"/>
  <c r="P99" i="3"/>
  <c r="R99" i="3"/>
  <c r="R126" i="3" s="1"/>
  <c r="S99" i="3"/>
  <c r="S126" i="3" s="1"/>
  <c r="V99" i="3"/>
  <c r="V127" i="3" s="1"/>
  <c r="T99" i="3"/>
  <c r="T134" i="3" s="1"/>
  <c r="F99" i="3"/>
  <c r="F129" i="3" s="1"/>
  <c r="H99" i="3"/>
  <c r="H127" i="3" s="1"/>
  <c r="T67" i="3"/>
  <c r="L99" i="3"/>
  <c r="D126" i="3"/>
  <c r="B65" i="2"/>
  <c r="K89" i="3"/>
  <c r="K94" i="3" s="1"/>
  <c r="G89" i="3"/>
  <c r="G94" i="3" s="1"/>
  <c r="O89" i="3"/>
  <c r="O94" i="3" s="1"/>
  <c r="S89" i="3"/>
  <c r="S90" i="3" s="1"/>
  <c r="B47" i="2"/>
  <c r="C96" i="3" s="1"/>
  <c r="B20" i="2"/>
  <c r="I64" i="3"/>
  <c r="D79" i="3"/>
  <c r="E60" i="3"/>
  <c r="B91" i="2"/>
  <c r="C140" i="3" s="1"/>
  <c r="C50" i="3" s="1"/>
  <c r="E101" i="3"/>
  <c r="D105" i="3"/>
  <c r="E62" i="3"/>
  <c r="D65" i="3"/>
  <c r="E73" i="3"/>
  <c r="D80" i="3"/>
  <c r="B68" i="2"/>
  <c r="C80" i="3"/>
  <c r="K134" i="3"/>
  <c r="K128" i="3"/>
  <c r="K140" i="3" s="1"/>
  <c r="K125" i="3"/>
  <c r="K129" i="3"/>
  <c r="K126" i="3"/>
  <c r="B54" i="2"/>
  <c r="C103" i="3" s="1"/>
  <c r="B97" i="2"/>
  <c r="C146" i="3" s="1"/>
  <c r="H94" i="3"/>
  <c r="M127" i="3"/>
  <c r="M124" i="3"/>
  <c r="M146" i="3" s="1"/>
  <c r="M128" i="3"/>
  <c r="M140" i="3" s="1"/>
  <c r="M125" i="3"/>
  <c r="M126" i="3"/>
  <c r="E74" i="3"/>
  <c r="J90" i="3"/>
  <c r="V90" i="3"/>
  <c r="J94" i="3"/>
  <c r="P134" i="3"/>
  <c r="P128" i="3"/>
  <c r="P140" i="3" s="1"/>
  <c r="P125" i="3"/>
  <c r="P127" i="3"/>
  <c r="P124" i="3"/>
  <c r="P126" i="3"/>
  <c r="K90" i="3"/>
  <c r="L94" i="3"/>
  <c r="I95" i="3"/>
  <c r="R129" i="3"/>
  <c r="R127" i="3"/>
  <c r="R124" i="3"/>
  <c r="R146" i="3" s="1"/>
  <c r="R134" i="3"/>
  <c r="R125" i="3"/>
  <c r="D103" i="3"/>
  <c r="E102" i="3"/>
  <c r="K124" i="3"/>
  <c r="G88" i="3"/>
  <c r="S127" i="3"/>
  <c r="S128" i="3"/>
  <c r="S140" i="3" s="1"/>
  <c r="S125" i="3"/>
  <c r="O134" i="3"/>
  <c r="O129" i="3"/>
  <c r="O126" i="3"/>
  <c r="O127" i="3"/>
  <c r="O124" i="3"/>
  <c r="T129" i="3"/>
  <c r="T126" i="3"/>
  <c r="T128" i="3"/>
  <c r="T140" i="3" s="1"/>
  <c r="T125" i="3"/>
  <c r="T124" i="3"/>
  <c r="T146" i="3" s="1"/>
  <c r="P129" i="3"/>
  <c r="K88" i="3"/>
  <c r="S88" i="3"/>
  <c r="D134" i="3"/>
  <c r="D128" i="3"/>
  <c r="D140" i="3" s="1"/>
  <c r="D125" i="3"/>
  <c r="D127" i="3"/>
  <c r="D124" i="3"/>
  <c r="D146" i="3" s="1"/>
  <c r="V128" i="3"/>
  <c r="V140" i="3" s="1"/>
  <c r="K127" i="3"/>
  <c r="F126" i="3"/>
  <c r="F127" i="3"/>
  <c r="F128" i="3"/>
  <c r="F140" i="3" s="1"/>
  <c r="F125" i="3"/>
  <c r="D94" i="3"/>
  <c r="P94" i="3"/>
  <c r="P146" i="3"/>
  <c r="T94" i="3"/>
  <c r="G124" i="3"/>
  <c r="G134" i="3"/>
  <c r="G128" i="3"/>
  <c r="G140" i="3" s="1"/>
  <c r="G125" i="3"/>
  <c r="T127" i="3"/>
  <c r="B70" i="2"/>
  <c r="C119" i="3" s="1"/>
  <c r="E94" i="3"/>
  <c r="E90" i="3"/>
  <c r="Q94" i="3"/>
  <c r="Q90" i="3"/>
  <c r="H129" i="3"/>
  <c r="O125" i="3"/>
  <c r="B71" i="2"/>
  <c r="C120" i="3" s="1"/>
  <c r="V94" i="3"/>
  <c r="J127" i="3"/>
  <c r="J124" i="3"/>
  <c r="J146" i="3" s="1"/>
  <c r="J134" i="3"/>
  <c r="J128" i="3"/>
  <c r="J140" i="3" s="1"/>
  <c r="J125" i="3"/>
  <c r="J129" i="3"/>
  <c r="J126" i="3"/>
  <c r="M42" i="5"/>
  <c r="N42" i="5" s="1"/>
  <c r="M90" i="3"/>
  <c r="E99" i="3"/>
  <c r="Q99" i="3"/>
  <c r="L126" i="3"/>
  <c r="L129" i="3"/>
  <c r="I99" i="3"/>
  <c r="U99" i="3"/>
  <c r="L134" i="3"/>
  <c r="N99" i="3"/>
  <c r="L124" i="3"/>
  <c r="L146" i="3" s="1"/>
  <c r="V126" i="3" l="1"/>
  <c r="V129" i="3"/>
  <c r="H124" i="3"/>
  <c r="H146" i="3" s="1"/>
  <c r="C111" i="3"/>
  <c r="C112" i="3" s="1"/>
  <c r="V125" i="3"/>
  <c r="M129" i="3"/>
  <c r="R128" i="3"/>
  <c r="R140" i="3" s="1"/>
  <c r="V134" i="3"/>
  <c r="F134" i="3"/>
  <c r="V124" i="3"/>
  <c r="V146" i="3" s="1"/>
  <c r="S134" i="3"/>
  <c r="H134" i="3"/>
  <c r="F124" i="3"/>
  <c r="F146" i="3" s="1"/>
  <c r="S124" i="3"/>
  <c r="H125" i="3"/>
  <c r="H128" i="3"/>
  <c r="H140" i="3" s="1"/>
  <c r="G126" i="3"/>
  <c r="G129" i="3"/>
  <c r="H126" i="3"/>
  <c r="G127" i="3"/>
  <c r="S129" i="3"/>
  <c r="K146" i="3"/>
  <c r="G90" i="3"/>
  <c r="L127" i="3"/>
  <c r="L128" i="3"/>
  <c r="L140" i="3" s="1"/>
  <c r="L125" i="3"/>
  <c r="S94" i="3"/>
  <c r="G146" i="3"/>
  <c r="O146" i="3"/>
  <c r="O90" i="3"/>
  <c r="S146" i="3"/>
  <c r="B84" i="2"/>
  <c r="C133" i="3" s="1"/>
  <c r="B95" i="2"/>
  <c r="C144" i="3" s="1"/>
  <c r="C114" i="3"/>
  <c r="B63" i="2"/>
  <c r="B89" i="2" s="1"/>
  <c r="C138" i="3" s="1"/>
  <c r="F39" i="3" s="1"/>
  <c r="C69" i="3"/>
  <c r="B83" i="2"/>
  <c r="C132" i="3" s="1"/>
  <c r="I129" i="3"/>
  <c r="I126" i="3"/>
  <c r="I127" i="3"/>
  <c r="I124" i="3"/>
  <c r="I146" i="3" s="1"/>
  <c r="I134" i="3"/>
  <c r="I128" i="3"/>
  <c r="I140" i="3" s="1"/>
  <c r="I125" i="3"/>
  <c r="E65" i="3"/>
  <c r="F62" i="3"/>
  <c r="C117" i="3"/>
  <c r="B96" i="2"/>
  <c r="B69" i="2"/>
  <c r="E128" i="3"/>
  <c r="E140" i="3" s="1"/>
  <c r="E125" i="3"/>
  <c r="E129" i="3"/>
  <c r="E126" i="3"/>
  <c r="E134" i="3"/>
  <c r="E127" i="3"/>
  <c r="E124" i="3"/>
  <c r="E146" i="3" s="1"/>
  <c r="E105" i="3"/>
  <c r="F101" i="3"/>
  <c r="D68" i="3"/>
  <c r="D96" i="3" s="1"/>
  <c r="D133" i="3" s="1"/>
  <c r="J95" i="3"/>
  <c r="E76" i="3"/>
  <c r="F74" i="3"/>
  <c r="Q128" i="3"/>
  <c r="Q140" i="3" s="1"/>
  <c r="Q125" i="3"/>
  <c r="Q129" i="3"/>
  <c r="Q126" i="3"/>
  <c r="Q134" i="3"/>
  <c r="Q127" i="3"/>
  <c r="Q124" i="3"/>
  <c r="Q146" i="3" s="1"/>
  <c r="F73" i="3"/>
  <c r="E80" i="3"/>
  <c r="E79" i="3"/>
  <c r="F60" i="3"/>
  <c r="F102" i="3"/>
  <c r="E103" i="3"/>
  <c r="J64" i="3"/>
  <c r="N128" i="3"/>
  <c r="N140" i="3" s="1"/>
  <c r="N125" i="3"/>
  <c r="N129" i="3"/>
  <c r="N126" i="3"/>
  <c r="N127" i="3"/>
  <c r="N124" i="3"/>
  <c r="N146" i="3" s="1"/>
  <c r="N134" i="3"/>
  <c r="U129" i="3"/>
  <c r="U126" i="3"/>
  <c r="U127" i="3"/>
  <c r="U124" i="3"/>
  <c r="U146" i="3" s="1"/>
  <c r="U134" i="3"/>
  <c r="U125" i="3"/>
  <c r="U128" i="3"/>
  <c r="U140" i="3" s="1"/>
  <c r="B86" i="2" l="1"/>
  <c r="C135" i="3" s="1"/>
  <c r="F23" i="3" s="1"/>
  <c r="E68" i="3"/>
  <c r="E69" i="3" s="1"/>
  <c r="E132" i="3" s="1"/>
  <c r="G101" i="3"/>
  <c r="F105" i="3"/>
  <c r="K64" i="3"/>
  <c r="F79" i="3"/>
  <c r="G60" i="3"/>
  <c r="C118" i="3"/>
  <c r="B72" i="2"/>
  <c r="F76" i="3"/>
  <c r="G74" i="3"/>
  <c r="D69" i="3"/>
  <c r="D132" i="3" s="1"/>
  <c r="D135" i="3" s="1"/>
  <c r="C19" i="3" s="1"/>
  <c r="D111" i="3"/>
  <c r="D113" i="3"/>
  <c r="D114" i="3" s="1"/>
  <c r="D120" i="3"/>
  <c r="C145" i="3"/>
  <c r="B98" i="2"/>
  <c r="C147" i="3" s="1"/>
  <c r="E111" i="3"/>
  <c r="E113" i="3"/>
  <c r="E114" i="3" s="1"/>
  <c r="D117" i="3"/>
  <c r="D119" i="3"/>
  <c r="E119" i="3"/>
  <c r="G73" i="3"/>
  <c r="F80" i="3"/>
  <c r="K95" i="3"/>
  <c r="F103" i="3"/>
  <c r="G102" i="3"/>
  <c r="G62" i="3"/>
  <c r="F65" i="3"/>
  <c r="E120" i="3"/>
  <c r="D145" i="3" l="1"/>
  <c r="D118" i="3"/>
  <c r="D121" i="3" s="1"/>
  <c r="D139" i="3" s="1"/>
  <c r="C43" i="3" s="1"/>
  <c r="B90" i="2"/>
  <c r="C121" i="3"/>
  <c r="E112" i="3"/>
  <c r="E138" i="3" s="1"/>
  <c r="E144" i="3"/>
  <c r="G79" i="3"/>
  <c r="H60" i="3"/>
  <c r="H62" i="3"/>
  <c r="G65" i="3"/>
  <c r="F68" i="3"/>
  <c r="F69" i="3" s="1"/>
  <c r="F132" i="3" s="1"/>
  <c r="G103" i="3"/>
  <c r="H102" i="3"/>
  <c r="L64" i="3"/>
  <c r="H101" i="3"/>
  <c r="G105" i="3"/>
  <c r="L95" i="3"/>
  <c r="D144" i="3"/>
  <c r="D112" i="3"/>
  <c r="D138" i="3" s="1"/>
  <c r="E96" i="3"/>
  <c r="E133" i="3" s="1"/>
  <c r="E135" i="3" s="1"/>
  <c r="D19" i="3" s="1"/>
  <c r="H73" i="3"/>
  <c r="G80" i="3"/>
  <c r="G76" i="3"/>
  <c r="H74" i="3"/>
  <c r="E117" i="3"/>
  <c r="F119" i="3" l="1"/>
  <c r="F113" i="3"/>
  <c r="F114" i="3" s="1"/>
  <c r="F117" i="3"/>
  <c r="F111" i="3"/>
  <c r="F120" i="3"/>
  <c r="D147" i="3"/>
  <c r="D35" i="3"/>
  <c r="F145" i="3"/>
  <c r="F118" i="3"/>
  <c r="G68" i="3"/>
  <c r="G69" i="3" s="1"/>
  <c r="G132" i="3" s="1"/>
  <c r="H105" i="3"/>
  <c r="I101" i="3"/>
  <c r="I62" i="3"/>
  <c r="H65" i="3"/>
  <c r="H68" i="3"/>
  <c r="H69" i="3" s="1"/>
  <c r="H132" i="3" s="1"/>
  <c r="H76" i="3"/>
  <c r="I74" i="3"/>
  <c r="I73" i="3"/>
  <c r="H80" i="3"/>
  <c r="D141" i="3"/>
  <c r="C27" i="3" s="1"/>
  <c r="C35" i="3"/>
  <c r="H79" i="3"/>
  <c r="I60" i="3"/>
  <c r="M64" i="3"/>
  <c r="I102" i="3"/>
  <c r="H103" i="3"/>
  <c r="C139" i="3"/>
  <c r="F47" i="3"/>
  <c r="B92" i="2"/>
  <c r="C141" i="3" s="1"/>
  <c r="F31" i="3" s="1"/>
  <c r="E118" i="3"/>
  <c r="E121" i="3" s="1"/>
  <c r="E139" i="3" s="1"/>
  <c r="D43" i="3" s="1"/>
  <c r="E145" i="3"/>
  <c r="E147" i="3" s="1"/>
  <c r="M95" i="3"/>
  <c r="F96" i="3"/>
  <c r="F133" i="3" s="1"/>
  <c r="F135" i="3" s="1"/>
  <c r="E19" i="3" s="1"/>
  <c r="F112" i="3"/>
  <c r="G119" i="3" l="1"/>
  <c r="G113" i="3"/>
  <c r="G114" i="3" s="1"/>
  <c r="G120" i="3"/>
  <c r="F121" i="3"/>
  <c r="F139" i="3" s="1"/>
  <c r="E43" i="3" s="1"/>
  <c r="F144" i="3"/>
  <c r="F147" i="3" s="1"/>
  <c r="G117" i="3"/>
  <c r="G145" i="3" s="1"/>
  <c r="F138" i="3"/>
  <c r="F141" i="3" s="1"/>
  <c r="E27" i="3" s="1"/>
  <c r="I76" i="3"/>
  <c r="J74" i="3"/>
  <c r="G96" i="3"/>
  <c r="G133" i="3" s="1"/>
  <c r="G135" i="3" s="1"/>
  <c r="F19" i="3" s="1"/>
  <c r="H111" i="3"/>
  <c r="H113" i="3"/>
  <c r="H114" i="3" s="1"/>
  <c r="G111" i="3"/>
  <c r="I103" i="3"/>
  <c r="J102" i="3"/>
  <c r="J101" i="3"/>
  <c r="I105" i="3"/>
  <c r="I80" i="3"/>
  <c r="J73" i="3"/>
  <c r="I79" i="3"/>
  <c r="J60" i="3"/>
  <c r="E141" i="3"/>
  <c r="D27" i="3" s="1"/>
  <c r="H117" i="3"/>
  <c r="H96" i="3"/>
  <c r="H133" i="3" s="1"/>
  <c r="H135" i="3" s="1"/>
  <c r="C20" i="3" s="1"/>
  <c r="H120" i="3"/>
  <c r="H119" i="3"/>
  <c r="N64" i="3"/>
  <c r="J62" i="3"/>
  <c r="I65" i="3"/>
  <c r="I68" i="3"/>
  <c r="I69" i="3" s="1"/>
  <c r="I132" i="3" s="1"/>
  <c r="N95" i="3"/>
  <c r="G118" i="3" l="1"/>
  <c r="G121" i="3" s="1"/>
  <c r="G139" i="3" s="1"/>
  <c r="F43" i="3" s="1"/>
  <c r="E35" i="3"/>
  <c r="H112" i="3"/>
  <c r="H144" i="3"/>
  <c r="K74" i="3"/>
  <c r="J76" i="3"/>
  <c r="O95" i="3"/>
  <c r="I117" i="3"/>
  <c r="I96" i="3"/>
  <c r="I133" i="3" s="1"/>
  <c r="I135" i="3" s="1"/>
  <c r="D20" i="3" s="1"/>
  <c r="I119" i="3"/>
  <c r="I120" i="3"/>
  <c r="J80" i="3"/>
  <c r="K73" i="3"/>
  <c r="I113" i="3"/>
  <c r="I114" i="3" s="1"/>
  <c r="I111" i="3"/>
  <c r="H118" i="3"/>
  <c r="H121" i="3" s="1"/>
  <c r="H139" i="3" s="1"/>
  <c r="C44" i="3" s="1"/>
  <c r="H145" i="3"/>
  <c r="O64" i="3"/>
  <c r="K101" i="3"/>
  <c r="J105" i="3"/>
  <c r="G144" i="3"/>
  <c r="G147" i="3" s="1"/>
  <c r="G112" i="3"/>
  <c r="G138" i="3" s="1"/>
  <c r="J79" i="3"/>
  <c r="K60" i="3"/>
  <c r="J65" i="3"/>
  <c r="K62" i="3"/>
  <c r="J68" i="3"/>
  <c r="J69" i="3" s="1"/>
  <c r="J132" i="3" s="1"/>
  <c r="K102" i="3"/>
  <c r="J103" i="3"/>
  <c r="H138" i="3"/>
  <c r="K105" i="3" l="1"/>
  <c r="L101" i="3"/>
  <c r="P64" i="3"/>
  <c r="Q64" i="3" s="1"/>
  <c r="R64" i="3" s="1"/>
  <c r="S64" i="3" s="1"/>
  <c r="T64" i="3" s="1"/>
  <c r="I145" i="3"/>
  <c r="I118" i="3"/>
  <c r="I121" i="3" s="1"/>
  <c r="I139" i="3" s="1"/>
  <c r="D44" i="3" s="1"/>
  <c r="L102" i="3"/>
  <c r="K103" i="3"/>
  <c r="P95" i="3"/>
  <c r="J113" i="3"/>
  <c r="J114" i="3" s="1"/>
  <c r="J111" i="3"/>
  <c r="H141" i="3"/>
  <c r="C28" i="3" s="1"/>
  <c r="C36" i="3"/>
  <c r="L62" i="3"/>
  <c r="K65" i="3"/>
  <c r="K68" i="3"/>
  <c r="K69" i="3" s="1"/>
  <c r="K132" i="3" s="1"/>
  <c r="L74" i="3"/>
  <c r="K76" i="3"/>
  <c r="J117" i="3"/>
  <c r="J96" i="3"/>
  <c r="J133" i="3" s="1"/>
  <c r="J135" i="3" s="1"/>
  <c r="E20" i="3" s="1"/>
  <c r="J119" i="3"/>
  <c r="J120" i="3"/>
  <c r="I112" i="3"/>
  <c r="I138" i="3" s="1"/>
  <c r="I144" i="3"/>
  <c r="I147" i="3" s="1"/>
  <c r="G141" i="3"/>
  <c r="F27" i="3" s="1"/>
  <c r="F35" i="3"/>
  <c r="H147" i="3"/>
  <c r="K79" i="3"/>
  <c r="L60" i="3"/>
  <c r="K80" i="3"/>
  <c r="L73" i="3"/>
  <c r="I141" i="3" l="1"/>
  <c r="D28" i="3" s="1"/>
  <c r="D36" i="3"/>
  <c r="J118" i="3"/>
  <c r="J121" i="3" s="1"/>
  <c r="J139" i="3" s="1"/>
  <c r="E44" i="3" s="1"/>
  <c r="J145" i="3"/>
  <c r="Q95" i="3"/>
  <c r="M60" i="3"/>
  <c r="L79" i="3"/>
  <c r="K111" i="3"/>
  <c r="K113" i="3"/>
  <c r="K114" i="3" s="1"/>
  <c r="M74" i="3"/>
  <c r="L76" i="3"/>
  <c r="L103" i="3"/>
  <c r="M102" i="3"/>
  <c r="K96" i="3"/>
  <c r="K133" i="3" s="1"/>
  <c r="K135" i="3" s="1"/>
  <c r="F20" i="3" s="1"/>
  <c r="K119" i="3"/>
  <c r="K117" i="3"/>
  <c r="K120" i="3"/>
  <c r="M62" i="3"/>
  <c r="L65" i="3"/>
  <c r="L68" i="3"/>
  <c r="L69" i="3" s="1"/>
  <c r="L132" i="3" s="1"/>
  <c r="U64" i="3"/>
  <c r="V64" i="3" s="1"/>
  <c r="L80" i="3"/>
  <c r="M73" i="3"/>
  <c r="L105" i="3"/>
  <c r="M101" i="3"/>
  <c r="J112" i="3"/>
  <c r="J138" i="3" s="1"/>
  <c r="J144" i="3"/>
  <c r="J147" i="3" l="1"/>
  <c r="J141" i="3"/>
  <c r="E28" i="3" s="1"/>
  <c r="E36" i="3"/>
  <c r="K144" i="3"/>
  <c r="K112" i="3"/>
  <c r="K138" i="3" s="1"/>
  <c r="N60" i="3"/>
  <c r="M79" i="3"/>
  <c r="M76" i="3"/>
  <c r="N74" i="3"/>
  <c r="K118" i="3"/>
  <c r="K121" i="3" s="1"/>
  <c r="K139" i="3" s="1"/>
  <c r="F44" i="3" s="1"/>
  <c r="K145" i="3"/>
  <c r="R95" i="3"/>
  <c r="L96" i="3"/>
  <c r="L133" i="3" s="1"/>
  <c r="L135" i="3" s="1"/>
  <c r="C21" i="3" s="1"/>
  <c r="L117" i="3"/>
  <c r="L119" i="3"/>
  <c r="L120" i="3"/>
  <c r="M80" i="3"/>
  <c r="N73" i="3"/>
  <c r="N102" i="3"/>
  <c r="M103" i="3"/>
  <c r="N101" i="3"/>
  <c r="M105" i="3"/>
  <c r="N62" i="3"/>
  <c r="M65" i="3"/>
  <c r="M68" i="3"/>
  <c r="M69" i="3" s="1"/>
  <c r="M132" i="3" s="1"/>
  <c r="L113" i="3"/>
  <c r="L114" i="3" s="1"/>
  <c r="L111" i="3"/>
  <c r="K141" i="3" l="1"/>
  <c r="F28" i="3" s="1"/>
  <c r="F36" i="3"/>
  <c r="N76" i="3"/>
  <c r="O74" i="3"/>
  <c r="N105" i="3"/>
  <c r="O101" i="3"/>
  <c r="S95" i="3"/>
  <c r="O102" i="3"/>
  <c r="N103" i="3"/>
  <c r="M113" i="3"/>
  <c r="M114" i="3" s="1"/>
  <c r="M111" i="3"/>
  <c r="N80" i="3"/>
  <c r="O73" i="3"/>
  <c r="N79" i="3"/>
  <c r="O60" i="3"/>
  <c r="K147" i="3"/>
  <c r="M96" i="3"/>
  <c r="M133" i="3" s="1"/>
  <c r="M135" i="3" s="1"/>
  <c r="D21" i="3" s="1"/>
  <c r="M117" i="3"/>
  <c r="M119" i="3"/>
  <c r="M120" i="3"/>
  <c r="L145" i="3"/>
  <c r="L118" i="3"/>
  <c r="L121" i="3" s="1"/>
  <c r="L139" i="3" s="1"/>
  <c r="C45" i="3" s="1"/>
  <c r="L144" i="3"/>
  <c r="L112" i="3"/>
  <c r="L138" i="3" s="1"/>
  <c r="N65" i="3"/>
  <c r="O62" i="3"/>
  <c r="N68" i="3"/>
  <c r="N69" i="3" s="1"/>
  <c r="N132" i="3" s="1"/>
  <c r="L141" i="3" l="1"/>
  <c r="C29" i="3" s="1"/>
  <c r="C37" i="3"/>
  <c r="M145" i="3"/>
  <c r="M118" i="3"/>
  <c r="M121" i="3" s="1"/>
  <c r="M139" i="3" s="1"/>
  <c r="D45" i="3" s="1"/>
  <c r="O103" i="3"/>
  <c r="P102" i="3"/>
  <c r="T95" i="3"/>
  <c r="O105" i="3"/>
  <c r="P101" i="3"/>
  <c r="O79" i="3"/>
  <c r="P60" i="3"/>
  <c r="O76" i="3"/>
  <c r="P74" i="3"/>
  <c r="P62" i="3"/>
  <c r="O65" i="3"/>
  <c r="O68" i="3"/>
  <c r="O69" i="3" s="1"/>
  <c r="O132" i="3" s="1"/>
  <c r="N96" i="3"/>
  <c r="N133" i="3" s="1"/>
  <c r="N135" i="3" s="1"/>
  <c r="E21" i="3" s="1"/>
  <c r="N117" i="3"/>
  <c r="N119" i="3"/>
  <c r="N120" i="3"/>
  <c r="N111" i="3"/>
  <c r="N113" i="3"/>
  <c r="N114" i="3" s="1"/>
  <c r="L147" i="3"/>
  <c r="O80" i="3"/>
  <c r="P73" i="3"/>
  <c r="M144" i="3"/>
  <c r="M112" i="3"/>
  <c r="M138" i="3" s="1"/>
  <c r="M147" i="3" l="1"/>
  <c r="M141" i="3"/>
  <c r="D29" i="3" s="1"/>
  <c r="D37" i="3"/>
  <c r="N118" i="3"/>
  <c r="N121" i="3" s="1"/>
  <c r="N139" i="3" s="1"/>
  <c r="E45" i="3" s="1"/>
  <c r="N145" i="3"/>
  <c r="U95" i="3"/>
  <c r="P103" i="3"/>
  <c r="Q102" i="3"/>
  <c r="O96" i="3"/>
  <c r="O133" i="3" s="1"/>
  <c r="O135" i="3" s="1"/>
  <c r="F21" i="3" s="1"/>
  <c r="O119" i="3"/>
  <c r="O117" i="3"/>
  <c r="O120" i="3"/>
  <c r="N112" i="3"/>
  <c r="N138" i="3" s="1"/>
  <c r="N144" i="3"/>
  <c r="Q101" i="3"/>
  <c r="P105" i="3"/>
  <c r="Q73" i="3"/>
  <c r="P80" i="3"/>
  <c r="P76" i="3"/>
  <c r="Q74" i="3"/>
  <c r="O113" i="3"/>
  <c r="O114" i="3" s="1"/>
  <c r="O111" i="3"/>
  <c r="Q62" i="3"/>
  <c r="P65" i="3"/>
  <c r="P68" i="3"/>
  <c r="P69" i="3" s="1"/>
  <c r="P132" i="3" s="1"/>
  <c r="P79" i="3"/>
  <c r="Q60" i="3"/>
  <c r="N147" i="3" l="1"/>
  <c r="N141" i="3"/>
  <c r="E29" i="3" s="1"/>
  <c r="E37" i="3"/>
  <c r="Q76" i="3"/>
  <c r="R74" i="3"/>
  <c r="R102" i="3"/>
  <c r="Q103" i="3"/>
  <c r="P111" i="3"/>
  <c r="P113" i="3"/>
  <c r="P114" i="3" s="1"/>
  <c r="R73" i="3"/>
  <c r="Q80" i="3"/>
  <c r="Q79" i="3"/>
  <c r="R60" i="3"/>
  <c r="V95" i="3"/>
  <c r="Q105" i="3"/>
  <c r="R101" i="3"/>
  <c r="P117" i="3"/>
  <c r="P96" i="3"/>
  <c r="P133" i="3" s="1"/>
  <c r="P135" i="3" s="1"/>
  <c r="C22" i="3" s="1"/>
  <c r="P119" i="3"/>
  <c r="P120" i="3"/>
  <c r="Q65" i="3"/>
  <c r="Q68" i="3"/>
  <c r="Q69" i="3" s="1"/>
  <c r="Q132" i="3" s="1"/>
  <c r="R62" i="3"/>
  <c r="O112" i="3"/>
  <c r="O138" i="3" s="1"/>
  <c r="O144" i="3"/>
  <c r="O145" i="3"/>
  <c r="O118" i="3"/>
  <c r="O121" i="3" s="1"/>
  <c r="O139" i="3" s="1"/>
  <c r="F45" i="3" s="1"/>
  <c r="O147" i="3" l="1"/>
  <c r="O141" i="3"/>
  <c r="F29" i="3" s="1"/>
  <c r="F37" i="3"/>
  <c r="S73" i="3"/>
  <c r="R80" i="3"/>
  <c r="S101" i="3"/>
  <c r="R105" i="3"/>
  <c r="R103" i="3"/>
  <c r="S102" i="3"/>
  <c r="P145" i="3"/>
  <c r="P118" i="3"/>
  <c r="P121" i="3" s="1"/>
  <c r="P139" i="3" s="1"/>
  <c r="C46" i="3" s="1"/>
  <c r="R76" i="3"/>
  <c r="S74" i="3"/>
  <c r="P144" i="3"/>
  <c r="P112" i="3"/>
  <c r="P138" i="3" s="1"/>
  <c r="Q111" i="3"/>
  <c r="Q113" i="3"/>
  <c r="Q114" i="3" s="1"/>
  <c r="Q96" i="3"/>
  <c r="Q133" i="3" s="1"/>
  <c r="Q135" i="3" s="1"/>
  <c r="D22" i="3" s="1"/>
  <c r="Q117" i="3"/>
  <c r="Q119" i="3"/>
  <c r="Q120" i="3"/>
  <c r="R68" i="3"/>
  <c r="R69" i="3" s="1"/>
  <c r="R132" i="3" s="1"/>
  <c r="S62" i="3"/>
  <c r="R65" i="3"/>
  <c r="R79" i="3"/>
  <c r="S60" i="3"/>
  <c r="P141" i="3" l="1"/>
  <c r="C30" i="3" s="1"/>
  <c r="C38" i="3"/>
  <c r="Q118" i="3"/>
  <c r="Q121" i="3" s="1"/>
  <c r="Q139" i="3" s="1"/>
  <c r="D46" i="3" s="1"/>
  <c r="Q145" i="3"/>
  <c r="S103" i="3"/>
  <c r="T102" i="3"/>
  <c r="R113" i="3"/>
  <c r="R114" i="3" s="1"/>
  <c r="R111" i="3"/>
  <c r="T101" i="3"/>
  <c r="S105" i="3"/>
  <c r="T73" i="3"/>
  <c r="S80" i="3"/>
  <c r="Q112" i="3"/>
  <c r="Q138" i="3" s="1"/>
  <c r="Q144" i="3"/>
  <c r="R117" i="3"/>
  <c r="R96" i="3"/>
  <c r="R133" i="3" s="1"/>
  <c r="R135" i="3" s="1"/>
  <c r="E22" i="3" s="1"/>
  <c r="R119" i="3"/>
  <c r="R120" i="3"/>
  <c r="P147" i="3"/>
  <c r="S79" i="3"/>
  <c r="T60" i="3"/>
  <c r="S68" i="3"/>
  <c r="S69" i="3" s="1"/>
  <c r="S132" i="3" s="1"/>
  <c r="T62" i="3"/>
  <c r="S65" i="3"/>
  <c r="S76" i="3"/>
  <c r="T74" i="3"/>
  <c r="Q147" i="3" l="1"/>
  <c r="Q141" i="3"/>
  <c r="D30" i="3" s="1"/>
  <c r="D38" i="3"/>
  <c r="T105" i="3"/>
  <c r="U101" i="3"/>
  <c r="R112" i="3"/>
  <c r="R138" i="3" s="1"/>
  <c r="R144" i="3"/>
  <c r="U102" i="3"/>
  <c r="T103" i="3"/>
  <c r="R145" i="3"/>
  <c r="R118" i="3"/>
  <c r="R121" i="3" s="1"/>
  <c r="R139" i="3" s="1"/>
  <c r="E46" i="3" s="1"/>
  <c r="T76" i="3"/>
  <c r="U74" i="3"/>
  <c r="S113" i="3"/>
  <c r="S114" i="3" s="1"/>
  <c r="S111" i="3"/>
  <c r="S96" i="3"/>
  <c r="S133" i="3" s="1"/>
  <c r="S135" i="3" s="1"/>
  <c r="F22" i="3" s="1"/>
  <c r="S119" i="3"/>
  <c r="S117" i="3"/>
  <c r="S120" i="3"/>
  <c r="T79" i="3"/>
  <c r="U60" i="3"/>
  <c r="U62" i="3"/>
  <c r="T65" i="3"/>
  <c r="T68" i="3"/>
  <c r="U73" i="3"/>
  <c r="T80" i="3"/>
  <c r="R141" i="3" l="1"/>
  <c r="E30" i="3" s="1"/>
  <c r="E38" i="3"/>
  <c r="U68" i="3"/>
  <c r="U69" i="3" s="1"/>
  <c r="U132" i="3" s="1"/>
  <c r="T69" i="3"/>
  <c r="T132" i="3" s="1"/>
  <c r="V68" i="3"/>
  <c r="T117" i="3"/>
  <c r="T96" i="3"/>
  <c r="T133" i="3" s="1"/>
  <c r="T119" i="3"/>
  <c r="T120" i="3"/>
  <c r="V62" i="3"/>
  <c r="V65" i="3" s="1"/>
  <c r="U65" i="3"/>
  <c r="T111" i="3"/>
  <c r="T113" i="3"/>
  <c r="T114" i="3" s="1"/>
  <c r="U79" i="3"/>
  <c r="V60" i="3"/>
  <c r="V79" i="3" s="1"/>
  <c r="U103" i="3"/>
  <c r="V102" i="3"/>
  <c r="R147" i="3"/>
  <c r="S118" i="3"/>
  <c r="S121" i="3" s="1"/>
  <c r="S139" i="3" s="1"/>
  <c r="F46" i="3" s="1"/>
  <c r="S145" i="3"/>
  <c r="V101" i="3"/>
  <c r="V105" i="3" s="1"/>
  <c r="U105" i="3"/>
  <c r="S144" i="3"/>
  <c r="S112" i="3"/>
  <c r="S138" i="3" s="1"/>
  <c r="U80" i="3"/>
  <c r="V73" i="3"/>
  <c r="U76" i="3"/>
  <c r="V74" i="3"/>
  <c r="V76" i="3" s="1"/>
  <c r="V80" i="3" l="1"/>
  <c r="S147" i="3"/>
  <c r="V117" i="3"/>
  <c r="V96" i="3"/>
  <c r="V133" i="3" s="1"/>
  <c r="V119" i="3"/>
  <c r="V120" i="3"/>
  <c r="T118" i="3"/>
  <c r="T121" i="3" s="1"/>
  <c r="T139" i="3" s="1"/>
  <c r="C47" i="3" s="1"/>
  <c r="T145" i="3"/>
  <c r="U117" i="3"/>
  <c r="U96" i="3"/>
  <c r="U133" i="3" s="1"/>
  <c r="U135" i="3" s="1"/>
  <c r="D23" i="3" s="1"/>
  <c r="U119" i="3"/>
  <c r="U120" i="3"/>
  <c r="V113" i="3"/>
  <c r="V114" i="3" s="1"/>
  <c r="V111" i="3"/>
  <c r="V103" i="3"/>
  <c r="V69" i="3"/>
  <c r="V132" i="3" s="1"/>
  <c r="T135" i="3"/>
  <c r="C23" i="3" s="1"/>
  <c r="S141" i="3"/>
  <c r="F30" i="3" s="1"/>
  <c r="F38" i="3"/>
  <c r="U113" i="3"/>
  <c r="U114" i="3" s="1"/>
  <c r="U111" i="3"/>
  <c r="T112" i="3"/>
  <c r="T138" i="3" s="1"/>
  <c r="T144" i="3"/>
  <c r="T141" i="3" l="1"/>
  <c r="C31" i="3" s="1"/>
  <c r="C39" i="3"/>
  <c r="U145" i="3"/>
  <c r="U118" i="3"/>
  <c r="U121" i="3" s="1"/>
  <c r="U139" i="3" s="1"/>
  <c r="D47" i="3" s="1"/>
  <c r="U112" i="3"/>
  <c r="U138" i="3" s="1"/>
  <c r="U144" i="3"/>
  <c r="U147" i="3" s="1"/>
  <c r="V135" i="3"/>
  <c r="E23" i="3" s="1"/>
  <c r="V118" i="3"/>
  <c r="V121" i="3" s="1"/>
  <c r="V139" i="3" s="1"/>
  <c r="E47" i="3" s="1"/>
  <c r="V145" i="3"/>
  <c r="T147" i="3"/>
  <c r="V112" i="3"/>
  <c r="V138" i="3" s="1"/>
  <c r="V144" i="3"/>
  <c r="U141" i="3" l="1"/>
  <c r="D31" i="3" s="1"/>
  <c r="D39" i="3"/>
  <c r="V147" i="3"/>
  <c r="V141" i="3"/>
  <c r="E31" i="3" s="1"/>
  <c r="E39" i="3"/>
</calcChain>
</file>

<file path=xl/sharedStrings.xml><?xml version="1.0" encoding="utf-8"?>
<sst xmlns="http://schemas.openxmlformats.org/spreadsheetml/2006/main" count="748" uniqueCount="403">
  <si>
    <t>enVerid COVID-19 Energy Estimator</t>
  </si>
  <si>
    <t>For your own copy, select File (top left) --&gt; Make a Copy OR Download to Excel</t>
  </si>
  <si>
    <t>Developed by:</t>
  </si>
  <si>
    <t>Marwa Zaatari, Anurag Goel, Sean Joseph</t>
  </si>
  <si>
    <t>Come back for new versions</t>
  </si>
  <si>
    <t xml:space="preserve">For more info: </t>
  </si>
  <si>
    <t>https://tinyurl.com/energy-estimator-pr</t>
  </si>
  <si>
    <t>&lt;link for providing feedback&gt;</t>
  </si>
  <si>
    <t>Version &amp; date</t>
  </si>
  <si>
    <t>0.1.3</t>
  </si>
  <si>
    <t>What we are trying to estimate</t>
  </si>
  <si>
    <t xml:space="preserve">Operating, maintenance, first costs, and carbon costs associated with ventilation, filtration, and air cleaning mitigation strategies intended to reduce the propagation of COVID-19 by aerosol transmission. </t>
  </si>
  <si>
    <t>How to use the estimator</t>
  </si>
  <si>
    <t>This online version will be kept up-to-date. We can't allow people to make changes to the online version, as otherwise people would overwrite each other's changes</t>
  </si>
  <si>
    <t>People interested in using the model should download an Excel version from File --&gt; Download or make a G Sheets copy with File --&gt; Make a copy</t>
  </si>
  <si>
    <t>Or you can download an Excel version with the direct link above</t>
  </si>
  <si>
    <t>The online model will continue to be updated, so you may want to re-download the file later on, if you continue to use it, to get the latest updates</t>
  </si>
  <si>
    <t>See the version log at the bottom of this sheet for a brief description of the updates</t>
  </si>
  <si>
    <t>Inputs and Outputs</t>
  </si>
  <si>
    <t>Inputs are colored in orange</t>
  </si>
  <si>
    <t>Outputs are colored in blue.</t>
  </si>
  <si>
    <t>These are the final results of the model for each case. These values can be overwritten, but note that once overwritten these calculated values can no longer be updated.</t>
  </si>
  <si>
    <t>Suggestions and improvements</t>
  </si>
  <si>
    <t xml:space="preserve">Please provide suggestions for improvements using this link:  </t>
  </si>
  <si>
    <t xml:space="preserve">Calculation Methodology </t>
  </si>
  <si>
    <t>Annual Operating Costs - Ventilation</t>
  </si>
  <si>
    <r>
      <rPr>
        <b/>
        <sz val="10"/>
        <rFont val="Arial"/>
      </rPr>
      <t xml:space="preserve">General. </t>
    </r>
    <r>
      <rPr>
        <sz val="10"/>
        <color rgb="FF000000"/>
        <rFont val="Arial"/>
      </rPr>
      <t xml:space="preserve">2017 ASHRAE Handbook—Fundamentals calculations are used to calculate cooling and heating energy consumption associated with conditioning outside air. By default, energy consumption is calculated assuming building occupied hours are between 7AM and 7PM, Monday through Saturday. When default occupancy hours are over-written with custom values, the default energy calculations are scaled. This is discussed in more detail in the section below. </t>
    </r>
  </si>
  <si>
    <r>
      <rPr>
        <b/>
        <sz val="10"/>
        <rFont val="Arial"/>
      </rPr>
      <t>Cooling Energy.</t>
    </r>
    <r>
      <rPr>
        <sz val="10"/>
        <color rgb="FF000000"/>
        <rFont val="Arial"/>
      </rPr>
      <t xml:space="preserve"> Sensible and latent cooling energy is computed for each hour of building occupancy. </t>
    </r>
  </si>
  <si>
    <t xml:space="preserve">For each occupied hour: </t>
  </si>
  <si>
    <t>Where,</t>
  </si>
  <si>
    <t>4.5 = Total heat conversion factor to BTU/hr</t>
  </si>
  <si>
    <t>Q_OA = outdoor airflow (CFM)</t>
  </si>
  <si>
    <t>h_oa = outdoor air enthalpy calculated from TMY3 weather data (BTU/lb)</t>
  </si>
  <si>
    <t>h_da = discharge air enthalpy setpoint, assumed to be 23 (BTU/lb)</t>
  </si>
  <si>
    <t xml:space="preserve">COP is the coefficient of performance </t>
  </si>
  <si>
    <r>
      <rPr>
        <b/>
        <sz val="10"/>
        <rFont val="Arial"/>
      </rPr>
      <t>Heating Energy.</t>
    </r>
    <r>
      <rPr>
        <sz val="10"/>
        <color rgb="FF000000"/>
        <rFont val="Arial"/>
      </rPr>
      <t xml:space="preserve"> Sensible heating energy is computed for each hour of building occupancy.</t>
    </r>
  </si>
  <si>
    <t>1.08 = Sensible heat conversion factor to BTU/hr</t>
  </si>
  <si>
    <t>t_oa = outdoor air dry bulb temperature per TMY3 weather data (℉)</t>
  </si>
  <si>
    <t>t_da = discharge dry bulb air temperature setpoint, assumed to be 70 (°F)</t>
  </si>
  <si>
    <t xml:space="preserve">Heating efficiency is the heating efficiency (%) </t>
  </si>
  <si>
    <r>
      <rPr>
        <b/>
        <sz val="10"/>
        <rFont val="Arial"/>
      </rPr>
      <t>Cooling and Heating Energy per CFM.</t>
    </r>
    <r>
      <rPr>
        <sz val="10"/>
        <color rgb="FF000000"/>
        <rFont val="Arial"/>
      </rPr>
      <t xml:space="preserve"> Using the above equations, the yearly energy use per 1 CFM of outside air was computed for the top metropolitan areas in the US. A summary of these results can be found in Table 1. </t>
    </r>
  </si>
  <si>
    <r>
      <rPr>
        <b/>
        <sz val="10"/>
        <rFont val="Arial"/>
      </rPr>
      <t>Cooling and Heating Energy Rates.</t>
    </r>
    <r>
      <rPr>
        <sz val="10"/>
        <color rgb="FF000000"/>
        <rFont val="Arial"/>
      </rPr>
      <t xml:space="preserve"> Energy rates for each of the top US metro areas are estimated based upon local utility costs. A summary of these results can be found in Table 1. </t>
    </r>
  </si>
  <si>
    <r>
      <rPr>
        <b/>
        <sz val="10"/>
        <rFont val="Arial"/>
      </rPr>
      <t>Annual Operating Costs – Ventilation</t>
    </r>
    <r>
      <rPr>
        <sz val="10"/>
        <color rgb="FF000000"/>
        <rFont val="Arial"/>
      </rPr>
      <t>. Once Energy use per CFM and Energy cost have been determined, Annual operating cost are estimated based upon user inputs using the following formula.</t>
    </r>
  </si>
  <si>
    <t>C_AO = Annual Operating Cost of Ventilation ($/year)</t>
  </si>
  <si>
    <t>CE_CFM = Cooling Energy per CFM (kWh/CFM/year)</t>
  </si>
  <si>
    <t>ER_C = Cooling Energy Rate ($/kWh)</t>
  </si>
  <si>
    <t>HE_CFM = Heating Energy per CFM (kWh/CFM/year)</t>
  </si>
  <si>
    <t>ER_H = Heating Energy Rate ($/kWh)</t>
  </si>
  <si>
    <t>Annual Operating Costs – Filtration</t>
  </si>
  <si>
    <r>
      <rPr>
        <b/>
        <sz val="10"/>
        <rFont val="Arial"/>
      </rPr>
      <t>General</t>
    </r>
    <r>
      <rPr>
        <sz val="10"/>
        <color rgb="FF000000"/>
        <rFont val="Arial"/>
      </rPr>
      <t>. Filter Annual Operating expenditure is estimated using the methodology utilized in "HVAC filtration and the Wells-Riley approach to assessing risks of infectious airborne diseases" in the “Cost of HVAC Filtration” section starting on page 30 (Available here: https://www.nafahq.org/wp-content/uploads/WellsRileyReport.pdf). The filter Annual Operating expenditure calculation includes the fan energy component, the filter material cost component, and the labor component of the filter costs.</t>
    </r>
  </si>
  <si>
    <t>Carbon Emissions</t>
  </si>
  <si>
    <r>
      <t xml:space="preserve">Carbon emissions were determined from total yearly energy used to kg CO2 using EPA conversion factors found here: </t>
    </r>
    <r>
      <rPr>
        <sz val="10"/>
        <color rgb="FF1155CC"/>
        <rFont val="Arial"/>
      </rPr>
      <t>https://www.epa.gov/energy/greenhouse-gases-equivalencies-calculator-calculations-and-references</t>
    </r>
  </si>
  <si>
    <t xml:space="preserve">Understanding CADR	</t>
  </si>
  <si>
    <t xml:space="preserve">Clean air delivery rate is a combination of filter performance and also how much air passes through that filter (e.g., a device with a great filter but no air passing through is not effective)											</t>
  </si>
  <si>
    <t xml:space="preserve">				
CADR is determined for different particle sizes; use the smoke or dust rating	</t>
  </si>
  <si>
    <t>A more elaborate calculator for HEPA filters can be found here:</t>
  </si>
  <si>
    <t>https://docs.google.com/spreadsheets/d/1NEhk1IEdbEi_b3wa6gI_zNs8uBJjlSS-86d4b7bW098/edit#gid=1882881703</t>
  </si>
  <si>
    <t>If you know the airflow through the device, use Table 2 to get the efficiency, then multiply efficiency by airflow to get CADR</t>
  </si>
  <si>
    <t>For UVGI devices, you can use a proxy CADR by multiplying the airflow through the UV lights times the reported efficiency. Be sure to consider residence time, the output loss if the UV lights are placed after the cooling coil (cold environment), and depreciation.</t>
  </si>
  <si>
    <t>Version log</t>
  </si>
  <si>
    <t>0.1.1</t>
  </si>
  <si>
    <t>0.1.2</t>
  </si>
  <si>
    <t>Corrected table 1 syntax error upon download, replaced readme screenshots with text, corrected readme heating and cooling energy formulas, updated filter pressure drop to IP units.</t>
  </si>
  <si>
    <t xml:space="preserve">Added Raleigh, NC. Added San Jose, CA. Updated heating energy setpoint from 70 degrees F to 55 degrees F. added 24/7 weather data </t>
  </si>
  <si>
    <t>Planned Improvements as time allows</t>
  </si>
  <si>
    <t>Include details on default VRP and IAQP calculations</t>
  </si>
  <si>
    <t>add additional US cities upon request</t>
  </si>
  <si>
    <t>About enVerid:</t>
  </si>
  <si>
    <r>
      <t xml:space="preserve">enVerid helps buildings achieve ESG (Environmental, Social, and Governance), healthy building, and cost saving goals by improving indoor air quality while saving money and reducing energy consumption and carbon emissions. For new HVAC systems, enVerid’s award-winning HVAC Load Reduction® (HLR) Modules enable immediate capital cost savings. HLR Modules also deliver up to 30% energy savings and superior indoor air quality in new and existing buildings. enVerid’s air filtration products remove particulate and microorganism contamination from indoor air without the significant cost of upgrading mechanical systems and increasing mechanical ventilation rates. enVerid’s products are deployed in commercial, academic and government buildings globally. enVerid’s HLR Modules are ASHRAE Standard 62.1, LEED, and WELL compliant and eligible for utility rebates. For more information please visit </t>
    </r>
    <r>
      <rPr>
        <b/>
        <u/>
        <sz val="10"/>
        <color rgb="FF1155CC"/>
        <rFont val="Arial"/>
      </rPr>
      <t>https://enverid.com</t>
    </r>
    <r>
      <rPr>
        <sz val="10"/>
        <color rgb="FF000000"/>
        <rFont val="Arial"/>
      </rPr>
      <t>.</t>
    </r>
  </si>
  <si>
    <t>enVerid COVID-19 Energy Estimator - Calculations</t>
  </si>
  <si>
    <r>
      <t xml:space="preserve">This is a general spreadsheet applicable to any situation, under the assumptions of this model - </t>
    </r>
    <r>
      <rPr>
        <i/>
        <sz val="10"/>
        <rFont val="Open Sans"/>
      </rPr>
      <t>See notes specific to this case (if applicable) at the very bottom</t>
    </r>
  </si>
  <si>
    <t>Inputs as highlighted in orange - change these for your situation</t>
  </si>
  <si>
    <t xml:space="preserve">Specialized inputs or calculated outputs </t>
  </si>
  <si>
    <t>Results are in blue -- these are the numbers of interest for most people</t>
  </si>
  <si>
    <t>Parameter</t>
  </si>
  <si>
    <t>Input/Output</t>
  </si>
  <si>
    <t>units</t>
  </si>
  <si>
    <t>Source / Comments</t>
  </si>
  <si>
    <t>General Inputs</t>
  </si>
  <si>
    <t>Representative city</t>
  </si>
  <si>
    <t>Raleigh, NC</t>
  </si>
  <si>
    <t xml:space="preserve">Requests for additional cities can be submitted here. </t>
  </si>
  <si>
    <t>Space type</t>
  </si>
  <si>
    <t>Office space</t>
  </si>
  <si>
    <t>Primary space type</t>
  </si>
  <si>
    <t>Floor area</t>
  </si>
  <si>
    <r>
      <t>ft</t>
    </r>
    <r>
      <rPr>
        <i/>
        <vertAlign val="superscript"/>
        <sz val="10"/>
        <color theme="1"/>
        <rFont val="Open Sans"/>
      </rPr>
      <t>2</t>
    </r>
  </si>
  <si>
    <t>Average ceiling height</t>
  </si>
  <si>
    <t>ft</t>
  </si>
  <si>
    <t>Occupancy</t>
  </si>
  <si>
    <t>occupants</t>
  </si>
  <si>
    <t>Total supply airflow</t>
  </si>
  <si>
    <t>CFM</t>
  </si>
  <si>
    <r>
      <t>If you don't know the airflow, assume 1 cfm/ft</t>
    </r>
    <r>
      <rPr>
        <vertAlign val="superscript"/>
        <sz val="10"/>
        <color theme="1"/>
        <rFont val="Open Sans"/>
      </rPr>
      <t>2</t>
    </r>
    <r>
      <rPr>
        <sz val="10"/>
        <color theme="1"/>
        <rFont val="Open Sans"/>
      </rPr>
      <t>. This value must be greater than or equal to outside air value.</t>
    </r>
  </si>
  <si>
    <t>System ventilation efficiency</t>
  </si>
  <si>
    <t>Building system ventilation efficiency. Applies to most systems with multiple ventilation zones. Set to 1.0 for single zone buildings. Utilize ASHRAE 62.1 to calculate system ventilation efficiency</t>
  </si>
  <si>
    <t>OA calculation method</t>
  </si>
  <si>
    <t>VRP</t>
  </si>
  <si>
    <t>Input building outside air ventilation strategy
VRP = Ventilation Rate Procedure, prescriptive approach per ASHRAE Standard 62.1
VRP + 30% = 30% more than the prescriptive approach
100% OA = all the total supply air is outside air
IAQP = Indoor Air Quality Procedure, performance-based procesure per ASHRAE Standard 62.1
Other = Manual entry</t>
  </si>
  <si>
    <t>Outside airflow</t>
  </si>
  <si>
    <t>Calculated based upon building ventilation strategy and general inputs. Note that this value can be overwritten by the user.</t>
  </si>
  <si>
    <t>Outside air ACH</t>
  </si>
  <si>
    <t>/h</t>
  </si>
  <si>
    <t>(ACH = Air changes per hour)</t>
  </si>
  <si>
    <t>Outside air ventilation Energy &amp; Operating Costs Inputs</t>
  </si>
  <si>
    <t>Outside air ventilation cooling source</t>
  </si>
  <si>
    <t>Electricity</t>
  </si>
  <si>
    <t>At this time this calculator only supports electric cooling. Chilled water cooling is planned for a future revision.</t>
  </si>
  <si>
    <t>Outside air ventilation heating source</t>
  </si>
  <si>
    <t>Gas</t>
  </si>
  <si>
    <t>At this time this calculator only supports electric, natural gas, and steam heating.</t>
  </si>
  <si>
    <t>Hours per day of building operation</t>
  </si>
  <si>
    <t>hours/day</t>
  </si>
  <si>
    <t>These inputs for COP, heating efficiency, and weekly building operations hours are used to linearly estimate the energy use per cfm for your building. Estimates are based on a COP of 3, an Efficiency of 1.0, and 72 weekly building operational hours. For 24/7 Buildings, a secondary weather data set is utilized.</t>
  </si>
  <si>
    <t>Days per week of building operation</t>
  </si>
  <si>
    <t>days/week</t>
  </si>
  <si>
    <t>Hours per week of operations</t>
  </si>
  <si>
    <t>hours/week</t>
  </si>
  <si>
    <t>COP</t>
  </si>
  <si>
    <t>Heating Efficiency</t>
  </si>
  <si>
    <t>Electricity rate</t>
  </si>
  <si>
    <t>$/kWh (blended)</t>
  </si>
  <si>
    <t>Estimate based upon local utility costs</t>
  </si>
  <si>
    <t>Heating energy rate</t>
  </si>
  <si>
    <t>Energy Recovery Inputs (optional)</t>
  </si>
  <si>
    <t>Is energy recovery being utilized in this building?</t>
  </si>
  <si>
    <t>No</t>
  </si>
  <si>
    <t>Summer energy recovery effectiveness</t>
  </si>
  <si>
    <t>Enter as a fraction. 1.0=100%. Note that this value should take into account the percent of OA utilizing the energy recovery wheel</t>
  </si>
  <si>
    <t>Winter energy recovery effectiveness</t>
  </si>
  <si>
    <t>Indoor Air Filtration Operating Costs &amp; First Costs Inputs</t>
  </si>
  <si>
    <t>Is filtration being utilized to clean recirculated air?</t>
  </si>
  <si>
    <t>Yes</t>
  </si>
  <si>
    <t xml:space="preserve">Indoor Air Filtration MERV </t>
  </si>
  <si>
    <t>HEPA</t>
  </si>
  <si>
    <t>Minimum Efficiency Reported Value</t>
  </si>
  <si>
    <t>Average pressure drop across the filter</t>
  </si>
  <si>
    <t>in. w.g.</t>
  </si>
  <si>
    <t>Pressure Drop across the filter values can be found in Table 3</t>
  </si>
  <si>
    <t>Fan Efficiency</t>
  </si>
  <si>
    <t>Motor Efficiency</t>
  </si>
  <si>
    <t>Maximum allowable filter airspeed</t>
  </si>
  <si>
    <t>fpm</t>
  </si>
  <si>
    <t>Maximum allowable filter airspeed in feet per min</t>
  </si>
  <si>
    <t>Estimated filter lifespan</t>
  </si>
  <si>
    <t>months</t>
  </si>
  <si>
    <t>Labor cost of replacing a filter</t>
  </si>
  <si>
    <t>$/filter</t>
  </si>
  <si>
    <t>Estimated labor cost for replacing a single filter</t>
  </si>
  <si>
    <t>Filtration ACH</t>
  </si>
  <si>
    <t>Air Cleaner Operating Cost &amp; First Cost Inputs</t>
  </si>
  <si>
    <t>Are air cleaners being utlized to clean additional recirculated air?</t>
  </si>
  <si>
    <t>Quantity of air cleaners</t>
  </si>
  <si>
    <t>Air cleaner supply air per air cleaner</t>
  </si>
  <si>
    <t>CADR per air cleaner</t>
  </si>
  <si>
    <t>See readme, row 89</t>
  </si>
  <si>
    <t>Additional ACH</t>
  </si>
  <si>
    <t>First Cost per air cleaner</t>
  </si>
  <si>
    <t>$</t>
  </si>
  <si>
    <t>First cost includes hardware plus installation cost if applicable (does not include material costs i.e. filters, lamps, etc.)</t>
  </si>
  <si>
    <t>Air Cleaner Power</t>
  </si>
  <si>
    <t>kW/unit</t>
  </si>
  <si>
    <t>Estimated lifespan before maintenance</t>
  </si>
  <si>
    <t>Maintenance is scheduled maintenance to replace consumables such as filters, UV lamps, etc.</t>
  </si>
  <si>
    <t>Labor cost of maintenance</t>
  </si>
  <si>
    <t>$/unit</t>
  </si>
  <si>
    <t>Material cost of maintenance</t>
  </si>
  <si>
    <t>Outside air ventilation Energy Consumption &amp; Cost</t>
  </si>
  <si>
    <t>Cooling Outside Air Ventilation Energy</t>
  </si>
  <si>
    <t>kWh/year</t>
  </si>
  <si>
    <t>Cooling Outside Air Ventilation Energy Cost</t>
  </si>
  <si>
    <t>$/year</t>
  </si>
  <si>
    <t>Heating Outside Air Ventilation Energy</t>
  </si>
  <si>
    <t>Note that units update automatically based upon ventilation heating source</t>
  </si>
  <si>
    <t>Heating Outside Air Ventilation Energy Cost</t>
  </si>
  <si>
    <t>Indoor Air Filtration Energy Consumption &amp; Cost</t>
  </si>
  <si>
    <t>Indoor air filtration fan energy load</t>
  </si>
  <si>
    <t>kW</t>
  </si>
  <si>
    <t>see readme</t>
  </si>
  <si>
    <t>Annual filtration fan energy</t>
  </si>
  <si>
    <t>Fan energy cost per year = fan energy * operational hours per year * blended electrical energy rate</t>
  </si>
  <si>
    <t>Material cost of filter replacement</t>
  </si>
  <si>
    <t>Filter Material cost table can be found in Table 3</t>
  </si>
  <si>
    <t>Labor cost of filter replacement</t>
  </si>
  <si>
    <t>filter labor costs = cost to replace each filter * quantity of filters * replacements per year per filter</t>
  </si>
  <si>
    <t>Annual filter fan energy and filter replacement costs</t>
  </si>
  <si>
    <t>operational cost of filters (includes material costs, maintenance costs, and fan energy costs)</t>
  </si>
  <si>
    <t>Air cleaner Operating Cost &amp; First Cost Outputs</t>
  </si>
  <si>
    <t>Air Cleaner Annual Energy Consumption</t>
  </si>
  <si>
    <t>Air Cleaner Annual Energy Cost</t>
  </si>
  <si>
    <t>Air Cleaner Filter Material Cost</t>
  </si>
  <si>
    <t>Air Cleaner Maintenance Labor Cost</t>
  </si>
  <si>
    <t>Air Cleaner Total Annual Cost</t>
  </si>
  <si>
    <t>= Energy cost + material cost + maintenance</t>
  </si>
  <si>
    <t>Air Cleaner First Cost</t>
  </si>
  <si>
    <t>Effective Air Changes per Hour (ACH)</t>
  </si>
  <si>
    <t>Effective ACH</t>
  </si>
  <si>
    <t>ACH for outside air, filtration, and additional air cleaning</t>
  </si>
  <si>
    <t>Annual Cost Summary</t>
  </si>
  <si>
    <t>Annual outside air ventilation energy cost</t>
  </si>
  <si>
    <t>OpEx</t>
  </si>
  <si>
    <t>Annual indoor air filter fan energy and filter replacement costs</t>
  </si>
  <si>
    <t>OpEx + Material Costs + Maintenance</t>
  </si>
  <si>
    <t>Annual air cleaner energy consumption and maintenance costs</t>
  </si>
  <si>
    <t>OpEx + Material Costs + Maintenance (Does not include first cost of air cleaner)</t>
  </si>
  <si>
    <t>Total annual costs</t>
  </si>
  <si>
    <t>Annual Carbon Emissions</t>
  </si>
  <si>
    <t>Carbon emissions - outside air ventilation energy</t>
  </si>
  <si>
    <r>
      <t>metric tons of CO</t>
    </r>
    <r>
      <rPr>
        <i/>
        <vertAlign val="subscript"/>
        <sz val="10"/>
        <color rgb="FF000000"/>
        <rFont val="Open Sans"/>
      </rPr>
      <t>2</t>
    </r>
    <r>
      <rPr>
        <i/>
        <sz val="10"/>
        <color rgb="FF000000"/>
        <rFont val="Open Sans"/>
      </rPr>
      <t>/year</t>
    </r>
  </si>
  <si>
    <t>Carbon emissions - filtration fan energy</t>
  </si>
  <si>
    <r>
      <t>metric tons of CO</t>
    </r>
    <r>
      <rPr>
        <i/>
        <vertAlign val="subscript"/>
        <sz val="10"/>
        <color rgb="FF000000"/>
        <rFont val="Open Sans"/>
      </rPr>
      <t>2</t>
    </r>
    <r>
      <rPr>
        <i/>
        <sz val="10"/>
        <color rgb="FF000000"/>
        <rFont val="Open Sans"/>
      </rPr>
      <t>/year</t>
    </r>
  </si>
  <si>
    <t>Carbon emissions - Air cleaner energy</t>
  </si>
  <si>
    <r>
      <t>metric tons of CO</t>
    </r>
    <r>
      <rPr>
        <i/>
        <vertAlign val="subscript"/>
        <sz val="10"/>
        <color rgb="FF000000"/>
        <rFont val="Open Sans"/>
      </rPr>
      <t>2</t>
    </r>
    <r>
      <rPr>
        <i/>
        <sz val="10"/>
        <color rgb="FF000000"/>
        <rFont val="Open Sans"/>
      </rPr>
      <t>/year</t>
    </r>
  </si>
  <si>
    <t>Total Carbon Emissions</t>
  </si>
  <si>
    <r>
      <t>metric tons of CO</t>
    </r>
    <r>
      <rPr>
        <i/>
        <vertAlign val="subscript"/>
        <sz val="10"/>
        <color rgb="FF000000"/>
        <rFont val="Open Sans"/>
      </rPr>
      <t>2</t>
    </r>
    <r>
      <rPr>
        <i/>
        <sz val="10"/>
        <color rgb="FF000000"/>
        <rFont val="Open Sans"/>
      </rPr>
      <t>/year</t>
    </r>
  </si>
  <si>
    <t>enVerid COVID-19 Energy Estimator - Scenario Comparison</t>
  </si>
  <si>
    <t>This spreadsheet summarizes the ACH and cost for different ventilation and filtration scenarios                                                                  </t>
  </si>
  <si>
    <t>Do not change the results in this tab. Any change should be made to the Calculation Tab</t>
  </si>
  <si>
    <t>City</t>
  </si>
  <si>
    <t>Space Type</t>
  </si>
  <si>
    <t>Floor Area</t>
  </si>
  <si>
    <t>Notes:</t>
  </si>
  <si>
    <t>Rows and columns in green show the scenario chosen on the Calculation tab</t>
  </si>
  <si>
    <t xml:space="preserve">The other scenarios are calculated to show various scenarios based on the other inputs from the Calculation tab </t>
  </si>
  <si>
    <t>All other inputs not listed here are common across all scenarios</t>
  </si>
  <si>
    <t>MERV 7</t>
  </si>
  <si>
    <t>MERV 11</t>
  </si>
  <si>
    <t>MERV 13</t>
  </si>
  <si>
    <t>100% OA</t>
  </si>
  <si>
    <t>VRP+30%</t>
  </si>
  <si>
    <t>IAQP</t>
  </si>
  <si>
    <t>Total Annual Cost</t>
  </si>
  <si>
    <t>Outside Air Ventilation - Energy Cost</t>
  </si>
  <si>
    <t>Indoor Air Filtration - Energy Cost + Maintenance Cost</t>
  </si>
  <si>
    <t>Air Cleaner - Energy Cost + Maintenance Cost</t>
  </si>
  <si>
    <t>Table 1: Location Based parameters</t>
  </si>
  <si>
    <t>The following lookup table contains location based parameters related to cooling and heating energy consumption and rates. This data was calculated using TMY3 weather data for major US cities. If your city is not listed here, pick a nearby city in the same climate zone. You can also request additional cities be added to the tool via our support resources.</t>
  </si>
  <si>
    <t>12/6 data</t>
  </si>
  <si>
    <t>IECC climate zone</t>
  </si>
  <si>
    <t>Cities</t>
  </si>
  <si>
    <t>State</t>
  </si>
  <si>
    <t>Cooling energy (kWh/cfm)</t>
  </si>
  <si>
    <t>Estimated Blended Electricity Rate ($/kWh)</t>
  </si>
  <si>
    <t>Cooling rate ($/cfm)</t>
  </si>
  <si>
    <t>Heating energy (therms/cfm)</t>
  </si>
  <si>
    <t>Heating energy (kWh/cfm)</t>
  </si>
  <si>
    <t>Heating energy (mmBTU/cfm)</t>
  </si>
  <si>
    <t xml:space="preserve">Primary Heating Type </t>
  </si>
  <si>
    <t>Gas Rate ($/therm)</t>
  </si>
  <si>
    <t>Steam Rate ($/Mlb)</t>
  </si>
  <si>
    <t>Heating Rate ($/cfm)</t>
  </si>
  <si>
    <t>Total Spendings ($/CFM)</t>
  </si>
  <si>
    <t>3a</t>
  </si>
  <si>
    <t>Atlanta, GA</t>
  </si>
  <si>
    <t>Georgia </t>
  </si>
  <si>
    <t>no data</t>
  </si>
  <si>
    <t>4a</t>
  </si>
  <si>
    <t>Baltimore, MD</t>
  </si>
  <si>
    <t>Maryland </t>
  </si>
  <si>
    <t>5a</t>
  </si>
  <si>
    <t>Boston, MA</t>
  </si>
  <si>
    <t>Massachusetts </t>
  </si>
  <si>
    <t>Chicago, IL</t>
  </si>
  <si>
    <t>Illinois </t>
  </si>
  <si>
    <t>Dallas, TX</t>
  </si>
  <si>
    <t>Texas </t>
  </si>
  <si>
    <t>Detroit, MI</t>
  </si>
  <si>
    <t>Michigan </t>
  </si>
  <si>
    <t>2a</t>
  </si>
  <si>
    <t>Houston, TX</t>
  </si>
  <si>
    <t>3c</t>
  </si>
  <si>
    <t>Los Angeles, CA</t>
  </si>
  <si>
    <t>California </t>
  </si>
  <si>
    <t>1a</t>
  </si>
  <si>
    <t>Miami, FL</t>
  </si>
  <si>
    <t>Florida </t>
  </si>
  <si>
    <t>6a</t>
  </si>
  <si>
    <t>Minneapolis, MN</t>
  </si>
  <si>
    <t>Minnesota </t>
  </si>
  <si>
    <t>New York, NY</t>
  </si>
  <si>
    <t>New York </t>
  </si>
  <si>
    <t>Philadelphia, PA</t>
  </si>
  <si>
    <t>Pennsylvania </t>
  </si>
  <si>
    <t>2b</t>
  </si>
  <si>
    <t>Phoenix, AZ</t>
  </si>
  <si>
    <t>Arizona </t>
  </si>
  <si>
    <t>North Carolina</t>
  </si>
  <si>
    <t>Riverside, CA</t>
  </si>
  <si>
    <t>San Diego, CA</t>
  </si>
  <si>
    <t>San Jose, CA</t>
  </si>
  <si>
    <t>St. Louis, MO</t>
  </si>
  <si>
    <t>Missouri </t>
  </si>
  <si>
    <t>Tampa, FL</t>
  </si>
  <si>
    <t>Washington DC</t>
  </si>
  <si>
    <t>District of Columbia </t>
  </si>
  <si>
    <t>24/7 data</t>
  </si>
  <si>
    <t>Table 2: Filtration Information</t>
  </si>
  <si>
    <t>Filter Costs, Pressure Drop, Lifespan and efficiency</t>
  </si>
  <si>
    <t>filter</t>
  </si>
  <si>
    <t>size</t>
  </si>
  <si>
    <t>cost</t>
  </si>
  <si>
    <t>initial pressure drop (in.w.c.)</t>
  </si>
  <si>
    <t>final pressure drop (in.w.c.)</t>
  </si>
  <si>
    <t>average pressure drop (in.w.c.)</t>
  </si>
  <si>
    <t>filter lifespan (months)</t>
  </si>
  <si>
    <t>Filter Efficiency (%)</t>
  </si>
  <si>
    <t>MERV 4</t>
  </si>
  <si>
    <t>24x24x2</t>
  </si>
  <si>
    <t>MERV 14</t>
  </si>
  <si>
    <t>24x24x12</t>
  </si>
  <si>
    <t>MERV 15</t>
  </si>
  <si>
    <t>MERV 16</t>
  </si>
  <si>
    <t>Reference: HVAC filtration and the Wells-Riley approach to assessing risks of infectious airborne diseases Table 10</t>
  </si>
  <si>
    <t>* Pressure drop for MERV 11 and MERV 13 reference:  Marwa Zaatari, Atila Novoselac, Jeffrey Siegel. 2014. The relationship between filter pressure drop, indoor air quality, and energy consumption in rooftop HVAC units. Building and Environment Volume 73, March 2014, Pages 151-161</t>
  </si>
  <si>
    <t>https://www.nafahq.org/understanding-merv-nafa-users-guide-to-ansi-ashrae-52-2/</t>
  </si>
  <si>
    <t>Table 3 - ASHRAE 2016 62.1 OA rates</t>
  </si>
  <si>
    <t>Occupancy Category</t>
  </si>
  <si>
    <t>People Outdoor Air Rate Rp (cfm/person)</t>
  </si>
  <si>
    <r>
      <t>Area Outdoor Air Rate Ra (cfm/ft</t>
    </r>
    <r>
      <rPr>
        <vertAlign val="superscript"/>
        <sz val="9"/>
        <rFont val="Times New Roman"/>
      </rPr>
      <t>2</t>
    </r>
    <r>
      <rPr>
        <sz val="9"/>
        <rFont val="Times New Roman"/>
      </rPr>
      <t>)</t>
    </r>
  </si>
  <si>
    <t>Art classroom</t>
  </si>
  <si>
    <r>
      <rPr>
        <sz val="9"/>
        <rFont val="Times New Roman"/>
      </rPr>
      <t>Auditorium seating area</t>
    </r>
  </si>
  <si>
    <r>
      <rPr>
        <sz val="9"/>
        <rFont val="Times New Roman"/>
      </rPr>
      <t>Bank vaults/safe deposit</t>
    </r>
  </si>
  <si>
    <r>
      <rPr>
        <sz val="9"/>
        <rFont val="Times New Roman"/>
      </rPr>
      <t>Banks or bank lobbies</t>
    </r>
  </si>
  <si>
    <r>
      <rPr>
        <sz val="9"/>
        <rFont val="Times New Roman"/>
      </rPr>
      <t>Barracks sleeping areas</t>
    </r>
  </si>
  <si>
    <r>
      <rPr>
        <sz val="9"/>
        <rFont val="Times New Roman"/>
      </rPr>
      <t>Bars, cocktail lounges</t>
    </r>
  </si>
  <si>
    <r>
      <rPr>
        <sz val="9"/>
        <rFont val="Times New Roman"/>
      </rPr>
      <t>Bedroom/living room</t>
    </r>
  </si>
  <si>
    <r>
      <rPr>
        <sz val="9"/>
        <rFont val="Times New Roman"/>
      </rPr>
      <t>Birthing room</t>
    </r>
  </si>
  <si>
    <t>Booking/waiting</t>
  </si>
  <si>
    <r>
      <rPr>
        <sz val="9"/>
        <rFont val="Times New Roman"/>
      </rPr>
      <t>Bowling alley (seating)</t>
    </r>
  </si>
  <si>
    <r>
      <rPr>
        <sz val="9"/>
        <rFont val="Times New Roman"/>
      </rPr>
      <t>Break rooms</t>
    </r>
    <r>
      <rPr>
        <sz val="9"/>
        <rFont val="Times New Roman"/>
      </rPr>
      <t xml:space="preserve"> (food service)</t>
    </r>
  </si>
  <si>
    <r>
      <rPr>
        <sz val="9"/>
        <rFont val="Times New Roman"/>
      </rPr>
      <t>Breakrooms</t>
    </r>
    <r>
      <rPr>
        <sz val="9"/>
        <rFont val="Times New Roman"/>
      </rPr>
      <t xml:space="preserve"> (office)</t>
    </r>
  </si>
  <si>
    <r>
      <rPr>
        <sz val="9"/>
        <rFont val="Times New Roman"/>
      </rPr>
      <t>Cafeteria/fast-food dining</t>
    </r>
  </si>
  <si>
    <t>Cell</t>
  </si>
  <si>
    <r>
      <rPr>
        <sz val="9"/>
        <rFont val="Times New Roman"/>
      </rPr>
      <t>Class 1 imaging rooms</t>
    </r>
  </si>
  <si>
    <r>
      <rPr>
        <sz val="9"/>
        <rFont val="Times New Roman"/>
      </rPr>
      <t>Classrooms (age 9 plus)</t>
    </r>
  </si>
  <si>
    <r>
      <rPr>
        <sz val="9"/>
        <rFont val="Times New Roman"/>
      </rPr>
      <t>Classrooms (ages 5 to 8)</t>
    </r>
  </si>
  <si>
    <r>
      <rPr>
        <sz val="9"/>
        <rFont val="Times New Roman"/>
      </rPr>
      <t>Coffee stations</t>
    </r>
  </si>
  <si>
    <r>
      <rPr>
        <sz val="9"/>
        <rFont val="Times New Roman"/>
      </rPr>
      <t>Common corridors</t>
    </r>
  </si>
  <si>
    <r>
      <rPr>
        <sz val="9"/>
        <rFont val="Times New Roman"/>
      </rPr>
      <t>—</t>
    </r>
  </si>
  <si>
    <r>
      <rPr>
        <sz val="9"/>
        <rFont val="Times New Roman"/>
      </rPr>
      <t>Computer (not printing)</t>
    </r>
  </si>
  <si>
    <r>
      <rPr>
        <sz val="9"/>
        <rFont val="Times New Roman"/>
      </rPr>
      <t>Computer lab</t>
    </r>
  </si>
  <si>
    <r>
      <rPr>
        <sz val="9"/>
        <rFont val="Times New Roman"/>
      </rPr>
      <t>Conference/meeting</t>
    </r>
  </si>
  <si>
    <r>
      <rPr>
        <sz val="9"/>
        <rFont val="Times New Roman"/>
      </rPr>
      <t>Corridors</t>
    </r>
  </si>
  <si>
    <r>
      <rPr>
        <sz val="9"/>
        <rFont val="Times New Roman"/>
      </rPr>
      <t>—</t>
    </r>
  </si>
  <si>
    <r>
      <rPr>
        <sz val="9"/>
        <rFont val="Times New Roman"/>
      </rPr>
      <t>Courtrooms</t>
    </r>
  </si>
  <si>
    <r>
      <rPr>
        <sz val="9"/>
        <rFont val="Times New Roman"/>
      </rPr>
      <t>Daycare (through age 4)</t>
    </r>
  </si>
  <si>
    <t>Dayroom</t>
  </si>
  <si>
    <r>
      <rPr>
        <sz val="9"/>
        <rFont val="Times New Roman"/>
      </rPr>
      <t>Dental operatory</t>
    </r>
  </si>
  <si>
    <r>
      <rPr>
        <sz val="9"/>
        <rFont val="Times New Roman"/>
      </rPr>
      <t>Disco/dance floors</t>
    </r>
  </si>
  <si>
    <r>
      <rPr>
        <sz val="9"/>
        <rFont val="Times New Roman"/>
      </rPr>
      <t>Gambling casinos</t>
    </r>
    <r>
      <rPr>
        <sz val="9"/>
        <rFont val="Times New Roman"/>
      </rPr>
      <t xml:space="preserve"> (no smoking)</t>
    </r>
  </si>
  <si>
    <r>
      <rPr>
        <sz val="9"/>
        <rFont val="Times New Roman"/>
      </rPr>
      <t>Game arcades</t>
    </r>
  </si>
  <si>
    <r>
      <rPr>
        <sz val="9"/>
        <rFont val="Times New Roman"/>
      </rPr>
      <t>General examination room</t>
    </r>
  </si>
  <si>
    <t>Guard stations</t>
  </si>
  <si>
    <r>
      <rPr>
        <sz val="9"/>
        <rFont val="Times New Roman"/>
      </rPr>
      <t>Gym, sports arena (play area)</t>
    </r>
  </si>
  <si>
    <r>
      <rPr>
        <sz val="9"/>
        <rFont val="Times New Roman"/>
      </rPr>
      <t>Health club/aerobics room</t>
    </r>
  </si>
  <si>
    <r>
      <rPr>
        <sz val="9"/>
        <rFont val="Times New Roman"/>
      </rPr>
      <t>Health club/weight rooms</t>
    </r>
  </si>
  <si>
    <r>
      <rPr>
        <sz val="9"/>
        <rFont val="Times New Roman"/>
      </rPr>
      <t>Lecture classroom</t>
    </r>
  </si>
  <si>
    <r>
      <rPr>
        <sz val="9"/>
        <rFont val="Times New Roman"/>
      </rPr>
      <t>Lecture hall (fixed seats)</t>
    </r>
  </si>
  <si>
    <r>
      <rPr>
        <sz val="9"/>
        <rFont val="Times New Roman"/>
      </rPr>
      <t>Legislative chambers</t>
    </r>
  </si>
  <si>
    <r>
      <rPr>
        <sz val="9"/>
        <rFont val="Times New Roman"/>
      </rPr>
      <t>Libraries</t>
    </r>
  </si>
  <si>
    <r>
      <rPr>
        <sz val="9"/>
        <rFont val="Times New Roman"/>
      </rPr>
      <t>Lobbies</t>
    </r>
  </si>
  <si>
    <r>
      <rPr>
        <sz val="9"/>
        <rFont val="Times New Roman"/>
      </rPr>
      <t>Lobbies/prefunction</t>
    </r>
  </si>
  <si>
    <r>
      <rPr>
        <sz val="9"/>
        <rFont val="Times New Roman"/>
      </rPr>
      <t>Main entry lobbies</t>
    </r>
  </si>
  <si>
    <r>
      <rPr>
        <sz val="9"/>
        <rFont val="Times New Roman"/>
      </rPr>
      <t>Mall common areas</t>
    </r>
  </si>
  <si>
    <r>
      <rPr>
        <sz val="9"/>
        <rFont val="Times New Roman"/>
      </rPr>
      <t>Manufacturing where hazardous materials are not used</t>
    </r>
  </si>
  <si>
    <r>
      <rPr>
        <sz val="9"/>
        <rFont val="Times New Roman"/>
      </rPr>
      <t>Media center</t>
    </r>
  </si>
  <si>
    <r>
      <rPr>
        <sz val="9"/>
        <rFont val="Times New Roman"/>
      </rPr>
      <t>Multipurpose assembly</t>
    </r>
  </si>
  <si>
    <r>
      <rPr>
        <sz val="9"/>
        <rFont val="Times New Roman"/>
      </rPr>
      <t>Multiuse assembly</t>
    </r>
  </si>
  <si>
    <r>
      <rPr>
        <sz val="9"/>
        <rFont val="Times New Roman"/>
      </rPr>
      <t>Museums (children’s)</t>
    </r>
  </si>
  <si>
    <r>
      <rPr>
        <sz val="9"/>
        <rFont val="Times New Roman"/>
      </rPr>
      <t>Museums/galleries</t>
    </r>
  </si>
  <si>
    <r>
      <rPr>
        <sz val="9"/>
        <rFont val="Times New Roman"/>
      </rPr>
      <t>Music/theater/dance</t>
    </r>
  </si>
  <si>
    <r>
      <rPr>
        <sz val="9"/>
        <rFont val="Times New Roman"/>
      </rPr>
      <t>Occupiable storage rooms for dry materials</t>
    </r>
  </si>
  <si>
    <r>
      <rPr>
        <sz val="9"/>
        <rFont val="Times New Roman"/>
      </rPr>
      <t>Occupiable storage rooms for liquids or gels</t>
    </r>
  </si>
  <si>
    <r>
      <rPr>
        <sz val="9"/>
        <rFont val="Times New Roman"/>
      </rPr>
      <t>Office space</t>
    </r>
  </si>
  <si>
    <r>
      <rPr>
        <sz val="9"/>
        <rFont val="Times New Roman"/>
      </rPr>
      <t>Other dental treatment areas</t>
    </r>
  </si>
  <si>
    <r>
      <rPr>
        <sz val="9"/>
        <rFont val="Times New Roman"/>
      </rPr>
      <t>Pharmacy (prep. area)</t>
    </r>
  </si>
  <si>
    <r>
      <rPr>
        <sz val="9"/>
        <rFont val="Times New Roman"/>
      </rPr>
      <t>Photo studios</t>
    </r>
  </si>
  <si>
    <r>
      <rPr>
        <sz val="9"/>
        <rFont val="Times New Roman"/>
      </rPr>
      <t>Physical therapy exercise area</t>
    </r>
  </si>
  <si>
    <r>
      <rPr>
        <sz val="9"/>
        <rFont val="Times New Roman"/>
      </rPr>
      <t>Physical therapy individual room</t>
    </r>
  </si>
  <si>
    <r>
      <rPr>
        <sz val="9"/>
        <rFont val="Times New Roman"/>
      </rPr>
      <t>Places of religious worship</t>
    </r>
  </si>
  <si>
    <r>
      <rPr>
        <sz val="9"/>
        <rFont val="Times New Roman"/>
      </rPr>
      <t>Prosthetics and orthotics room</t>
    </r>
  </si>
  <si>
    <r>
      <rPr>
        <sz val="9"/>
        <rFont val="Times New Roman"/>
      </rPr>
      <t>Psychiatric consultation room</t>
    </r>
  </si>
  <si>
    <r>
      <rPr>
        <sz val="9"/>
        <rFont val="Times New Roman"/>
      </rPr>
      <t>Psychiatric examination room</t>
    </r>
  </si>
  <si>
    <r>
      <rPr>
        <sz val="9"/>
        <rFont val="Times New Roman"/>
      </rPr>
      <t>Psychiatric group room</t>
    </r>
  </si>
  <si>
    <r>
      <rPr>
        <sz val="9"/>
        <rFont val="Times New Roman"/>
      </rPr>
      <t>Psychiatric seclusion room</t>
    </r>
  </si>
  <si>
    <r>
      <rPr>
        <sz val="9"/>
        <rFont val="Times New Roman"/>
      </rPr>
      <t>Reception areas</t>
    </r>
  </si>
  <si>
    <r>
      <rPr>
        <sz val="9"/>
        <rFont val="Times New Roman"/>
      </rPr>
      <t>Restaurant dining rooms</t>
    </r>
  </si>
  <si>
    <t>Sales</t>
  </si>
  <si>
    <r>
      <rPr>
        <sz val="9"/>
        <rFont val="Times New Roman"/>
      </rPr>
      <t>Shipping/receiving</t>
    </r>
  </si>
  <si>
    <r>
      <rPr>
        <sz val="9"/>
        <rFont val="Times New Roman"/>
      </rPr>
      <t>Sorting, packing, light assembly</t>
    </r>
  </si>
  <si>
    <r>
      <rPr>
        <sz val="9"/>
        <rFont val="Times New Roman"/>
      </rPr>
      <t>Spectator areas</t>
    </r>
  </si>
  <si>
    <r>
      <rPr>
        <sz val="9"/>
        <rFont val="Times New Roman"/>
      </rPr>
      <t>Speech therapy room</t>
    </r>
  </si>
  <si>
    <r>
      <rPr>
        <sz val="9"/>
        <rFont val="Times New Roman"/>
      </rPr>
      <t>Stages, studios</t>
    </r>
  </si>
  <si>
    <r>
      <rPr>
        <sz val="9"/>
        <rFont val="Times New Roman"/>
      </rPr>
      <t>Supermarket</t>
    </r>
  </si>
  <si>
    <r>
      <rPr>
        <sz val="9"/>
        <rFont val="Times New Roman"/>
      </rPr>
      <t>Telephone closets</t>
    </r>
  </si>
  <si>
    <r>
      <rPr>
        <sz val="9"/>
        <rFont val="Times New Roman"/>
      </rPr>
      <t>—</t>
    </r>
  </si>
  <si>
    <r>
      <rPr>
        <sz val="9"/>
        <rFont val="Times New Roman"/>
      </rPr>
      <t>Telephone/data entry</t>
    </r>
  </si>
  <si>
    <r>
      <rPr>
        <sz val="9"/>
        <rFont val="Times New Roman"/>
      </rPr>
      <t>Transportation waiting</t>
    </r>
  </si>
  <si>
    <r>
      <rPr>
        <sz val="9"/>
        <rFont val="Times New Roman"/>
      </rPr>
      <t>Urgent care examination room</t>
    </r>
  </si>
  <si>
    <r>
      <rPr>
        <sz val="9"/>
        <rFont val="Times New Roman"/>
      </rPr>
      <t>Urgent care observation room</t>
    </r>
  </si>
  <si>
    <r>
      <rPr>
        <sz val="9"/>
        <rFont val="Times New Roman"/>
      </rPr>
      <t>Urgent care treatment room</t>
    </r>
  </si>
  <si>
    <r>
      <rPr>
        <sz val="9"/>
        <rFont val="Times New Roman"/>
      </rPr>
      <t>Urgent care triage room</t>
    </r>
  </si>
  <si>
    <t>Bars, cocktail lounges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</si>
</sst>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6" formatCode="&quot;$&quot;#,##0_);[Red]\(&quot;$&quot;#,##0\)"/>
    <numFmt numFmtId="44" formatCode="_(&quot;$&quot;* #,##0.00_);_(&quot;$&quot;* \(#,##0.00\);_(&quot;$&quot;* &quot;-&quot;??_);_(@_)"/>
    <numFmt numFmtId="43" formatCode="_(* #,##0.00_);_(* \(#,##0.00\);_(* &quot;-&quot;??_);_(@_)"/>
    <numFmt numFmtId="164" formatCode="0.0"/>
    <numFmt numFmtId="165" formatCode="_(* #,##0_);_(* \(#,##0\);_(* &quot;-&quot;??_);_(@_)"/>
    <numFmt numFmtId="166" formatCode="0.000"/>
    <numFmt numFmtId="167" formatCode="_(&quot;$&quot;* #,##0_);_(&quot;$&quot;* \(#,##0\);_(&quot;$&quot;* &quot;-&quot;??_);_(@_)"/>
    <numFmt numFmtId="168" formatCode="&quot;$&quot;#,##0"/>
    <numFmt numFmtId="169" formatCode="0.0%"/>
  </numFmts>
  <fonts count="64">
    <font>
      <sz val="10"/>
      <color rgb="FF000000"/>
      <name val="Arial"/>
    </font>
    <font>
      <sz val="16"/>
      <color theme="1"/>
      <name val="Helvetica Neue"/>
    </font>
    <font>
      <sz val="10"/>
      <color theme="1"/>
      <name val="Helvetica Neue"/>
    </font>
    <font>
      <sz val="10"/>
      <color rgb="FF000000"/>
      <name val="Helvetica Neue"/>
    </font>
    <font>
      <b/>
      <sz val="16"/>
      <color theme="1"/>
      <name val="Daxlinepro-regular"/>
    </font>
    <font>
      <b/>
      <sz val="14"/>
      <color theme="1"/>
      <name val="Helvetica Neue"/>
    </font>
    <font>
      <b/>
      <i/>
      <sz val="12"/>
      <color theme="1"/>
      <name val="Open Sans"/>
    </font>
    <font>
      <i/>
      <sz val="14"/>
      <color theme="1"/>
      <name val="Open Sans"/>
    </font>
    <font>
      <i/>
      <sz val="14"/>
      <color theme="1"/>
      <name val="Helvetica Neue"/>
    </font>
    <font>
      <sz val="10"/>
      <color theme="1"/>
      <name val="Open Sans"/>
    </font>
    <font>
      <sz val="10"/>
      <color rgb="FF1155CC"/>
      <name val="Open Sans"/>
    </font>
    <font>
      <sz val="10"/>
      <color rgb="FF000000"/>
      <name val="Open Sans"/>
    </font>
    <font>
      <b/>
      <sz val="10"/>
      <color theme="1"/>
      <name val="Open Sans"/>
    </font>
    <font>
      <u/>
      <sz val="10"/>
      <color rgb="FF1155CC"/>
      <name val="Helvetica Neue"/>
    </font>
    <font>
      <b/>
      <sz val="10"/>
      <color theme="1"/>
      <name val="Helvetica Neue"/>
    </font>
    <font>
      <u/>
      <sz val="10"/>
      <color rgb="FF1155CC"/>
      <name val="Open Sans"/>
    </font>
    <font>
      <u/>
      <sz val="10"/>
      <color rgb="FF1155CC"/>
      <name val="Open Sans"/>
    </font>
    <font>
      <u/>
      <sz val="10"/>
      <color rgb="FF1155CC"/>
      <name val="Helvetica Neue"/>
    </font>
    <font>
      <b/>
      <sz val="10"/>
      <color theme="0"/>
      <name val="Open Sans"/>
    </font>
    <font>
      <sz val="10"/>
      <name val="Arial"/>
    </font>
    <font>
      <u/>
      <sz val="10"/>
      <color rgb="FF0000FF"/>
      <name val="Helvetica Neue"/>
    </font>
    <font>
      <u/>
      <sz val="10"/>
      <color theme="10"/>
      <name val="Open Sans"/>
    </font>
    <font>
      <u/>
      <sz val="10"/>
      <color rgb="FF1155CC"/>
      <name val="Open Sans"/>
    </font>
    <font>
      <u/>
      <sz val="10"/>
      <color rgb="FF1155CC"/>
      <name val="Helvetica Neue"/>
    </font>
    <font>
      <u/>
      <sz val="10"/>
      <color rgb="FF0000FF"/>
      <name val="Helvetica Neue"/>
    </font>
    <font>
      <b/>
      <u/>
      <sz val="10"/>
      <color rgb="FF000000"/>
      <name val="Open Sans"/>
    </font>
    <font>
      <i/>
      <sz val="10"/>
      <color rgb="FF000000"/>
      <name val="Open Sans"/>
    </font>
    <font>
      <b/>
      <u/>
      <sz val="10"/>
      <color rgb="FF000000"/>
      <name val="Open Sans"/>
    </font>
    <font>
      <b/>
      <u/>
      <sz val="10"/>
      <color theme="1"/>
      <name val="Open Sans"/>
    </font>
    <font>
      <u/>
      <sz val="10"/>
      <color rgb="FF000000"/>
      <name val="Open Sans"/>
    </font>
    <font>
      <u/>
      <sz val="10"/>
      <color theme="10"/>
      <name val="Open Sans"/>
    </font>
    <font>
      <u/>
      <sz val="10"/>
      <color rgb="FF000000"/>
      <name val="Open Sans"/>
    </font>
    <font>
      <sz val="10"/>
      <color theme="1"/>
      <name val="Arial"/>
    </font>
    <font>
      <i/>
      <sz val="10"/>
      <color theme="1"/>
      <name val="Arial"/>
    </font>
    <font>
      <sz val="14"/>
      <color theme="1"/>
      <name val="Arial"/>
    </font>
    <font>
      <i/>
      <sz val="10"/>
      <color rgb="FF000000"/>
      <name val="Arial"/>
    </font>
    <font>
      <i/>
      <sz val="10"/>
      <color theme="1"/>
      <name val="Open Sans"/>
    </font>
    <font>
      <b/>
      <sz val="10"/>
      <color rgb="FF000000"/>
      <name val="Open Sans"/>
    </font>
    <font>
      <b/>
      <i/>
      <sz val="10"/>
      <color rgb="FF000000"/>
      <name val="Open Sans"/>
    </font>
    <font>
      <sz val="10"/>
      <color rgb="FFFF0000"/>
      <name val="Open Sans"/>
    </font>
    <font>
      <sz val="16"/>
      <color theme="1"/>
      <name val="Daxlinepro-regular"/>
    </font>
    <font>
      <sz val="11"/>
      <color rgb="FF000000"/>
      <name val="Open Sans"/>
    </font>
    <font>
      <sz val="11"/>
      <color theme="1"/>
      <name val="Open Sans"/>
    </font>
    <font>
      <sz val="11"/>
      <color theme="1"/>
      <name val="Arial"/>
    </font>
    <font>
      <b/>
      <sz val="11"/>
      <color theme="1"/>
      <name val="Open Sans"/>
    </font>
    <font>
      <u/>
      <sz val="11"/>
      <color theme="1"/>
      <name val="Open Sans"/>
    </font>
    <font>
      <i/>
      <sz val="11"/>
      <color theme="1"/>
      <name val="Open Sans"/>
    </font>
    <font>
      <b/>
      <sz val="11"/>
      <color theme="1"/>
      <name val="Arial"/>
    </font>
    <font>
      <b/>
      <sz val="10"/>
      <color rgb="FFFF0000"/>
      <name val="Arial"/>
    </font>
    <font>
      <b/>
      <sz val="10"/>
      <color rgb="FF000000"/>
      <name val="Arial"/>
    </font>
    <font>
      <b/>
      <sz val="8"/>
      <color theme="1"/>
      <name val="Arial"/>
    </font>
    <font>
      <u/>
      <sz val="10"/>
      <color rgb="FF1155CC"/>
      <name val="Arial"/>
    </font>
    <font>
      <b/>
      <sz val="9"/>
      <color theme="1"/>
      <name val="Times New Roman"/>
    </font>
    <font>
      <sz val="9"/>
      <color theme="1"/>
      <name val="Times New Roman"/>
    </font>
    <font>
      <sz val="9"/>
      <color rgb="FF000000"/>
      <name val="Times New Roman"/>
    </font>
    <font>
      <b/>
      <sz val="10"/>
      <name val="Arial"/>
    </font>
    <font>
      <sz val="10"/>
      <color rgb="FF1155CC"/>
      <name val="Arial"/>
    </font>
    <font>
      <b/>
      <u/>
      <sz val="10"/>
      <color rgb="FF1155CC"/>
      <name val="Arial"/>
    </font>
    <font>
      <i/>
      <sz val="10"/>
      <name val="Open Sans"/>
    </font>
    <font>
      <i/>
      <vertAlign val="superscript"/>
      <sz val="10"/>
      <color theme="1"/>
      <name val="Open Sans"/>
    </font>
    <font>
      <vertAlign val="superscript"/>
      <sz val="10"/>
      <color theme="1"/>
      <name val="Open Sans"/>
    </font>
    <font>
      <i/>
      <vertAlign val="subscript"/>
      <sz val="10"/>
      <color rgb="FF000000"/>
      <name val="Open Sans"/>
    </font>
    <font>
      <vertAlign val="superscript"/>
      <sz val="9"/>
      <name val="Times New Roman"/>
    </font>
    <font>
      <sz val="9"/>
      <name val="Times New Roman"/>
    </font>
  </fonts>
  <fills count="16">
    <fill>
      <patternFill patternType="none"/>
    </fill>
    <fill>
      <patternFill patternType="gray125"/>
    </fill>
    <fill>
      <patternFill patternType="solid">
        <fgColor rgb="FF00B085"/>
        <bgColor rgb="FF00B085"/>
      </patternFill>
    </fill>
    <fill>
      <patternFill patternType="solid">
        <fgColor rgb="FF000000"/>
        <bgColor rgb="FF000000"/>
      </patternFill>
    </fill>
    <fill>
      <patternFill patternType="solid">
        <fgColor rgb="FFFAAB31"/>
        <bgColor rgb="FFFAAB31"/>
      </patternFill>
    </fill>
    <fill>
      <patternFill patternType="solid">
        <fgColor rgb="FFF9CB9C"/>
        <bgColor rgb="FFF9CB9C"/>
      </patternFill>
    </fill>
    <fill>
      <patternFill patternType="solid">
        <fgColor rgb="FFFFFFFF"/>
        <bgColor rgb="FFFFFFFF"/>
      </patternFill>
    </fill>
    <fill>
      <patternFill patternType="solid">
        <fgColor rgb="FF006271"/>
        <bgColor rgb="FF006271"/>
      </patternFill>
    </fill>
    <fill>
      <patternFill patternType="solid">
        <fgColor rgb="FFB6D7A8"/>
        <bgColor rgb="FFB6D7A8"/>
      </patternFill>
    </fill>
    <fill>
      <patternFill patternType="solid">
        <fgColor rgb="FFFCE5CD"/>
        <bgColor rgb="FFFCE5CD"/>
      </patternFill>
    </fill>
    <fill>
      <patternFill patternType="solid">
        <fgColor rgb="FFC9DAF8"/>
        <bgColor rgb="FFC9DAF8"/>
      </patternFill>
    </fill>
    <fill>
      <patternFill patternType="solid">
        <fgColor rgb="FFF6B26B"/>
        <bgColor rgb="FFF6B26B"/>
      </patternFill>
    </fill>
    <fill>
      <patternFill patternType="solid">
        <fgColor rgb="FFF2F2F2"/>
        <bgColor rgb="FFF2F2F2"/>
      </patternFill>
    </fill>
    <fill>
      <patternFill patternType="solid">
        <fgColor theme="0"/>
        <bgColor theme="0"/>
      </patternFill>
    </fill>
    <fill>
      <patternFill patternType="solid">
        <fgColor rgb="FFD2F1DA"/>
        <bgColor rgb="FFD2F1DA"/>
      </patternFill>
    </fill>
    <fill>
      <patternFill patternType="solid">
        <fgColor rgb="FFD9E6FC"/>
        <bgColor rgb="FFD9E6FC"/>
      </patternFill>
    </fill>
  </fills>
  <borders count="65">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style="medium">
        <color rgb="FF000000"/>
      </left>
      <right/>
      <top style="medium">
        <color rgb="FF000000"/>
      </top>
      <bottom/>
      <diagonal/>
    </border>
    <border>
      <left/>
      <right/>
      <top style="medium">
        <color rgb="FF000000"/>
      </top>
      <bottom/>
      <diagonal/>
    </border>
    <border>
      <left/>
      <right style="medium">
        <color rgb="FF000000"/>
      </right>
      <top/>
      <bottom/>
      <diagonal/>
    </border>
    <border>
      <left style="medium">
        <color rgb="FF000000"/>
      </left>
      <right/>
      <top/>
      <bottom/>
      <diagonal/>
    </border>
    <border>
      <left style="medium">
        <color rgb="FF000000"/>
      </left>
      <right/>
      <top style="medium">
        <color rgb="FF000000"/>
      </top>
      <bottom style="thin">
        <color rgb="FF000000"/>
      </bottom>
      <diagonal/>
    </border>
    <border>
      <left/>
      <right style="medium">
        <color rgb="FF000000"/>
      </right>
      <top style="medium">
        <color rgb="FF000000"/>
      </top>
      <bottom/>
      <diagonal/>
    </border>
    <border>
      <left style="thin">
        <color rgb="FF000000"/>
      </left>
      <right/>
      <top style="thin">
        <color rgb="FF000000"/>
      </top>
      <bottom/>
      <diagonal/>
    </border>
    <border>
      <left/>
      <right/>
      <top style="thin">
        <color rgb="FF000000"/>
      </top>
      <bottom/>
      <diagonal/>
    </border>
    <border>
      <left/>
      <right style="medium">
        <color rgb="FF000000"/>
      </right>
      <top style="thin">
        <color rgb="FF000000"/>
      </top>
      <bottom/>
      <diagonal/>
    </border>
    <border>
      <left style="thin">
        <color rgb="FF000000"/>
      </left>
      <right/>
      <top/>
      <bottom/>
      <diagonal/>
    </border>
    <border>
      <left style="medium">
        <color rgb="FF000000"/>
      </left>
      <right/>
      <top/>
      <bottom style="medium">
        <color rgb="FF000000"/>
      </bottom>
      <diagonal/>
    </border>
    <border>
      <left style="thin">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top style="medium">
        <color rgb="FF000000"/>
      </top>
      <bottom/>
      <diagonal/>
    </border>
    <border>
      <left/>
      <right style="medium">
        <color rgb="FF000000"/>
      </right>
      <top style="medium">
        <color rgb="FF000000"/>
      </top>
      <bottom/>
      <diagonal/>
    </border>
    <border>
      <left/>
      <right style="medium">
        <color rgb="FF000000"/>
      </right>
      <top/>
      <bottom/>
      <diagonal/>
    </border>
    <border>
      <left/>
      <right/>
      <top style="medium">
        <color rgb="FF000000"/>
      </top>
      <bottom/>
      <diagonal/>
    </border>
    <border>
      <left/>
      <right style="medium">
        <color rgb="FF000000"/>
      </right>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top/>
      <bottom/>
      <diagonal/>
    </border>
    <border>
      <left style="medium">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
      <left/>
      <right/>
      <top/>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right/>
      <top/>
      <bottom/>
      <diagonal/>
    </border>
    <border>
      <left style="medium">
        <color rgb="FF000000"/>
      </left>
      <right/>
      <top style="medium">
        <color rgb="FF000000"/>
      </top>
      <bottom/>
      <diagonal/>
    </border>
    <border>
      <left/>
      <right/>
      <top style="medium">
        <color rgb="FF000000"/>
      </top>
      <bottom/>
      <diagonal/>
    </border>
    <border>
      <left/>
      <right/>
      <top style="medium">
        <color rgb="FF000000"/>
      </top>
      <bottom/>
      <diagonal/>
    </border>
    <border>
      <left style="medium">
        <color rgb="FF000000"/>
      </left>
      <right/>
      <top style="medium">
        <color rgb="FF000000"/>
      </top>
      <bottom style="medium">
        <color rgb="FF000000"/>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thin">
        <color rgb="FF000000"/>
      </left>
      <right style="medium">
        <color rgb="FF000000"/>
      </right>
      <top/>
      <bottom style="thin">
        <color rgb="FF000000"/>
      </bottom>
      <diagonal/>
    </border>
    <border>
      <left style="medium">
        <color rgb="FF000000"/>
      </left>
      <right style="thin">
        <color rgb="FF000000"/>
      </right>
      <top/>
      <bottom style="medium">
        <color rgb="FF000000"/>
      </bottom>
      <diagonal/>
    </border>
    <border>
      <left/>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s>
  <cellStyleXfs count="1">
    <xf numFmtId="0" fontId="0" fillId="0" borderId="0"/>
  </cellStyleXfs>
  <cellXfs count="318">
    <xf numFmtId="0" fontId="0" fillId="0" borderId="0" xfId="0" applyFont="1" applyAlignment="1"/>
    <xf numFmtId="0" fontId="1" fillId="2" borderId="1" xfId="0" applyFont="1" applyFill="1" applyBorder="1"/>
    <xf numFmtId="0" fontId="2" fillId="2" borderId="1" xfId="0" applyFont="1" applyFill="1" applyBorder="1"/>
    <xf numFmtId="0" fontId="2" fillId="3" borderId="1" xfId="0" applyFont="1" applyFill="1" applyBorder="1"/>
    <xf numFmtId="0" fontId="3" fillId="0" borderId="0" xfId="0" applyFont="1"/>
    <xf numFmtId="0" fontId="4" fillId="2" borderId="1" xfId="0" applyFont="1" applyFill="1" applyBorder="1" applyAlignment="1">
      <alignment vertical="center"/>
    </xf>
    <xf numFmtId="0" fontId="5" fillId="2" borderId="1" xfId="0" applyFont="1" applyFill="1" applyBorder="1" applyAlignment="1">
      <alignment vertical="center"/>
    </xf>
    <xf numFmtId="0" fontId="6" fillId="4" borderId="1" xfId="0" applyFont="1" applyFill="1" applyBorder="1" applyAlignment="1">
      <alignment vertical="center"/>
    </xf>
    <xf numFmtId="0" fontId="7" fillId="4" borderId="1" xfId="0" applyFont="1" applyFill="1" applyBorder="1"/>
    <xf numFmtId="0" fontId="8" fillId="4" borderId="1" xfId="0" applyFont="1" applyFill="1" applyBorder="1"/>
    <xf numFmtId="0" fontId="9" fillId="0" borderId="0" xfId="0" applyFont="1"/>
    <xf numFmtId="0" fontId="10" fillId="0" borderId="0" xfId="0" applyFont="1"/>
    <xf numFmtId="0" fontId="11" fillId="0" borderId="0" xfId="0" applyFont="1"/>
    <xf numFmtId="0" fontId="12" fillId="5" borderId="1" xfId="0" applyFont="1" applyFill="1" applyBorder="1" applyAlignment="1">
      <alignment vertical="center"/>
    </xf>
    <xf numFmtId="0" fontId="13" fillId="5" borderId="1" xfId="0" applyFont="1" applyFill="1" applyBorder="1" applyAlignment="1">
      <alignment vertical="center"/>
    </xf>
    <xf numFmtId="0" fontId="14" fillId="5" borderId="1" xfId="0" applyFont="1" applyFill="1" applyBorder="1" applyAlignment="1">
      <alignment vertical="center"/>
    </xf>
    <xf numFmtId="0" fontId="2" fillId="5" borderId="1" xfId="0" applyFont="1" applyFill="1" applyBorder="1" applyAlignment="1">
      <alignment vertical="center"/>
    </xf>
    <xf numFmtId="0" fontId="15" fillId="0" borderId="0" xfId="0" applyFont="1"/>
    <xf numFmtId="164" fontId="16" fillId="6" borderId="1" xfId="0" applyNumberFormat="1" applyFont="1" applyFill="1" applyBorder="1"/>
    <xf numFmtId="0" fontId="2" fillId="0" borderId="0" xfId="0" applyFont="1"/>
    <xf numFmtId="0" fontId="17" fillId="0" borderId="0" xfId="0" applyFont="1"/>
    <xf numFmtId="0" fontId="20" fillId="0" borderId="0" xfId="0" applyFont="1"/>
    <xf numFmtId="0" fontId="21" fillId="0" borderId="0" xfId="0" applyFont="1"/>
    <xf numFmtId="164" fontId="22" fillId="0" borderId="0" xfId="0" applyNumberFormat="1" applyFont="1"/>
    <xf numFmtId="164" fontId="23" fillId="0" borderId="0" xfId="0" applyNumberFormat="1" applyFont="1"/>
    <xf numFmtId="164" fontId="24" fillId="0" borderId="0" xfId="0" applyNumberFormat="1" applyFont="1"/>
    <xf numFmtId="0" fontId="9" fillId="0" borderId="0" xfId="0" applyFont="1" applyAlignment="1">
      <alignment vertical="center" wrapText="1"/>
    </xf>
    <xf numFmtId="0" fontId="9" fillId="0" borderId="0" xfId="0" applyFont="1" applyAlignment="1">
      <alignment horizontal="center"/>
    </xf>
    <xf numFmtId="15" fontId="9" fillId="0" borderId="0" xfId="0" applyNumberFormat="1" applyFont="1" applyAlignment="1">
      <alignment horizontal="center"/>
    </xf>
    <xf numFmtId="0" fontId="12" fillId="8" borderId="1" xfId="0" applyFont="1" applyFill="1" applyBorder="1"/>
    <xf numFmtId="0" fontId="2" fillId="8" borderId="1" xfId="0" applyFont="1" applyFill="1" applyBorder="1"/>
    <xf numFmtId="0" fontId="9" fillId="0" borderId="0" xfId="0" applyFont="1" applyAlignment="1">
      <alignment wrapText="1"/>
    </xf>
    <xf numFmtId="0" fontId="9" fillId="8" borderId="1" xfId="0" applyFont="1" applyFill="1" applyBorder="1"/>
    <xf numFmtId="0" fontId="9" fillId="9" borderId="1" xfId="0" applyFont="1" applyFill="1" applyBorder="1"/>
    <xf numFmtId="0" fontId="12" fillId="0" borderId="0" xfId="0" applyFont="1"/>
    <xf numFmtId="0" fontId="9" fillId="5" borderId="1" xfId="0" applyFont="1" applyFill="1" applyBorder="1"/>
    <xf numFmtId="0" fontId="9" fillId="10" borderId="1" xfId="0" applyFont="1" applyFill="1" applyBorder="1"/>
    <xf numFmtId="0" fontId="25" fillId="0" borderId="0" xfId="0" applyFont="1"/>
    <xf numFmtId="0" fontId="26" fillId="0" borderId="0" xfId="0" applyFont="1"/>
    <xf numFmtId="0" fontId="11" fillId="0" borderId="0" xfId="0" applyFont="1" applyAlignment="1">
      <alignment horizontal="left" vertical="top" wrapText="1"/>
    </xf>
    <xf numFmtId="0" fontId="3" fillId="0" borderId="0" xfId="0" applyFont="1" applyAlignment="1">
      <alignment horizontal="left" vertical="top" wrapText="1"/>
    </xf>
    <xf numFmtId="0" fontId="28" fillId="0" borderId="0" xfId="0" applyFont="1"/>
    <xf numFmtId="0" fontId="11" fillId="0" borderId="0" xfId="0" applyFont="1" applyAlignment="1">
      <alignment horizontal="left" vertical="top"/>
    </xf>
    <xf numFmtId="0" fontId="30" fillId="0" borderId="0" xfId="0" applyFont="1" applyAlignment="1">
      <alignment horizontal="left" vertical="top"/>
    </xf>
    <xf numFmtId="0" fontId="9" fillId="0" borderId="0" xfId="0" applyFont="1" applyAlignment="1">
      <alignment horizontal="left" vertical="top"/>
    </xf>
    <xf numFmtId="0" fontId="11" fillId="0" borderId="0" xfId="0" applyFont="1" applyAlignment="1">
      <alignment vertical="top"/>
    </xf>
    <xf numFmtId="0" fontId="9" fillId="0" borderId="0" xfId="0" applyFont="1" applyAlignment="1">
      <alignment horizontal="center" vertical="center"/>
    </xf>
    <xf numFmtId="0" fontId="11" fillId="0" borderId="0" xfId="0" applyFont="1" applyAlignment="1">
      <alignment horizontal="center"/>
    </xf>
    <xf numFmtId="0" fontId="9" fillId="0" borderId="0" xfId="0" applyFont="1" applyAlignment="1">
      <alignment horizontal="left"/>
    </xf>
    <xf numFmtId="0" fontId="0" fillId="0" borderId="0" xfId="0" applyFont="1"/>
    <xf numFmtId="0" fontId="2" fillId="0" borderId="0" xfId="0" applyFont="1" applyAlignment="1">
      <alignment horizontal="left"/>
    </xf>
    <xf numFmtId="0" fontId="12" fillId="0" borderId="0" xfId="0" applyFont="1" applyAlignment="1">
      <alignment horizontal="left"/>
    </xf>
    <xf numFmtId="0" fontId="32" fillId="3" borderId="1" xfId="0" applyFont="1" applyFill="1" applyBorder="1"/>
    <xf numFmtId="43" fontId="32" fillId="3" borderId="1" xfId="0" applyNumberFormat="1" applyFont="1" applyFill="1" applyBorder="1"/>
    <xf numFmtId="0" fontId="33" fillId="3" borderId="1" xfId="0" applyFont="1" applyFill="1" applyBorder="1"/>
    <xf numFmtId="0" fontId="34" fillId="2" borderId="1" xfId="0" applyFont="1" applyFill="1" applyBorder="1" applyAlignment="1">
      <alignment wrapText="1"/>
    </xf>
    <xf numFmtId="43" fontId="0" fillId="0" borderId="0" xfId="0" applyNumberFormat="1" applyFont="1"/>
    <xf numFmtId="0" fontId="35" fillId="0" borderId="0" xfId="0" applyFont="1"/>
    <xf numFmtId="43" fontId="12" fillId="0" borderId="0" xfId="0" applyNumberFormat="1" applyFont="1"/>
    <xf numFmtId="0" fontId="9" fillId="11" borderId="1" xfId="0" applyFont="1" applyFill="1" applyBorder="1"/>
    <xf numFmtId="43" fontId="12" fillId="11" borderId="1" xfId="0" applyNumberFormat="1" applyFont="1" applyFill="1" applyBorder="1"/>
    <xf numFmtId="0" fontId="36" fillId="11" borderId="1" xfId="0" applyFont="1" applyFill="1" applyBorder="1"/>
    <xf numFmtId="0" fontId="9" fillId="12" borderId="1" xfId="0" applyFont="1" applyFill="1" applyBorder="1"/>
    <xf numFmtId="43" fontId="12" fillId="12" borderId="1" xfId="0" applyNumberFormat="1" applyFont="1" applyFill="1" applyBorder="1"/>
    <xf numFmtId="0" fontId="36" fillId="12" borderId="1" xfId="0" applyFont="1" applyFill="1" applyBorder="1"/>
    <xf numFmtId="0" fontId="0" fillId="13" borderId="1" xfId="0" applyFont="1" applyFill="1" applyBorder="1"/>
    <xf numFmtId="43" fontId="12" fillId="10" borderId="1" xfId="0" applyNumberFormat="1" applyFont="1" applyFill="1" applyBorder="1"/>
    <xf numFmtId="0" fontId="36" fillId="10" borderId="1" xfId="0" applyFont="1" applyFill="1" applyBorder="1"/>
    <xf numFmtId="43" fontId="11" fillId="0" borderId="0" xfId="0" applyNumberFormat="1" applyFont="1"/>
    <xf numFmtId="0" fontId="37" fillId="0" borderId="0" xfId="0" applyFont="1"/>
    <xf numFmtId="0" fontId="38" fillId="0" borderId="0" xfId="0" applyFont="1"/>
    <xf numFmtId="43" fontId="9" fillId="8" borderId="1" xfId="0" applyNumberFormat="1" applyFont="1" applyFill="1" applyBorder="1"/>
    <xf numFmtId="0" fontId="36" fillId="8" borderId="1" xfId="0" applyFont="1" applyFill="1" applyBorder="1"/>
    <xf numFmtId="0" fontId="32" fillId="8" borderId="1" xfId="0" applyFont="1" applyFill="1" applyBorder="1"/>
    <xf numFmtId="0" fontId="11" fillId="11" borderId="1" xfId="0" applyFont="1" applyFill="1" applyBorder="1"/>
    <xf numFmtId="43" fontId="9" fillId="11" borderId="1" xfId="0" applyNumberFormat="1" applyFont="1" applyFill="1" applyBorder="1" applyAlignment="1">
      <alignment horizontal="right" vertical="center"/>
    </xf>
    <xf numFmtId="165" fontId="9" fillId="11" borderId="1" xfId="0" applyNumberFormat="1" applyFont="1" applyFill="1" applyBorder="1" applyAlignment="1">
      <alignment horizontal="right" vertical="center"/>
    </xf>
    <xf numFmtId="164" fontId="36" fillId="11" borderId="1" xfId="0" applyNumberFormat="1" applyFont="1" applyFill="1" applyBorder="1"/>
    <xf numFmtId="0" fontId="11" fillId="12" borderId="1" xfId="0" applyFont="1" applyFill="1" applyBorder="1"/>
    <xf numFmtId="43" fontId="9" fillId="12" borderId="1" xfId="0" applyNumberFormat="1" applyFont="1" applyFill="1" applyBorder="1" applyAlignment="1">
      <alignment horizontal="right" vertical="center"/>
    </xf>
    <xf numFmtId="0" fontId="11" fillId="11" borderId="1" xfId="0" applyFont="1" applyFill="1" applyBorder="1" applyAlignment="1">
      <alignment horizontal="left" vertical="center"/>
    </xf>
    <xf numFmtId="0" fontId="36" fillId="11" borderId="1" xfId="0" applyFont="1" applyFill="1" applyBorder="1" applyAlignment="1">
      <alignment vertical="top"/>
    </xf>
    <xf numFmtId="165" fontId="9" fillId="12" borderId="1" xfId="0" applyNumberFormat="1" applyFont="1" applyFill="1" applyBorder="1" applyAlignment="1">
      <alignment horizontal="right" vertical="center"/>
    </xf>
    <xf numFmtId="164" fontId="36" fillId="12" borderId="1" xfId="0" applyNumberFormat="1" applyFont="1" applyFill="1" applyBorder="1"/>
    <xf numFmtId="43" fontId="9" fillId="0" borderId="0" xfId="0" applyNumberFormat="1" applyFont="1"/>
    <xf numFmtId="2" fontId="36" fillId="11" borderId="1" xfId="0" applyNumberFormat="1" applyFont="1" applyFill="1" applyBorder="1"/>
    <xf numFmtId="0" fontId="39" fillId="0" borderId="0" xfId="0" applyFont="1"/>
    <xf numFmtId="43" fontId="9" fillId="11" borderId="1" xfId="0" applyNumberFormat="1" applyFont="1" applyFill="1" applyBorder="1" applyAlignment="1">
      <alignment horizontal="right" vertical="center"/>
    </xf>
    <xf numFmtId="166" fontId="9" fillId="12" borderId="1" xfId="0" applyNumberFormat="1" applyFont="1" applyFill="1" applyBorder="1" applyAlignment="1">
      <alignment horizontal="right" vertical="center"/>
    </xf>
    <xf numFmtId="2" fontId="9" fillId="12" borderId="1" xfId="0" applyNumberFormat="1" applyFont="1" applyFill="1" applyBorder="1" applyAlignment="1">
      <alignment horizontal="right" vertical="center"/>
    </xf>
    <xf numFmtId="165" fontId="9" fillId="12" borderId="1" xfId="0" applyNumberFormat="1" applyFont="1" applyFill="1" applyBorder="1"/>
    <xf numFmtId="165" fontId="11" fillId="12" borderId="1" xfId="0" applyNumberFormat="1" applyFont="1" applyFill="1" applyBorder="1" applyAlignment="1">
      <alignment horizontal="right" vertical="center"/>
    </xf>
    <xf numFmtId="0" fontId="26" fillId="12" borderId="1" xfId="0" applyFont="1" applyFill="1" applyBorder="1"/>
    <xf numFmtId="164" fontId="0" fillId="0" borderId="0" xfId="0" applyNumberFormat="1" applyFont="1"/>
    <xf numFmtId="0" fontId="11" fillId="10" borderId="1" xfId="0" applyFont="1" applyFill="1" applyBorder="1"/>
    <xf numFmtId="165" fontId="9" fillId="10" borderId="1" xfId="0" applyNumberFormat="1" applyFont="1" applyFill="1" applyBorder="1" applyAlignment="1">
      <alignment horizontal="right" vertical="center"/>
    </xf>
    <xf numFmtId="43" fontId="9" fillId="10" borderId="1" xfId="0" applyNumberFormat="1" applyFont="1" applyFill="1" applyBorder="1" applyAlignment="1">
      <alignment horizontal="right" vertical="center"/>
    </xf>
    <xf numFmtId="43" fontId="12" fillId="0" borderId="0" xfId="0" applyNumberFormat="1" applyFont="1" applyAlignment="1">
      <alignment horizontal="right" vertical="center"/>
    </xf>
    <xf numFmtId="0" fontId="36" fillId="0" borderId="0" xfId="0" applyFont="1"/>
    <xf numFmtId="43" fontId="9" fillId="8" borderId="1" xfId="0" applyNumberFormat="1" applyFont="1" applyFill="1" applyBorder="1" applyAlignment="1">
      <alignment horizontal="right" vertical="center"/>
    </xf>
    <xf numFmtId="43" fontId="11" fillId="10" borderId="1" xfId="0" applyNumberFormat="1" applyFont="1" applyFill="1" applyBorder="1" applyAlignment="1">
      <alignment horizontal="right" vertical="center"/>
    </xf>
    <xf numFmtId="1" fontId="26" fillId="10" borderId="1" xfId="0" applyNumberFormat="1" applyFont="1" applyFill="1" applyBorder="1"/>
    <xf numFmtId="0" fontId="32" fillId="0" borderId="0" xfId="0" applyFont="1"/>
    <xf numFmtId="165" fontId="11" fillId="10" borderId="1" xfId="0" applyNumberFormat="1" applyFont="1" applyFill="1" applyBorder="1" applyAlignment="1">
      <alignment horizontal="right" vertical="center"/>
    </xf>
    <xf numFmtId="0" fontId="26" fillId="10" borderId="1" xfId="0" applyFont="1" applyFill="1" applyBorder="1"/>
    <xf numFmtId="0" fontId="9" fillId="0" borderId="0" xfId="0" quotePrefix="1" applyFont="1"/>
    <xf numFmtId="43" fontId="11" fillId="10" borderId="1" xfId="0" applyNumberFormat="1" applyFont="1" applyFill="1" applyBorder="1"/>
    <xf numFmtId="164" fontId="26" fillId="10" borderId="1" xfId="0" applyNumberFormat="1" applyFont="1" applyFill="1" applyBorder="1"/>
    <xf numFmtId="2" fontId="11" fillId="10" borderId="1" xfId="0" applyNumberFormat="1" applyFont="1" applyFill="1" applyBorder="1"/>
    <xf numFmtId="164" fontId="36" fillId="10" borderId="1" xfId="0" applyNumberFormat="1" applyFont="1" applyFill="1" applyBorder="1"/>
    <xf numFmtId="0" fontId="11" fillId="13" borderId="1" xfId="0" applyFont="1" applyFill="1" applyBorder="1"/>
    <xf numFmtId="166" fontId="36" fillId="10" borderId="1" xfId="0" applyNumberFormat="1" applyFont="1" applyFill="1" applyBorder="1"/>
    <xf numFmtId="165" fontId="35" fillId="0" borderId="0" xfId="0" applyNumberFormat="1" applyFont="1"/>
    <xf numFmtId="0" fontId="40" fillId="2" borderId="1" xfId="0" applyFont="1" applyFill="1" applyBorder="1" applyAlignment="1">
      <alignment wrapText="1"/>
    </xf>
    <xf numFmtId="0" fontId="41" fillId="0" borderId="0" xfId="0" applyFont="1" applyAlignment="1">
      <alignment horizontal="left" vertical="center"/>
    </xf>
    <xf numFmtId="0" fontId="41" fillId="0" borderId="0" xfId="0" applyFont="1"/>
    <xf numFmtId="0" fontId="42" fillId="6" borderId="10" xfId="0" applyFont="1" applyFill="1" applyBorder="1"/>
    <xf numFmtId="0" fontId="42" fillId="6" borderId="11" xfId="0" applyFont="1" applyFill="1" applyBorder="1"/>
    <xf numFmtId="167" fontId="11" fillId="6" borderId="11" xfId="0" applyNumberFormat="1" applyFont="1" applyFill="1" applyBorder="1"/>
    <xf numFmtId="0" fontId="43" fillId="6" borderId="11" xfId="0" applyFont="1" applyFill="1" applyBorder="1"/>
    <xf numFmtId="0" fontId="43" fillId="6" borderId="12" xfId="0" applyFont="1" applyFill="1" applyBorder="1"/>
    <xf numFmtId="0" fontId="42" fillId="6" borderId="13" xfId="0" applyFont="1" applyFill="1" applyBorder="1"/>
    <xf numFmtId="0" fontId="44" fillId="6" borderId="1" xfId="0" applyFont="1" applyFill="1" applyBorder="1"/>
    <xf numFmtId="43" fontId="42" fillId="14" borderId="1" xfId="0" applyNumberFormat="1" applyFont="1" applyFill="1" applyBorder="1"/>
    <xf numFmtId="0" fontId="42" fillId="6" borderId="1" xfId="0" applyFont="1" applyFill="1" applyBorder="1"/>
    <xf numFmtId="167" fontId="11" fillId="6" borderId="1" xfId="0" applyNumberFormat="1" applyFont="1" applyFill="1" applyBorder="1"/>
    <xf numFmtId="0" fontId="43" fillId="6" borderId="1" xfId="0" applyFont="1" applyFill="1" applyBorder="1"/>
    <xf numFmtId="165" fontId="42" fillId="14" borderId="1" xfId="0" applyNumberFormat="1" applyFont="1" applyFill="1" applyBorder="1" applyAlignment="1">
      <alignment horizontal="left"/>
    </xf>
    <xf numFmtId="0" fontId="45" fillId="6" borderId="1" xfId="0" applyFont="1" applyFill="1" applyBorder="1"/>
    <xf numFmtId="0" fontId="46" fillId="14" borderId="1" xfId="0" applyFont="1" applyFill="1" applyBorder="1"/>
    <xf numFmtId="0" fontId="42" fillId="14" borderId="1" xfId="0" applyFont="1" applyFill="1" applyBorder="1"/>
    <xf numFmtId="167" fontId="11" fillId="14" borderId="1" xfId="0" applyNumberFormat="1" applyFont="1" applyFill="1" applyBorder="1"/>
    <xf numFmtId="0" fontId="46" fillId="6" borderId="1" xfId="0" applyFont="1" applyFill="1" applyBorder="1"/>
    <xf numFmtId="167" fontId="11" fillId="6" borderId="1" xfId="0" applyNumberFormat="1" applyFont="1" applyFill="1" applyBorder="1" applyAlignment="1">
      <alignment horizontal="center"/>
    </xf>
    <xf numFmtId="0" fontId="44" fillId="6" borderId="13" xfId="0" applyFont="1" applyFill="1" applyBorder="1"/>
    <xf numFmtId="0" fontId="44" fillId="6" borderId="14" xfId="0" applyFont="1" applyFill="1" applyBorder="1"/>
    <xf numFmtId="0" fontId="44" fillId="6" borderId="11" xfId="0" applyFont="1" applyFill="1" applyBorder="1" applyAlignment="1">
      <alignment horizontal="center"/>
    </xf>
    <xf numFmtId="167" fontId="44" fillId="6" borderId="11" xfId="0" applyNumberFormat="1" applyFont="1" applyFill="1" applyBorder="1" applyAlignment="1">
      <alignment horizontal="center"/>
    </xf>
    <xf numFmtId="43" fontId="44" fillId="14" borderId="15" xfId="0" applyNumberFormat="1" applyFont="1" applyFill="1" applyBorder="1" applyAlignment="1">
      <alignment horizontal="center"/>
    </xf>
    <xf numFmtId="0" fontId="47" fillId="6" borderId="1" xfId="0" applyFont="1" applyFill="1" applyBorder="1"/>
    <xf numFmtId="4" fontId="42" fillId="6" borderId="16" xfId="0" applyNumberFormat="1" applyFont="1" applyFill="1" applyBorder="1" applyAlignment="1">
      <alignment horizontal="center"/>
    </xf>
    <xf numFmtId="4" fontId="42" fillId="6" borderId="17" xfId="0" applyNumberFormat="1" applyFont="1" applyFill="1" applyBorder="1" applyAlignment="1">
      <alignment horizontal="center"/>
    </xf>
    <xf numFmtId="4" fontId="42" fillId="14" borderId="18" xfId="0" applyNumberFormat="1" applyFont="1" applyFill="1" applyBorder="1" applyAlignment="1">
      <alignment horizontal="center"/>
    </xf>
    <xf numFmtId="4" fontId="42" fillId="6" borderId="19" xfId="0" applyNumberFormat="1" applyFont="1" applyFill="1" applyBorder="1" applyAlignment="1">
      <alignment horizontal="center"/>
    </xf>
    <xf numFmtId="4" fontId="42" fillId="6" borderId="1" xfId="0" applyNumberFormat="1" applyFont="1" applyFill="1" applyBorder="1" applyAlignment="1">
      <alignment horizontal="center"/>
    </xf>
    <xf numFmtId="4" fontId="42" fillId="14" borderId="12" xfId="0" applyNumberFormat="1" applyFont="1" applyFill="1" applyBorder="1" applyAlignment="1">
      <alignment horizontal="center"/>
    </xf>
    <xf numFmtId="44" fontId="11" fillId="6" borderId="1" xfId="0" applyNumberFormat="1" applyFont="1" applyFill="1" applyBorder="1"/>
    <xf numFmtId="49" fontId="44" fillId="14" borderId="20" xfId="0" applyNumberFormat="1" applyFont="1" applyFill="1" applyBorder="1" applyAlignment="1">
      <alignment horizontal="left"/>
    </xf>
    <xf numFmtId="4" fontId="42" fillId="14" borderId="21" xfId="0" applyNumberFormat="1" applyFont="1" applyFill="1" applyBorder="1" applyAlignment="1">
      <alignment horizontal="center"/>
    </xf>
    <xf numFmtId="4" fontId="42" fillId="14" borderId="22" xfId="0" applyNumberFormat="1" applyFont="1" applyFill="1" applyBorder="1" applyAlignment="1">
      <alignment horizontal="center"/>
    </xf>
    <xf numFmtId="4" fontId="42" fillId="14" borderId="23" xfId="0" applyNumberFormat="1" applyFont="1" applyFill="1" applyBorder="1" applyAlignment="1">
      <alignment horizontal="center"/>
    </xf>
    <xf numFmtId="0" fontId="44" fillId="6" borderId="14" xfId="0" applyFont="1" applyFill="1" applyBorder="1" applyAlignment="1">
      <alignment wrapText="1"/>
    </xf>
    <xf numFmtId="168" fontId="42" fillId="6" borderId="16" xfId="0" applyNumberFormat="1" applyFont="1" applyFill="1" applyBorder="1" applyAlignment="1">
      <alignment horizontal="center"/>
    </xf>
    <xf numFmtId="168" fontId="42" fillId="6" borderId="17" xfId="0" applyNumberFormat="1" applyFont="1" applyFill="1" applyBorder="1" applyAlignment="1">
      <alignment horizontal="center"/>
    </xf>
    <xf numFmtId="168" fontId="42" fillId="14" borderId="18" xfId="0" applyNumberFormat="1" applyFont="1" applyFill="1" applyBorder="1" applyAlignment="1">
      <alignment horizontal="center"/>
    </xf>
    <xf numFmtId="168" fontId="42" fillId="6" borderId="19" xfId="0" applyNumberFormat="1" applyFont="1" applyFill="1" applyBorder="1" applyAlignment="1">
      <alignment horizontal="center"/>
    </xf>
    <xf numFmtId="168" fontId="42" fillId="6" borderId="1" xfId="0" applyNumberFormat="1" applyFont="1" applyFill="1" applyBorder="1" applyAlignment="1">
      <alignment horizontal="center"/>
    </xf>
    <xf numFmtId="168" fontId="42" fillId="14" borderId="12" xfId="0" applyNumberFormat="1" applyFont="1" applyFill="1" applyBorder="1" applyAlignment="1">
      <alignment horizontal="center"/>
    </xf>
    <xf numFmtId="168" fontId="42" fillId="14" borderId="21" xfId="0" applyNumberFormat="1" applyFont="1" applyFill="1" applyBorder="1" applyAlignment="1">
      <alignment horizontal="center"/>
    </xf>
    <xf numFmtId="168" fontId="42" fillId="14" borderId="22" xfId="0" applyNumberFormat="1" applyFont="1" applyFill="1" applyBorder="1" applyAlignment="1">
      <alignment horizontal="center"/>
    </xf>
    <xf numFmtId="168" fontId="42" fillId="14" borderId="23" xfId="0" applyNumberFormat="1" applyFont="1" applyFill="1" applyBorder="1" applyAlignment="1">
      <alignment horizontal="center"/>
    </xf>
    <xf numFmtId="168" fontId="42" fillId="6" borderId="1" xfId="0" applyNumberFormat="1" applyFont="1" applyFill="1" applyBorder="1"/>
    <xf numFmtId="168" fontId="11" fillId="6" borderId="1" xfId="0" applyNumberFormat="1" applyFont="1" applyFill="1" applyBorder="1"/>
    <xf numFmtId="168" fontId="11" fillId="6" borderId="1" xfId="0" applyNumberFormat="1" applyFont="1" applyFill="1" applyBorder="1" applyAlignment="1">
      <alignment horizontal="center"/>
    </xf>
    <xf numFmtId="168" fontId="44" fillId="6" borderId="11" xfId="0" applyNumberFormat="1" applyFont="1" applyFill="1" applyBorder="1" applyAlignment="1">
      <alignment horizontal="center"/>
    </xf>
    <xf numFmtId="168" fontId="44" fillId="14" borderId="15" xfId="0" applyNumberFormat="1" applyFont="1" applyFill="1" applyBorder="1" applyAlignment="1">
      <alignment horizontal="center"/>
    </xf>
    <xf numFmtId="0" fontId="47" fillId="6" borderId="12" xfId="0" applyFont="1" applyFill="1" applyBorder="1"/>
    <xf numFmtId="0" fontId="44" fillId="6" borderId="24" xfId="0" applyFont="1" applyFill="1" applyBorder="1"/>
    <xf numFmtId="0" fontId="42" fillId="6" borderId="20" xfId="0" applyFont="1" applyFill="1" applyBorder="1"/>
    <xf numFmtId="0" fontId="42" fillId="6" borderId="22" xfId="0" applyFont="1" applyFill="1" applyBorder="1"/>
    <xf numFmtId="0" fontId="43" fillId="6" borderId="22" xfId="0" applyFont="1" applyFill="1" applyBorder="1"/>
    <xf numFmtId="0" fontId="43" fillId="6" borderId="23" xfId="0" applyFont="1" applyFill="1" applyBorder="1"/>
    <xf numFmtId="43" fontId="12" fillId="0" borderId="28" xfId="0" applyNumberFormat="1" applyFont="1" applyBorder="1"/>
    <xf numFmtId="43" fontId="12" fillId="0" borderId="29" xfId="0" applyNumberFormat="1" applyFont="1" applyBorder="1"/>
    <xf numFmtId="43" fontId="9" fillId="8" borderId="12" xfId="0" applyNumberFormat="1" applyFont="1" applyFill="1" applyBorder="1"/>
    <xf numFmtId="43" fontId="9" fillId="11" borderId="12" xfId="0" applyNumberFormat="1" applyFont="1" applyFill="1" applyBorder="1" applyAlignment="1">
      <alignment horizontal="right" vertical="center"/>
    </xf>
    <xf numFmtId="165" fontId="9" fillId="11" borderId="12" xfId="0" applyNumberFormat="1" applyFont="1" applyFill="1" applyBorder="1" applyAlignment="1">
      <alignment horizontal="right" vertical="center"/>
    </xf>
    <xf numFmtId="43" fontId="9" fillId="12" borderId="12" xfId="0" applyNumberFormat="1" applyFont="1" applyFill="1" applyBorder="1" applyAlignment="1">
      <alignment horizontal="right" vertical="center"/>
    </xf>
    <xf numFmtId="43" fontId="9" fillId="11" borderId="1" xfId="0" applyNumberFormat="1" applyFont="1" applyFill="1" applyBorder="1" applyAlignment="1">
      <alignment horizontal="right"/>
    </xf>
    <xf numFmtId="43" fontId="9" fillId="11" borderId="12" xfId="0" applyNumberFormat="1" applyFont="1" applyFill="1" applyBorder="1" applyAlignment="1">
      <alignment horizontal="right"/>
    </xf>
    <xf numFmtId="165" fontId="9" fillId="12" borderId="12" xfId="0" applyNumberFormat="1" applyFont="1" applyFill="1" applyBorder="1" applyAlignment="1">
      <alignment horizontal="right" vertical="center"/>
    </xf>
    <xf numFmtId="0" fontId="42" fillId="6" borderId="12" xfId="0" applyFont="1" applyFill="1" applyBorder="1"/>
    <xf numFmtId="43" fontId="11" fillId="0" borderId="30" xfId="0" applyNumberFormat="1" applyFont="1" applyBorder="1"/>
    <xf numFmtId="0" fontId="11" fillId="0" borderId="30" xfId="0" applyFont="1" applyBorder="1"/>
    <xf numFmtId="164" fontId="9" fillId="12" borderId="1" xfId="0" applyNumberFormat="1" applyFont="1" applyFill="1" applyBorder="1" applyAlignment="1">
      <alignment horizontal="right" vertical="center"/>
    </xf>
    <xf numFmtId="2" fontId="9" fillId="12" borderId="12" xfId="0" applyNumberFormat="1" applyFont="1" applyFill="1" applyBorder="1" applyAlignment="1">
      <alignment horizontal="right" vertical="center"/>
    </xf>
    <xf numFmtId="165" fontId="9" fillId="12" borderId="12" xfId="0" applyNumberFormat="1" applyFont="1" applyFill="1" applyBorder="1"/>
    <xf numFmtId="165" fontId="11" fillId="12" borderId="12" xfId="0" applyNumberFormat="1" applyFont="1" applyFill="1" applyBorder="1" applyAlignment="1">
      <alignment horizontal="right" vertical="center"/>
    </xf>
    <xf numFmtId="167" fontId="0" fillId="6" borderId="1" xfId="0" applyNumberFormat="1" applyFont="1" applyFill="1" applyBorder="1"/>
    <xf numFmtId="0" fontId="32" fillId="13" borderId="10" xfId="0" applyFont="1" applyFill="1" applyBorder="1" applyAlignment="1">
      <alignment horizontal="center" wrapText="1"/>
    </xf>
    <xf numFmtId="0" fontId="32" fillId="13" borderId="13" xfId="0" applyFont="1" applyFill="1" applyBorder="1" applyAlignment="1">
      <alignment horizontal="center" wrapText="1"/>
    </xf>
    <xf numFmtId="0" fontId="0" fillId="13" borderId="1" xfId="0" applyFont="1" applyFill="1" applyBorder="1" applyAlignment="1">
      <alignment wrapText="1"/>
    </xf>
    <xf numFmtId="0" fontId="32" fillId="0" borderId="30" xfId="0" applyFont="1" applyBorder="1"/>
    <xf numFmtId="0" fontId="47" fillId="13" borderId="24" xfId="0" applyFont="1" applyFill="1" applyBorder="1" applyAlignment="1">
      <alignment horizontal="center" vertical="center" wrapText="1"/>
    </xf>
    <xf numFmtId="0" fontId="47" fillId="13" borderId="36" xfId="0" applyFont="1" applyFill="1" applyBorder="1" applyAlignment="1">
      <alignment horizontal="center" vertical="center" wrapText="1"/>
    </xf>
    <xf numFmtId="43" fontId="47" fillId="13" borderId="36" xfId="0" applyNumberFormat="1" applyFont="1" applyFill="1" applyBorder="1" applyAlignment="1">
      <alignment horizontal="center" vertical="center" wrapText="1"/>
    </xf>
    <xf numFmtId="0" fontId="47" fillId="13" borderId="37" xfId="0" applyFont="1" applyFill="1" applyBorder="1" applyAlignment="1">
      <alignment horizontal="center" vertical="center" wrapText="1"/>
    </xf>
    <xf numFmtId="0" fontId="0" fillId="13" borderId="12" xfId="0" applyFont="1" applyFill="1" applyBorder="1" applyAlignment="1">
      <alignment wrapText="1"/>
    </xf>
    <xf numFmtId="0" fontId="32" fillId="13" borderId="39" xfId="0" applyFont="1" applyFill="1" applyBorder="1" applyAlignment="1">
      <alignment horizontal="center" wrapText="1"/>
    </xf>
    <xf numFmtId="0" fontId="43" fillId="13" borderId="40" xfId="0" applyFont="1" applyFill="1" applyBorder="1"/>
    <xf numFmtId="2" fontId="43" fillId="13" borderId="40" xfId="0" applyNumberFormat="1" applyFont="1" applyFill="1" applyBorder="1" applyAlignment="1">
      <alignment horizontal="center" vertical="center"/>
    </xf>
    <xf numFmtId="166" fontId="32" fillId="13" borderId="40" xfId="0" applyNumberFormat="1" applyFont="1" applyFill="1" applyBorder="1" applyAlignment="1">
      <alignment horizontal="center" vertical="center"/>
    </xf>
    <xf numFmtId="2" fontId="32" fillId="13" borderId="40" xfId="0" applyNumberFormat="1" applyFont="1" applyFill="1" applyBorder="1" applyAlignment="1">
      <alignment horizontal="center" vertical="center"/>
    </xf>
    <xf numFmtId="2" fontId="43" fillId="13" borderId="40" xfId="0" applyNumberFormat="1" applyFont="1" applyFill="1" applyBorder="1" applyAlignment="1">
      <alignment horizontal="center" vertical="center"/>
    </xf>
    <xf numFmtId="44" fontId="0" fillId="13" borderId="40" xfId="0" applyNumberFormat="1" applyFont="1" applyFill="1" applyBorder="1" applyAlignment="1">
      <alignment horizontal="center" vertical="center"/>
    </xf>
    <xf numFmtId="2" fontId="43" fillId="13" borderId="41" xfId="0" applyNumberFormat="1" applyFont="1" applyFill="1" applyBorder="1" applyAlignment="1">
      <alignment horizontal="center" vertical="center"/>
    </xf>
    <xf numFmtId="0" fontId="0" fillId="13" borderId="12" xfId="0" applyFont="1" applyFill="1" applyBorder="1"/>
    <xf numFmtId="0" fontId="32" fillId="13" borderId="43" xfId="0" applyFont="1" applyFill="1" applyBorder="1" applyAlignment="1">
      <alignment horizontal="center" wrapText="1"/>
    </xf>
    <xf numFmtId="0" fontId="43" fillId="13" borderId="44" xfId="0" applyFont="1" applyFill="1" applyBorder="1"/>
    <xf numFmtId="2" fontId="43" fillId="13" borderId="44" xfId="0" applyNumberFormat="1" applyFont="1" applyFill="1" applyBorder="1" applyAlignment="1">
      <alignment horizontal="center" vertical="center"/>
    </xf>
    <xf numFmtId="166" fontId="32" fillId="13" borderId="44" xfId="0" applyNumberFormat="1" applyFont="1" applyFill="1" applyBorder="1" applyAlignment="1">
      <alignment horizontal="center" vertical="center"/>
    </xf>
    <xf numFmtId="2" fontId="32" fillId="13" borderId="44" xfId="0" applyNumberFormat="1" applyFont="1" applyFill="1" applyBorder="1" applyAlignment="1">
      <alignment horizontal="center" vertical="center"/>
    </xf>
    <xf numFmtId="44" fontId="0" fillId="13" borderId="44" xfId="0" applyNumberFormat="1" applyFont="1" applyFill="1" applyBorder="1" applyAlignment="1">
      <alignment horizontal="center" vertical="center"/>
    </xf>
    <xf numFmtId="2" fontId="43" fillId="13" borderId="45" xfId="0" applyNumberFormat="1" applyFont="1" applyFill="1" applyBorder="1" applyAlignment="1">
      <alignment horizontal="center" vertical="center"/>
    </xf>
    <xf numFmtId="0" fontId="32" fillId="13" borderId="46" xfId="0" applyFont="1" applyFill="1" applyBorder="1" applyAlignment="1">
      <alignment horizontal="center" wrapText="1"/>
    </xf>
    <xf numFmtId="0" fontId="43" fillId="13" borderId="47" xfId="0" applyFont="1" applyFill="1" applyBorder="1"/>
    <xf numFmtId="2" fontId="43" fillId="13" borderId="47" xfId="0" applyNumberFormat="1" applyFont="1" applyFill="1" applyBorder="1" applyAlignment="1">
      <alignment horizontal="center" vertical="center"/>
    </xf>
    <xf numFmtId="166" fontId="32" fillId="13" borderId="47" xfId="0" applyNumberFormat="1" applyFont="1" applyFill="1" applyBorder="1" applyAlignment="1">
      <alignment horizontal="center" vertical="center"/>
    </xf>
    <xf numFmtId="2" fontId="32" fillId="13" borderId="47" xfId="0" applyNumberFormat="1" applyFont="1" applyFill="1" applyBorder="1" applyAlignment="1">
      <alignment horizontal="center" vertical="center"/>
    </xf>
    <xf numFmtId="2" fontId="43" fillId="13" borderId="47" xfId="0" applyNumberFormat="1" applyFont="1" applyFill="1" applyBorder="1" applyAlignment="1">
      <alignment horizontal="center" vertical="center"/>
    </xf>
    <xf numFmtId="44" fontId="0" fillId="13" borderId="47" xfId="0" applyNumberFormat="1" applyFont="1" applyFill="1" applyBorder="1" applyAlignment="1">
      <alignment horizontal="center" vertical="center"/>
    </xf>
    <xf numFmtId="2" fontId="43" fillId="13" borderId="48" xfId="0" applyNumberFormat="1" applyFont="1" applyFill="1" applyBorder="1" applyAlignment="1">
      <alignment horizontal="center" vertical="center"/>
    </xf>
    <xf numFmtId="0" fontId="0" fillId="13" borderId="13" xfId="0" applyFont="1" applyFill="1" applyBorder="1" applyAlignment="1">
      <alignment horizontal="center"/>
    </xf>
    <xf numFmtId="2" fontId="43" fillId="13" borderId="44" xfId="0" applyNumberFormat="1" applyFont="1" applyFill="1" applyBorder="1" applyAlignment="1">
      <alignment horizontal="center" vertical="center"/>
    </xf>
    <xf numFmtId="0" fontId="0" fillId="13" borderId="20" xfId="0" applyFont="1" applyFill="1" applyBorder="1"/>
    <xf numFmtId="0" fontId="0" fillId="13" borderId="22" xfId="0" applyFont="1" applyFill="1" applyBorder="1"/>
    <xf numFmtId="0" fontId="0" fillId="13" borderId="23" xfId="0" applyFont="1" applyFill="1" applyBorder="1"/>
    <xf numFmtId="0" fontId="0" fillId="0" borderId="0" xfId="0" applyFont="1" applyAlignment="1">
      <alignment horizontal="center"/>
    </xf>
    <xf numFmtId="0" fontId="32" fillId="13" borderId="10" xfId="0" applyFont="1" applyFill="1" applyBorder="1" applyAlignment="1">
      <alignment wrapText="1"/>
    </xf>
    <xf numFmtId="0" fontId="0" fillId="13" borderId="11" xfId="0" applyFont="1" applyFill="1" applyBorder="1"/>
    <xf numFmtId="0" fontId="0" fillId="13" borderId="15" xfId="0" applyFont="1" applyFill="1" applyBorder="1"/>
    <xf numFmtId="0" fontId="0" fillId="13" borderId="13" xfId="0" applyFont="1" applyFill="1" applyBorder="1"/>
    <xf numFmtId="0" fontId="49" fillId="13" borderId="54" xfId="0" applyFont="1" applyFill="1" applyBorder="1" applyAlignment="1">
      <alignment horizontal="center" vertical="center" wrapText="1"/>
    </xf>
    <xf numFmtId="0" fontId="49" fillId="13" borderId="55" xfId="0" applyFont="1" applyFill="1" applyBorder="1" applyAlignment="1">
      <alignment horizontal="center" vertical="center" wrapText="1"/>
    </xf>
    <xf numFmtId="0" fontId="49" fillId="13" borderId="56" xfId="0" applyFont="1" applyFill="1" applyBorder="1" applyAlignment="1">
      <alignment horizontal="center" vertical="center" wrapText="1"/>
    </xf>
    <xf numFmtId="0" fontId="50" fillId="13" borderId="39" xfId="0" applyFont="1" applyFill="1" applyBorder="1"/>
    <xf numFmtId="0" fontId="0" fillId="13" borderId="40" xfId="0" applyFont="1" applyFill="1" applyBorder="1"/>
    <xf numFmtId="6" fontId="0" fillId="13" borderId="40" xfId="0" applyNumberFormat="1" applyFont="1" applyFill="1" applyBorder="1"/>
    <xf numFmtId="166" fontId="0" fillId="13" borderId="40" xfId="0" applyNumberFormat="1" applyFont="1" applyFill="1" applyBorder="1"/>
    <xf numFmtId="169" fontId="0" fillId="0" borderId="57" xfId="0" applyNumberFormat="1" applyFont="1" applyBorder="1"/>
    <xf numFmtId="0" fontId="50" fillId="13" borderId="43" xfId="0" applyFont="1" applyFill="1" applyBorder="1"/>
    <xf numFmtId="0" fontId="0" fillId="13" borderId="44" xfId="0" applyFont="1" applyFill="1" applyBorder="1"/>
    <xf numFmtId="6" fontId="0" fillId="13" borderId="44" xfId="0" applyNumberFormat="1" applyFont="1" applyFill="1" applyBorder="1"/>
    <xf numFmtId="166" fontId="0" fillId="13" borderId="44" xfId="0" applyNumberFormat="1" applyFont="1" applyFill="1" applyBorder="1"/>
    <xf numFmtId="169" fontId="0" fillId="0" borderId="45" xfId="0" applyNumberFormat="1" applyFont="1" applyBorder="1"/>
    <xf numFmtId="166" fontId="0" fillId="0" borderId="44" xfId="0" applyNumberFormat="1" applyFont="1" applyBorder="1"/>
    <xf numFmtId="0" fontId="50" fillId="13" borderId="46" xfId="0" applyFont="1" applyFill="1" applyBorder="1"/>
    <xf numFmtId="0" fontId="0" fillId="13" borderId="47" xfId="0" applyFont="1" applyFill="1" applyBorder="1"/>
    <xf numFmtId="6" fontId="0" fillId="13" borderId="47" xfId="0" applyNumberFormat="1" applyFont="1" applyFill="1" applyBorder="1"/>
    <xf numFmtId="166" fontId="0" fillId="13" borderId="47" xfId="0" applyNumberFormat="1" applyFont="1" applyFill="1" applyBorder="1"/>
    <xf numFmtId="169" fontId="0" fillId="0" borderId="48" xfId="0" applyNumberFormat="1" applyFont="1" applyBorder="1"/>
    <xf numFmtId="0" fontId="50" fillId="13" borderId="58" xfId="0" applyFont="1" applyFill="1" applyBorder="1"/>
    <xf numFmtId="6" fontId="0" fillId="13" borderId="22" xfId="0" applyNumberFormat="1" applyFont="1" applyFill="1" applyBorder="1"/>
    <xf numFmtId="169" fontId="0" fillId="0" borderId="59" xfId="0" applyNumberFormat="1" applyFont="1" applyBorder="1"/>
    <xf numFmtId="0" fontId="50" fillId="0" borderId="0" xfId="0" applyFont="1"/>
    <xf numFmtId="0" fontId="51" fillId="13" borderId="1" xfId="0" applyFont="1" applyFill="1" applyBorder="1"/>
    <xf numFmtId="0" fontId="52" fillId="13" borderId="63" xfId="0" applyFont="1" applyFill="1" applyBorder="1" applyAlignment="1">
      <alignment horizontal="center" vertical="center" wrapText="1"/>
    </xf>
    <xf numFmtId="1" fontId="52" fillId="13" borderId="64" xfId="0" applyNumberFormat="1" applyFont="1" applyFill="1" applyBorder="1" applyAlignment="1">
      <alignment horizontal="center" vertical="center" shrinkToFit="1"/>
    </xf>
    <xf numFmtId="2" fontId="52" fillId="13" borderId="64" xfId="0" applyNumberFormat="1" applyFont="1" applyFill="1" applyBorder="1" applyAlignment="1">
      <alignment horizontal="center" vertical="center" shrinkToFit="1"/>
    </xf>
    <xf numFmtId="0" fontId="53" fillId="15" borderId="43" xfId="0" applyFont="1" applyFill="1" applyBorder="1" applyAlignment="1">
      <alignment vertical="top" wrapText="1"/>
    </xf>
    <xf numFmtId="1" fontId="54" fillId="15" borderId="44" xfId="0" applyNumberFormat="1" applyFont="1" applyFill="1" applyBorder="1" applyAlignment="1">
      <alignment horizontal="left" vertical="top" shrinkToFit="1"/>
    </xf>
    <xf numFmtId="2" fontId="54" fillId="15" borderId="44" xfId="0" applyNumberFormat="1" applyFont="1" applyFill="1" applyBorder="1" applyAlignment="1">
      <alignment horizontal="left" vertical="top" shrinkToFit="1"/>
    </xf>
    <xf numFmtId="0" fontId="53" fillId="0" borderId="43" xfId="0" applyFont="1" applyBorder="1" applyAlignment="1">
      <alignment vertical="top" wrapText="1"/>
    </xf>
    <xf numFmtId="1" fontId="54" fillId="0" borderId="44" xfId="0" applyNumberFormat="1" applyFont="1" applyBorder="1" applyAlignment="1">
      <alignment horizontal="left" vertical="top" shrinkToFit="1"/>
    </xf>
    <xf numFmtId="2" fontId="54" fillId="0" borderId="44" xfId="0" applyNumberFormat="1" applyFont="1" applyBorder="1" applyAlignment="1">
      <alignment horizontal="left" vertical="top" shrinkToFit="1"/>
    </xf>
    <xf numFmtId="164" fontId="54" fillId="0" borderId="44" xfId="0" applyNumberFormat="1" applyFont="1" applyBorder="1" applyAlignment="1">
      <alignment horizontal="left" vertical="top" shrinkToFit="1"/>
    </xf>
    <xf numFmtId="164" fontId="54" fillId="15" borderId="44" xfId="0" applyNumberFormat="1" applyFont="1" applyFill="1" applyBorder="1" applyAlignment="1">
      <alignment horizontal="left" vertical="top" shrinkToFit="1"/>
    </xf>
    <xf numFmtId="0" fontId="53" fillId="13" borderId="43" xfId="0" applyFont="1" applyFill="1" applyBorder="1" applyAlignment="1">
      <alignment vertical="top" wrapText="1"/>
    </xf>
    <xf numFmtId="1" fontId="53" fillId="13" borderId="44" xfId="0" applyNumberFormat="1" applyFont="1" applyFill="1" applyBorder="1" applyAlignment="1">
      <alignment horizontal="left" vertical="top" shrinkToFit="1"/>
    </xf>
    <xf numFmtId="2" fontId="53" fillId="13" borderId="44" xfId="0" applyNumberFormat="1" applyFont="1" applyFill="1" applyBorder="1" applyAlignment="1">
      <alignment horizontal="left" vertical="top" shrinkToFit="1"/>
    </xf>
    <xf numFmtId="0" fontId="53" fillId="15" borderId="44" xfId="0" applyFont="1" applyFill="1" applyBorder="1" applyAlignment="1">
      <alignment horizontal="left" vertical="top" wrapText="1"/>
    </xf>
    <xf numFmtId="0" fontId="53" fillId="0" borderId="44" xfId="0" applyFont="1" applyBorder="1" applyAlignment="1">
      <alignment horizontal="left" vertical="top" wrapText="1"/>
    </xf>
    <xf numFmtId="0" fontId="53" fillId="0" borderId="46" xfId="0" applyFont="1" applyBorder="1" applyAlignment="1">
      <alignment vertical="top" wrapText="1"/>
    </xf>
    <xf numFmtId="1" fontId="54" fillId="0" borderId="47" xfId="0" applyNumberFormat="1" applyFont="1" applyBorder="1" applyAlignment="1">
      <alignment horizontal="left" vertical="top" shrinkToFit="1"/>
    </xf>
    <xf numFmtId="2" fontId="54" fillId="0" borderId="47" xfId="0" applyNumberFormat="1" applyFont="1" applyBorder="1" applyAlignment="1">
      <alignment horizontal="left" vertical="top" shrinkToFit="1"/>
    </xf>
    <xf numFmtId="0" fontId="9" fillId="0" borderId="0" xfId="0" applyFont="1" applyAlignment="1">
      <alignment horizontal="left" wrapText="1"/>
    </xf>
    <xf numFmtId="0" fontId="0" fillId="0" borderId="0" xfId="0" applyFont="1" applyAlignment="1"/>
    <xf numFmtId="0" fontId="31" fillId="0" borderId="0" xfId="0" applyFont="1" applyAlignment="1">
      <alignment wrapText="1"/>
    </xf>
    <xf numFmtId="0" fontId="11" fillId="0" borderId="0" xfId="0" applyFont="1" applyAlignment="1">
      <alignment wrapText="1"/>
    </xf>
    <xf numFmtId="0" fontId="11" fillId="0" borderId="0" xfId="0" applyFont="1" applyAlignment="1">
      <alignment horizontal="left" vertical="top" wrapText="1"/>
    </xf>
    <xf numFmtId="0" fontId="11" fillId="0" borderId="0" xfId="0" applyFont="1"/>
    <xf numFmtId="0" fontId="27" fillId="0" borderId="0" xfId="0" applyFont="1" applyAlignment="1">
      <alignment horizontal="left" vertical="top" wrapText="1"/>
    </xf>
    <xf numFmtId="0" fontId="0" fillId="0" borderId="0" xfId="0" applyFont="1" applyAlignment="1">
      <alignment horizontal="left" vertical="top" wrapText="1"/>
    </xf>
    <xf numFmtId="0" fontId="11" fillId="0" borderId="0" xfId="0" applyFont="1" applyAlignment="1">
      <alignment horizontal="left" wrapText="1"/>
    </xf>
    <xf numFmtId="0" fontId="29" fillId="0" borderId="0" xfId="0" applyFont="1" applyAlignment="1">
      <alignment horizontal="left" vertical="top" wrapText="1"/>
    </xf>
    <xf numFmtId="0" fontId="11" fillId="0" borderId="0" xfId="0" applyFont="1" applyAlignment="1">
      <alignment horizontal="left" vertical="top"/>
    </xf>
    <xf numFmtId="0" fontId="18" fillId="7" borderId="2" xfId="0" applyFont="1" applyFill="1" applyBorder="1" applyAlignment="1">
      <alignment horizontal="center" vertical="center"/>
    </xf>
    <xf numFmtId="0" fontId="19" fillId="0" borderId="3" xfId="0" applyFont="1" applyBorder="1"/>
    <xf numFmtId="0" fontId="19" fillId="0" borderId="4" xfId="0" applyFont="1" applyBorder="1"/>
    <xf numFmtId="0" fontId="19" fillId="0" borderId="5" xfId="0" applyFont="1" applyBorder="1"/>
    <xf numFmtId="0" fontId="19" fillId="0" borderId="6" xfId="0" applyFont="1" applyBorder="1"/>
    <xf numFmtId="0" fontId="19" fillId="0" borderId="7" xfId="0" applyFont="1" applyBorder="1"/>
    <xf numFmtId="0" fontId="19" fillId="0" borderId="8" xfId="0" applyFont="1" applyBorder="1"/>
    <xf numFmtId="0" fontId="19" fillId="0" borderId="9" xfId="0" applyFont="1" applyBorder="1"/>
    <xf numFmtId="0" fontId="9" fillId="0" borderId="0" xfId="0" applyFont="1" applyAlignment="1">
      <alignment vertical="center" wrapText="1"/>
    </xf>
    <xf numFmtId="164" fontId="9" fillId="0" borderId="0" xfId="0" applyNumberFormat="1" applyFont="1" applyAlignment="1">
      <alignment wrapText="1"/>
    </xf>
    <xf numFmtId="0" fontId="9" fillId="0" borderId="0" xfId="0" applyFont="1" applyAlignment="1">
      <alignment wrapText="1"/>
    </xf>
    <xf numFmtId="0" fontId="9" fillId="0" borderId="0" xfId="0" applyFont="1" applyAlignment="1">
      <alignment horizontal="left" vertical="center" wrapText="1"/>
    </xf>
    <xf numFmtId="168" fontId="42" fillId="14" borderId="25" xfId="0" applyNumberFormat="1" applyFont="1" applyFill="1" applyBorder="1" applyAlignment="1">
      <alignment horizontal="center"/>
    </xf>
    <xf numFmtId="0" fontId="19" fillId="0" borderId="26" xfId="0" applyFont="1" applyBorder="1"/>
    <xf numFmtId="0" fontId="19" fillId="0" borderId="27" xfId="0" applyFont="1" applyBorder="1"/>
    <xf numFmtId="0" fontId="0" fillId="13" borderId="31" xfId="0" applyFont="1" applyFill="1" applyBorder="1" applyAlignment="1">
      <alignment horizontal="left" vertical="center" wrapText="1"/>
    </xf>
    <xf numFmtId="0" fontId="19" fillId="0" borderId="28" xfId="0" applyFont="1" applyBorder="1"/>
    <xf numFmtId="0" fontId="19" fillId="0" borderId="29" xfId="0" applyFont="1" applyBorder="1"/>
    <xf numFmtId="0" fontId="19" fillId="0" borderId="32" xfId="0" applyFont="1" applyBorder="1"/>
    <xf numFmtId="0" fontId="32" fillId="13" borderId="33" xfId="0" applyFont="1" applyFill="1" applyBorder="1" applyAlignment="1">
      <alignment horizontal="center" wrapText="1"/>
    </xf>
    <xf numFmtId="0" fontId="19" fillId="0" borderId="34" xfId="0" applyFont="1" applyBorder="1"/>
    <xf numFmtId="0" fontId="19" fillId="0" borderId="35" xfId="0" applyFont="1" applyBorder="1"/>
    <xf numFmtId="0" fontId="48" fillId="13" borderId="38" xfId="0" applyFont="1" applyFill="1" applyBorder="1" applyAlignment="1">
      <alignment horizontal="center" vertical="center" wrapText="1"/>
    </xf>
    <xf numFmtId="0" fontId="19" fillId="0" borderId="42" xfId="0" applyFont="1" applyBorder="1"/>
    <xf numFmtId="0" fontId="19" fillId="0" borderId="49" xfId="0" applyFont="1" applyBorder="1"/>
    <xf numFmtId="0" fontId="0" fillId="0" borderId="50" xfId="0" applyFont="1" applyBorder="1" applyAlignment="1">
      <alignment horizontal="center"/>
    </xf>
    <xf numFmtId="0" fontId="0" fillId="13" borderId="51" xfId="0" applyFont="1" applyFill="1" applyBorder="1" applyAlignment="1">
      <alignment horizontal="center"/>
    </xf>
    <xf numFmtId="0" fontId="19" fillId="0" borderId="52" xfId="0" applyFont="1" applyBorder="1"/>
    <xf numFmtId="0" fontId="49" fillId="13" borderId="53" xfId="0" applyFont="1" applyFill="1" applyBorder="1" applyAlignment="1">
      <alignment horizontal="center"/>
    </xf>
    <xf numFmtId="0" fontId="50" fillId="13" borderId="60" xfId="0" applyFont="1" applyFill="1" applyBorder="1" applyAlignment="1">
      <alignment horizontal="left" wrapText="1"/>
    </xf>
    <xf numFmtId="0" fontId="19" fillId="0" borderId="61" xfId="0" applyFont="1" applyBorder="1"/>
    <xf numFmtId="0" fontId="19" fillId="0" borderId="62" xfId="0" applyFont="1" applyBorder="1"/>
  </cellXfs>
  <cellStyles count="1">
    <cellStyle name="Normal" xfId="0" builtinId="0"/>
  </cellStyles>
  <dxfs count="2">
    <dxf>
      <fill>
        <patternFill patternType="solid">
          <fgColor rgb="FF000000"/>
          <bgColor rgb="FF000000"/>
        </patternFill>
      </fill>
    </dxf>
    <dxf>
      <fill>
        <patternFill patternType="solid">
          <fgColor rgb="FF000000"/>
          <bgColor rgb="FF00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15" Type="http://schemas.openxmlformats.org/officeDocument/2006/relationships/calcChain" Target="calcChain.xml"/><Relationship Id="rId4" Type="http://schemas.openxmlformats.org/officeDocument/2006/relationships/worksheet" Target="worksheets/sheet4.xml"/><Relationship Id="rId1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400" b="0" i="0">
                <a:solidFill>
                  <a:srgbClr val="757575"/>
                </a:solidFill>
                <a:latin typeface="+mn-lt"/>
              </a:defRPr>
            </a:pPr>
            <a:r>
              <a:rPr lang="en-US" sz="1400" b="0" i="0">
                <a:solidFill>
                  <a:srgbClr val="757575"/>
                </a:solidFill>
                <a:latin typeface="+mn-lt"/>
              </a:rPr>
              <a:t>MERV 13: Cost vs. Ventilation Strategy</a:t>
            </a:r>
          </a:p>
        </c:rich>
      </c:tx>
      <c:overlay val="0"/>
    </c:title>
    <c:autoTitleDeleted val="0"/>
    <c:plotArea>
      <c:layout/>
      <c:barChart>
        <c:barDir val="col"/>
        <c:grouping val="stacked"/>
        <c:varyColors val="1"/>
        <c:ser>
          <c:idx val="0"/>
          <c:order val="0"/>
          <c:tx>
            <c:v>Total Annual Cost</c:v>
          </c:tx>
          <c:spPr>
            <a:solidFill>
              <a:srgbClr val="B4E4E8"/>
            </a:solidFill>
          </c:spPr>
          <c:invertIfNegative val="1"/>
          <c:dLbls>
            <c:spPr>
              <a:noFill/>
              <a:ln>
                <a:noFill/>
              </a:ln>
              <a:effectLst/>
            </c:spPr>
            <c:txPr>
              <a:bodyPr/>
              <a:lstStyle/>
              <a:p>
                <a:pPr lvl="0">
                  <a:defRPr sz="900" b="0" i="0">
                    <a:latin typeface="+mn-lt"/>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'Scenario Comparison'!$B$27:$B$31</c:f>
              <c:strCache>
                <c:ptCount val="5"/>
                <c:pt idx="0">
                  <c:v>100% OA</c:v>
                </c:pt>
                <c:pt idx="1">
                  <c:v>VRP+30%</c:v>
                </c:pt>
                <c:pt idx="2">
                  <c:v>VRP</c:v>
                </c:pt>
                <c:pt idx="3">
                  <c:v>IAQP</c:v>
                </c:pt>
                <c:pt idx="4">
                  <c:v>VRP</c:v>
                </c:pt>
              </c:strCache>
            </c:strRef>
          </c:cat>
          <c:val>
            <c:numRef>
              <c:f>'Scenario Comparison'!$E$27:$E$31</c:f>
              <c:numCache>
                <c:formatCode>"$"#,##0</c:formatCode>
                <c:ptCount val="5"/>
                <c:pt idx="0">
                  <c:v>9068.1982920532282</c:v>
                </c:pt>
                <c:pt idx="1">
                  <c:v>2045.2498787468985</c:v>
                </c:pt>
                <c:pt idx="2">
                  <c:v>1744.1924722937986</c:v>
                </c:pt>
                <c:pt idx="3">
                  <c:v>1229.0443095136211</c:v>
                </c:pt>
                <c:pt idx="4">
                  <c:v>1744.1924722937986</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0-ABD8-49BA-A729-702303790A87}"/>
            </c:ext>
          </c:extLst>
        </c:ser>
        <c:dLbls>
          <c:showLegendKey val="0"/>
          <c:showVal val="0"/>
          <c:showCatName val="0"/>
          <c:showSerName val="0"/>
          <c:showPercent val="0"/>
          <c:showBubbleSize val="0"/>
        </c:dLbls>
        <c:gapWidth val="150"/>
        <c:overlap val="100"/>
        <c:axId val="931128327"/>
        <c:axId val="274219006"/>
      </c:barChart>
      <c:lineChart>
        <c:grouping val="standard"/>
        <c:varyColors val="0"/>
        <c:ser>
          <c:idx val="1"/>
          <c:order val="1"/>
          <c:tx>
            <c:v>Effective ACH</c:v>
          </c:tx>
          <c:spPr>
            <a:ln w="28575" cmpd="sng">
              <a:solidFill>
                <a:schemeClr val="accent4"/>
              </a:solidFill>
            </a:ln>
          </c:spPr>
          <c:marker>
            <c:symbol val="none"/>
          </c:marker>
          <c:dLbls>
            <c:spPr>
              <a:noFill/>
              <a:ln>
                <a:noFill/>
              </a:ln>
              <a:effectLst/>
            </c:spPr>
            <c:txPr>
              <a:bodyPr/>
              <a:lstStyle/>
              <a:p>
                <a:pPr lvl="0">
                  <a:defRPr sz="900" b="0" i="0">
                    <a:solidFill>
                      <a:srgbClr val="000000"/>
                    </a:solidFill>
                    <a:latin typeface="+mn-lt"/>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'Scenario Comparison'!$B$27:$B$31</c:f>
              <c:strCache>
                <c:ptCount val="5"/>
                <c:pt idx="0">
                  <c:v>100% OA</c:v>
                </c:pt>
                <c:pt idx="1">
                  <c:v>VRP+30%</c:v>
                </c:pt>
                <c:pt idx="2">
                  <c:v>VRP</c:v>
                </c:pt>
                <c:pt idx="3">
                  <c:v>IAQP</c:v>
                </c:pt>
                <c:pt idx="4">
                  <c:v>VRP</c:v>
                </c:pt>
              </c:strCache>
            </c:strRef>
          </c:cat>
          <c:val>
            <c:numRef>
              <c:f>'Scenario Comparison'!$E$19:$E$23</c:f>
              <c:numCache>
                <c:formatCode>#,##0.00</c:formatCode>
                <c:ptCount val="5"/>
                <c:pt idx="0">
                  <c:v>6.6666666666666661</c:v>
                </c:pt>
                <c:pt idx="1">
                  <c:v>5.928371717171717</c:v>
                </c:pt>
                <c:pt idx="2">
                  <c:v>5.8987474747474753</c:v>
                </c:pt>
                <c:pt idx="3">
                  <c:v>5.8433333333333328</c:v>
                </c:pt>
                <c:pt idx="4">
                  <c:v>5.8987474747474753</c:v>
                </c:pt>
              </c:numCache>
            </c:numRef>
          </c:val>
          <c:smooth val="0"/>
          <c:extLst>
            <c:ext xmlns:c16="http://schemas.microsoft.com/office/drawing/2014/chart" uri="{C3380CC4-5D6E-409C-BE32-E72D297353CC}">
              <c16:uniqueId val="{00000001-ABD8-49BA-A729-702303790A87}"/>
            </c:ext>
          </c:extLst>
        </c:ser>
        <c:dLbls>
          <c:showLegendKey val="0"/>
          <c:showVal val="0"/>
          <c:showCatName val="0"/>
          <c:showSerName val="0"/>
          <c:showPercent val="0"/>
          <c:showBubbleSize val="0"/>
        </c:dLbls>
        <c:marker val="1"/>
        <c:smooth val="0"/>
        <c:axId val="1938510976"/>
        <c:axId val="7152416"/>
      </c:lineChart>
      <c:catAx>
        <c:axId val="931128327"/>
        <c:scaling>
          <c:orientation val="minMax"/>
        </c:scaling>
        <c:delete val="0"/>
        <c:axPos val="b"/>
        <c:title>
          <c:tx>
            <c:rich>
              <a:bodyPr/>
              <a:lstStyle/>
              <a:p>
                <a:pPr lvl="0">
                  <a:defRPr b="0">
                    <a:solidFill>
                      <a:srgbClr val="000000"/>
                    </a:solidFill>
                    <a:latin typeface="+mn-lt"/>
                  </a:defRPr>
                </a:pPr>
                <a:endParaRPr lang="en-US"/>
              </a:p>
            </c:rich>
          </c:tx>
          <c:overlay val="0"/>
        </c:title>
        <c:numFmt formatCode="General" sourceLinked="1"/>
        <c:majorTickMark val="none"/>
        <c:minorTickMark val="none"/>
        <c:tickLblPos val="nextTo"/>
        <c:txPr>
          <a:bodyPr/>
          <a:lstStyle/>
          <a:p>
            <a:pPr lvl="0">
              <a:defRPr sz="900" b="0" i="0">
                <a:solidFill>
                  <a:srgbClr val="000000"/>
                </a:solidFill>
                <a:latin typeface="+mn-lt"/>
              </a:defRPr>
            </a:pPr>
            <a:endParaRPr lang="en-US"/>
          </a:p>
        </c:txPr>
        <c:crossAx val="274219006"/>
        <c:crosses val="autoZero"/>
        <c:auto val="1"/>
        <c:lblAlgn val="ctr"/>
        <c:lblOffset val="100"/>
        <c:noMultiLvlLbl val="1"/>
      </c:catAx>
      <c:valAx>
        <c:axId val="274219006"/>
        <c:scaling>
          <c:orientation val="minMax"/>
        </c:scaling>
        <c:delete val="0"/>
        <c:axPos val="l"/>
        <c:title>
          <c:tx>
            <c:rich>
              <a:bodyPr/>
              <a:lstStyle/>
              <a:p>
                <a:pPr lvl="0">
                  <a:defRPr b="0">
                    <a:solidFill>
                      <a:srgbClr val="000000"/>
                    </a:solidFill>
                    <a:latin typeface="+mn-lt"/>
                  </a:defRPr>
                </a:pPr>
                <a:endParaRPr lang="en-US"/>
              </a:p>
            </c:rich>
          </c:tx>
          <c:overlay val="0"/>
        </c:title>
        <c:numFmt formatCode="&quot;$&quot;#,##0" sourceLinked="0"/>
        <c:majorTickMark val="none"/>
        <c:minorTickMark val="none"/>
        <c:tickLblPos val="nextTo"/>
        <c:spPr>
          <a:ln/>
        </c:spPr>
        <c:txPr>
          <a:bodyPr/>
          <a:lstStyle/>
          <a:p>
            <a:pPr lvl="0">
              <a:defRPr sz="900" b="0" i="0">
                <a:solidFill>
                  <a:srgbClr val="FFFFFF"/>
                </a:solidFill>
                <a:latin typeface="+mn-lt"/>
              </a:defRPr>
            </a:pPr>
            <a:endParaRPr lang="en-US"/>
          </a:p>
        </c:txPr>
        <c:crossAx val="931128327"/>
        <c:crosses val="autoZero"/>
        <c:crossBetween val="between"/>
      </c:valAx>
      <c:catAx>
        <c:axId val="1938510976"/>
        <c:scaling>
          <c:orientation val="minMax"/>
        </c:scaling>
        <c:delete val="1"/>
        <c:axPos val="b"/>
        <c:numFmt formatCode="General" sourceLinked="1"/>
        <c:majorTickMark val="none"/>
        <c:minorTickMark val="none"/>
        <c:tickLblPos val="nextTo"/>
        <c:crossAx val="7152416"/>
        <c:crosses val="autoZero"/>
        <c:auto val="1"/>
        <c:lblAlgn val="ctr"/>
        <c:lblOffset val="100"/>
        <c:noMultiLvlLbl val="1"/>
      </c:catAx>
      <c:valAx>
        <c:axId val="7152416"/>
        <c:scaling>
          <c:orientation val="minMax"/>
          <c:max val="9"/>
        </c:scaling>
        <c:delete val="0"/>
        <c:axPos val="r"/>
        <c:title>
          <c:tx>
            <c:rich>
              <a:bodyPr/>
              <a:lstStyle/>
              <a:p>
                <a:pPr lvl="0">
                  <a:defRPr b="0">
                    <a:solidFill>
                      <a:srgbClr val="000000"/>
                    </a:solidFill>
                    <a:latin typeface="+mn-lt"/>
                  </a:defRPr>
                </a:pPr>
                <a:endParaRPr lang="en-US"/>
              </a:p>
            </c:rich>
          </c:tx>
          <c:overlay val="0"/>
        </c:title>
        <c:numFmt formatCode="0.00" sourceLinked="0"/>
        <c:majorTickMark val="none"/>
        <c:minorTickMark val="none"/>
        <c:tickLblPos val="nextTo"/>
        <c:spPr>
          <a:ln/>
        </c:spPr>
        <c:txPr>
          <a:bodyPr/>
          <a:lstStyle/>
          <a:p>
            <a:pPr lvl="0">
              <a:defRPr sz="900" b="0" i="0">
                <a:solidFill>
                  <a:srgbClr val="FFFFFF"/>
                </a:solidFill>
                <a:latin typeface="+mn-lt"/>
              </a:defRPr>
            </a:pPr>
            <a:endParaRPr lang="en-US"/>
          </a:p>
        </c:txPr>
        <c:crossAx val="1938510976"/>
        <c:crosses val="max"/>
        <c:crossBetween val="between"/>
      </c:valAx>
    </c:plotArea>
    <c:legend>
      <c:legendPos val="b"/>
      <c:overlay val="0"/>
      <c:txPr>
        <a:bodyPr/>
        <a:lstStyle/>
        <a:p>
          <a:pPr lvl="0">
            <a:defRPr sz="900"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400" b="0" i="0">
                <a:solidFill>
                  <a:srgbClr val="757575"/>
                </a:solidFill>
                <a:latin typeface="+mn-lt"/>
              </a:defRPr>
            </a:pPr>
            <a:r>
              <a:rPr lang="en-US" sz="1400" b="0" i="0">
                <a:solidFill>
                  <a:srgbClr val="757575"/>
                </a:solidFill>
                <a:latin typeface="+mn-lt"/>
              </a:rPr>
              <a:t>MERV 7: Cost vs. Ventilation Strategy</a:t>
            </a:r>
          </a:p>
        </c:rich>
      </c:tx>
      <c:layout>
        <c:manualLayout>
          <c:xMode val="edge"/>
          <c:yMode val="edge"/>
          <c:x val="0.23098984633307212"/>
          <c:y val="1.6E-2"/>
        </c:manualLayout>
      </c:layout>
      <c:overlay val="0"/>
    </c:title>
    <c:autoTitleDeleted val="0"/>
    <c:plotArea>
      <c:layout/>
      <c:barChart>
        <c:barDir val="col"/>
        <c:grouping val="stacked"/>
        <c:varyColors val="1"/>
        <c:ser>
          <c:idx val="0"/>
          <c:order val="0"/>
          <c:tx>
            <c:v>Total Annual Cost</c:v>
          </c:tx>
          <c:spPr>
            <a:solidFill>
              <a:srgbClr val="B4E4E8"/>
            </a:solidFill>
          </c:spPr>
          <c:invertIfNegative val="1"/>
          <c:dPt>
            <c:idx val="0"/>
            <c:invertIfNegative val="1"/>
            <c:bubble3D val="0"/>
            <c:extLst>
              <c:ext xmlns:c16="http://schemas.microsoft.com/office/drawing/2014/chart" uri="{C3380CC4-5D6E-409C-BE32-E72D297353CC}">
                <c16:uniqueId val="{00000000-8001-4E23-B834-D729E77A27FF}"/>
              </c:ext>
            </c:extLst>
          </c:dPt>
          <c:dLbls>
            <c:spPr>
              <a:noFill/>
              <a:ln>
                <a:noFill/>
              </a:ln>
              <a:effectLst/>
            </c:spPr>
            <c:txPr>
              <a:bodyPr/>
              <a:lstStyle/>
              <a:p>
                <a:pPr lvl="0">
                  <a:defRPr sz="900" b="0" i="0">
                    <a:latin typeface="+mn-lt"/>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'Scenario Comparison'!$B$27:$B$31</c:f>
              <c:strCache>
                <c:ptCount val="5"/>
                <c:pt idx="0">
                  <c:v>100% OA</c:v>
                </c:pt>
                <c:pt idx="1">
                  <c:v>VRP+30%</c:v>
                </c:pt>
                <c:pt idx="2">
                  <c:v>VRP</c:v>
                </c:pt>
                <c:pt idx="3">
                  <c:v>IAQP</c:v>
                </c:pt>
                <c:pt idx="4">
                  <c:v>VRP</c:v>
                </c:pt>
              </c:strCache>
            </c:strRef>
          </c:cat>
          <c:val>
            <c:numRef>
              <c:f>'Scenario Comparison'!$C$27:$C$31</c:f>
              <c:numCache>
                <c:formatCode>"$"#,##0</c:formatCode>
                <c:ptCount val="5"/>
                <c:pt idx="0">
                  <c:v>9068.1982920532282</c:v>
                </c:pt>
                <c:pt idx="1">
                  <c:v>1874.3617346698743</c:v>
                </c:pt>
                <c:pt idx="2">
                  <c:v>1571.2624305745262</c:v>
                </c:pt>
                <c:pt idx="3">
                  <c:v>1040.2947606798596</c:v>
                </c:pt>
                <c:pt idx="4">
                  <c:v>1571.2624305745262</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1-8001-4E23-B834-D729E77A27FF}"/>
            </c:ext>
          </c:extLst>
        </c:ser>
        <c:dLbls>
          <c:showLegendKey val="0"/>
          <c:showVal val="0"/>
          <c:showCatName val="0"/>
          <c:showSerName val="0"/>
          <c:showPercent val="0"/>
          <c:showBubbleSize val="0"/>
        </c:dLbls>
        <c:gapWidth val="150"/>
        <c:overlap val="100"/>
        <c:axId val="856476345"/>
        <c:axId val="110107788"/>
      </c:barChart>
      <c:lineChart>
        <c:grouping val="standard"/>
        <c:varyColors val="0"/>
        <c:ser>
          <c:idx val="1"/>
          <c:order val="1"/>
          <c:tx>
            <c:v>Effective ACH</c:v>
          </c:tx>
          <c:spPr>
            <a:ln w="28575" cmpd="sng">
              <a:solidFill>
                <a:schemeClr val="accent4"/>
              </a:solidFill>
            </a:ln>
          </c:spPr>
          <c:marker>
            <c:symbol val="none"/>
          </c:marker>
          <c:dLbls>
            <c:spPr>
              <a:noFill/>
              <a:ln>
                <a:noFill/>
              </a:ln>
              <a:effectLst/>
            </c:spPr>
            <c:txPr>
              <a:bodyPr/>
              <a:lstStyle/>
              <a:p>
                <a:pPr lvl="0">
                  <a:defRPr sz="900" b="0" i="0">
                    <a:solidFill>
                      <a:srgbClr val="000000"/>
                    </a:solidFill>
                    <a:latin typeface="+mn-lt"/>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'Scenario Comparison'!$B$27:$B$31</c:f>
              <c:strCache>
                <c:ptCount val="5"/>
                <c:pt idx="0">
                  <c:v>100% OA</c:v>
                </c:pt>
                <c:pt idx="1">
                  <c:v>VRP+30%</c:v>
                </c:pt>
                <c:pt idx="2">
                  <c:v>VRP</c:v>
                </c:pt>
                <c:pt idx="3">
                  <c:v>IAQP</c:v>
                </c:pt>
                <c:pt idx="4">
                  <c:v>VRP</c:v>
                </c:pt>
              </c:strCache>
            </c:strRef>
          </c:cat>
          <c:val>
            <c:numRef>
              <c:f>'Scenario Comparison'!$C$19:$C$23</c:f>
              <c:numCache>
                <c:formatCode>#,##0.00</c:formatCode>
                <c:ptCount val="5"/>
                <c:pt idx="0">
                  <c:v>6.6666666666666661</c:v>
                </c:pt>
                <c:pt idx="1">
                  <c:v>3.4863191919191916</c:v>
                </c:pt>
                <c:pt idx="2">
                  <c:v>3.3587070707070708</c:v>
                </c:pt>
                <c:pt idx="3">
                  <c:v>3.12</c:v>
                </c:pt>
                <c:pt idx="4">
                  <c:v>3.3587070707070708</c:v>
                </c:pt>
              </c:numCache>
            </c:numRef>
          </c:val>
          <c:smooth val="0"/>
          <c:extLst>
            <c:ext xmlns:c16="http://schemas.microsoft.com/office/drawing/2014/chart" uri="{C3380CC4-5D6E-409C-BE32-E72D297353CC}">
              <c16:uniqueId val="{00000002-8001-4E23-B834-D729E77A27FF}"/>
            </c:ext>
          </c:extLst>
        </c:ser>
        <c:dLbls>
          <c:showLegendKey val="0"/>
          <c:showVal val="0"/>
          <c:showCatName val="0"/>
          <c:showSerName val="0"/>
          <c:showPercent val="0"/>
          <c:showBubbleSize val="0"/>
        </c:dLbls>
        <c:marker val="1"/>
        <c:smooth val="0"/>
        <c:axId val="52744184"/>
        <c:axId val="1641519484"/>
      </c:lineChart>
      <c:catAx>
        <c:axId val="856476345"/>
        <c:scaling>
          <c:orientation val="minMax"/>
        </c:scaling>
        <c:delete val="0"/>
        <c:axPos val="b"/>
        <c:title>
          <c:tx>
            <c:rich>
              <a:bodyPr/>
              <a:lstStyle/>
              <a:p>
                <a:pPr lvl="0">
                  <a:defRPr b="0">
                    <a:solidFill>
                      <a:srgbClr val="000000"/>
                    </a:solidFill>
                    <a:latin typeface="+mn-lt"/>
                  </a:defRPr>
                </a:pPr>
                <a:endParaRPr lang="en-US"/>
              </a:p>
            </c:rich>
          </c:tx>
          <c:overlay val="0"/>
        </c:title>
        <c:numFmt formatCode="General" sourceLinked="1"/>
        <c:majorTickMark val="none"/>
        <c:minorTickMark val="none"/>
        <c:tickLblPos val="nextTo"/>
        <c:txPr>
          <a:bodyPr/>
          <a:lstStyle/>
          <a:p>
            <a:pPr lvl="0">
              <a:defRPr sz="900" b="0" i="0">
                <a:solidFill>
                  <a:srgbClr val="000000"/>
                </a:solidFill>
                <a:latin typeface="+mn-lt"/>
              </a:defRPr>
            </a:pPr>
            <a:endParaRPr lang="en-US"/>
          </a:p>
        </c:txPr>
        <c:crossAx val="110107788"/>
        <c:crosses val="autoZero"/>
        <c:auto val="1"/>
        <c:lblAlgn val="ctr"/>
        <c:lblOffset val="100"/>
        <c:noMultiLvlLbl val="1"/>
      </c:catAx>
      <c:valAx>
        <c:axId val="110107788"/>
        <c:scaling>
          <c:orientation val="minMax"/>
        </c:scaling>
        <c:delete val="0"/>
        <c:axPos val="l"/>
        <c:title>
          <c:tx>
            <c:rich>
              <a:bodyPr/>
              <a:lstStyle/>
              <a:p>
                <a:pPr lvl="0">
                  <a:defRPr b="0">
                    <a:solidFill>
                      <a:srgbClr val="000000"/>
                    </a:solidFill>
                    <a:latin typeface="+mn-lt"/>
                  </a:defRPr>
                </a:pPr>
                <a:endParaRPr lang="en-US"/>
              </a:p>
            </c:rich>
          </c:tx>
          <c:overlay val="0"/>
        </c:title>
        <c:numFmt formatCode="&quot;$&quot;#,##0.00" sourceLinked="0"/>
        <c:majorTickMark val="none"/>
        <c:minorTickMark val="none"/>
        <c:tickLblPos val="nextTo"/>
        <c:spPr>
          <a:ln/>
        </c:spPr>
        <c:txPr>
          <a:bodyPr/>
          <a:lstStyle/>
          <a:p>
            <a:pPr lvl="0">
              <a:defRPr sz="900" b="0" i="0">
                <a:solidFill>
                  <a:srgbClr val="FFFFFF"/>
                </a:solidFill>
                <a:latin typeface="+mn-lt"/>
              </a:defRPr>
            </a:pPr>
            <a:endParaRPr lang="en-US"/>
          </a:p>
        </c:txPr>
        <c:crossAx val="856476345"/>
        <c:crosses val="autoZero"/>
        <c:crossBetween val="between"/>
      </c:valAx>
      <c:catAx>
        <c:axId val="52744184"/>
        <c:scaling>
          <c:orientation val="minMax"/>
        </c:scaling>
        <c:delete val="1"/>
        <c:axPos val="b"/>
        <c:numFmt formatCode="General" sourceLinked="1"/>
        <c:majorTickMark val="none"/>
        <c:minorTickMark val="none"/>
        <c:tickLblPos val="nextTo"/>
        <c:crossAx val="1641519484"/>
        <c:crosses val="autoZero"/>
        <c:auto val="1"/>
        <c:lblAlgn val="ctr"/>
        <c:lblOffset val="100"/>
        <c:noMultiLvlLbl val="1"/>
      </c:catAx>
      <c:valAx>
        <c:axId val="1641519484"/>
        <c:scaling>
          <c:orientation val="minMax"/>
          <c:max val="9"/>
        </c:scaling>
        <c:delete val="0"/>
        <c:axPos val="r"/>
        <c:title>
          <c:tx>
            <c:rich>
              <a:bodyPr/>
              <a:lstStyle/>
              <a:p>
                <a:pPr lvl="0">
                  <a:defRPr b="0">
                    <a:solidFill>
                      <a:srgbClr val="000000"/>
                    </a:solidFill>
                    <a:latin typeface="+mn-lt"/>
                  </a:defRPr>
                </a:pPr>
                <a:endParaRPr lang="en-US"/>
              </a:p>
            </c:rich>
          </c:tx>
          <c:overlay val="0"/>
        </c:title>
        <c:numFmt formatCode="0.00" sourceLinked="0"/>
        <c:majorTickMark val="none"/>
        <c:minorTickMark val="none"/>
        <c:tickLblPos val="nextTo"/>
        <c:spPr>
          <a:ln/>
        </c:spPr>
        <c:txPr>
          <a:bodyPr/>
          <a:lstStyle/>
          <a:p>
            <a:pPr lvl="0">
              <a:defRPr sz="900" b="0" i="0">
                <a:solidFill>
                  <a:srgbClr val="FFFFFF"/>
                </a:solidFill>
                <a:latin typeface="+mn-lt"/>
              </a:defRPr>
            </a:pPr>
            <a:endParaRPr lang="en-US"/>
          </a:p>
        </c:txPr>
        <c:crossAx val="52744184"/>
        <c:crosses val="max"/>
        <c:crossBetween val="between"/>
      </c:valAx>
    </c:plotArea>
    <c:legend>
      <c:legendPos val="b"/>
      <c:overlay val="0"/>
      <c:txPr>
        <a:bodyPr/>
        <a:lstStyle/>
        <a:p>
          <a:pPr lvl="0">
            <a:defRPr sz="900"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400" b="0" i="0">
                <a:solidFill>
                  <a:srgbClr val="757575"/>
                </a:solidFill>
                <a:latin typeface="+mn-lt"/>
              </a:defRPr>
            </a:pPr>
            <a:r>
              <a:rPr lang="en-US" sz="1400" b="0" i="0">
                <a:solidFill>
                  <a:srgbClr val="757575"/>
                </a:solidFill>
                <a:latin typeface="+mn-lt"/>
              </a:rPr>
              <a:t>MERV Rating from Calculation Tab: Cost vs. Ventilation Strategy</a:t>
            </a:r>
          </a:p>
        </c:rich>
      </c:tx>
      <c:overlay val="0"/>
    </c:title>
    <c:autoTitleDeleted val="0"/>
    <c:plotArea>
      <c:layout/>
      <c:barChart>
        <c:barDir val="col"/>
        <c:grouping val="stacked"/>
        <c:varyColors val="1"/>
        <c:ser>
          <c:idx val="0"/>
          <c:order val="0"/>
          <c:tx>
            <c:v>Total Annual Cost</c:v>
          </c:tx>
          <c:spPr>
            <a:solidFill>
              <a:srgbClr val="B4E4E8"/>
            </a:solidFill>
          </c:spPr>
          <c:invertIfNegative val="1"/>
          <c:dLbls>
            <c:spPr>
              <a:noFill/>
              <a:ln>
                <a:noFill/>
              </a:ln>
              <a:effectLst/>
            </c:spPr>
            <c:txPr>
              <a:bodyPr/>
              <a:lstStyle/>
              <a:p>
                <a:pPr lvl="0">
                  <a:defRPr sz="900" b="0" i="0">
                    <a:latin typeface="+mn-lt"/>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'Scenario Comparison'!$B$27:$B$31</c:f>
              <c:strCache>
                <c:ptCount val="5"/>
                <c:pt idx="0">
                  <c:v>100% OA</c:v>
                </c:pt>
                <c:pt idx="1">
                  <c:v>VRP+30%</c:v>
                </c:pt>
                <c:pt idx="2">
                  <c:v>VRP</c:v>
                </c:pt>
                <c:pt idx="3">
                  <c:v>IAQP</c:v>
                </c:pt>
                <c:pt idx="4">
                  <c:v>VRP</c:v>
                </c:pt>
              </c:strCache>
            </c:strRef>
          </c:cat>
          <c:val>
            <c:numRef>
              <c:f>'Scenario Comparison'!$F$27:$F$31</c:f>
              <c:numCache>
                <c:formatCode>"$"#,##0</c:formatCode>
                <c:ptCount val="5"/>
                <c:pt idx="0">
                  <c:v>9068.1982920532282</c:v>
                </c:pt>
                <c:pt idx="1">
                  <c:v>2885.2967233833019</c:v>
                </c:pt>
                <c:pt idx="2">
                  <c:v>2585.0437008498757</c:v>
                </c:pt>
                <c:pt idx="3">
                  <c:v>2153.4001923875271</c:v>
                </c:pt>
                <c:pt idx="4">
                  <c:v>3723.7087748113781</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0-63A2-4A2A-A546-21919B7D9944}"/>
            </c:ext>
          </c:extLst>
        </c:ser>
        <c:dLbls>
          <c:showLegendKey val="0"/>
          <c:showVal val="0"/>
          <c:showCatName val="0"/>
          <c:showSerName val="0"/>
          <c:showPercent val="0"/>
          <c:showBubbleSize val="0"/>
        </c:dLbls>
        <c:gapWidth val="150"/>
        <c:overlap val="100"/>
        <c:axId val="1838622910"/>
        <c:axId val="1162116493"/>
      </c:barChart>
      <c:lineChart>
        <c:grouping val="standard"/>
        <c:varyColors val="0"/>
        <c:ser>
          <c:idx val="1"/>
          <c:order val="1"/>
          <c:tx>
            <c:v>Effective ACH</c:v>
          </c:tx>
          <c:spPr>
            <a:ln w="28575" cmpd="sng">
              <a:solidFill>
                <a:schemeClr val="accent4"/>
              </a:solidFill>
            </a:ln>
          </c:spPr>
          <c:marker>
            <c:symbol val="none"/>
          </c:marker>
          <c:dLbls>
            <c:spPr>
              <a:noFill/>
              <a:ln>
                <a:noFill/>
              </a:ln>
              <a:effectLst/>
            </c:spPr>
            <c:txPr>
              <a:bodyPr/>
              <a:lstStyle/>
              <a:p>
                <a:pPr lvl="0">
                  <a:defRPr sz="900" b="0" i="0">
                    <a:solidFill>
                      <a:srgbClr val="000000"/>
                    </a:solidFill>
                    <a:latin typeface="+mn-lt"/>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'Scenario Comparison'!$B$27:$B$31</c:f>
              <c:strCache>
                <c:ptCount val="5"/>
                <c:pt idx="0">
                  <c:v>100% OA</c:v>
                </c:pt>
                <c:pt idx="1">
                  <c:v>VRP+30%</c:v>
                </c:pt>
                <c:pt idx="2">
                  <c:v>VRP</c:v>
                </c:pt>
                <c:pt idx="3">
                  <c:v>IAQP</c:v>
                </c:pt>
                <c:pt idx="4">
                  <c:v>VRP</c:v>
                </c:pt>
              </c:strCache>
            </c:strRef>
          </c:cat>
          <c:val>
            <c:numRef>
              <c:f>'Scenario Comparison'!$F$19:$F$23</c:f>
              <c:numCache>
                <c:formatCode>#,##0.00</c:formatCode>
                <c:ptCount val="5"/>
                <c:pt idx="0">
                  <c:v>6.6666666666666661</c:v>
                </c:pt>
                <c:pt idx="1">
                  <c:v>6.3827070707070703</c:v>
                </c:pt>
                <c:pt idx="2">
                  <c:v>6.3713131313131317</c:v>
                </c:pt>
                <c:pt idx="3">
                  <c:v>6.3499999999999988</c:v>
                </c:pt>
                <c:pt idx="4">
                  <c:v>5.8545454545454545</c:v>
                </c:pt>
              </c:numCache>
            </c:numRef>
          </c:val>
          <c:smooth val="0"/>
          <c:extLst>
            <c:ext xmlns:c16="http://schemas.microsoft.com/office/drawing/2014/chart" uri="{C3380CC4-5D6E-409C-BE32-E72D297353CC}">
              <c16:uniqueId val="{00000001-63A2-4A2A-A546-21919B7D9944}"/>
            </c:ext>
          </c:extLst>
        </c:ser>
        <c:dLbls>
          <c:showLegendKey val="0"/>
          <c:showVal val="0"/>
          <c:showCatName val="0"/>
          <c:showSerName val="0"/>
          <c:showPercent val="0"/>
          <c:showBubbleSize val="0"/>
        </c:dLbls>
        <c:marker val="1"/>
        <c:smooth val="0"/>
        <c:axId val="1174524659"/>
        <c:axId val="1477700194"/>
      </c:lineChart>
      <c:catAx>
        <c:axId val="1838622910"/>
        <c:scaling>
          <c:orientation val="minMax"/>
        </c:scaling>
        <c:delete val="0"/>
        <c:axPos val="b"/>
        <c:title>
          <c:tx>
            <c:rich>
              <a:bodyPr/>
              <a:lstStyle/>
              <a:p>
                <a:pPr lvl="0">
                  <a:defRPr b="0">
                    <a:solidFill>
                      <a:srgbClr val="000000"/>
                    </a:solidFill>
                    <a:latin typeface="+mn-lt"/>
                  </a:defRPr>
                </a:pPr>
                <a:endParaRPr lang="en-US"/>
              </a:p>
            </c:rich>
          </c:tx>
          <c:overlay val="0"/>
        </c:title>
        <c:numFmt formatCode="General" sourceLinked="1"/>
        <c:majorTickMark val="none"/>
        <c:minorTickMark val="none"/>
        <c:tickLblPos val="nextTo"/>
        <c:txPr>
          <a:bodyPr/>
          <a:lstStyle/>
          <a:p>
            <a:pPr lvl="0">
              <a:defRPr sz="900" b="0" i="0">
                <a:solidFill>
                  <a:srgbClr val="000000"/>
                </a:solidFill>
                <a:latin typeface="+mn-lt"/>
              </a:defRPr>
            </a:pPr>
            <a:endParaRPr lang="en-US"/>
          </a:p>
        </c:txPr>
        <c:crossAx val="1162116493"/>
        <c:crosses val="autoZero"/>
        <c:auto val="1"/>
        <c:lblAlgn val="ctr"/>
        <c:lblOffset val="100"/>
        <c:noMultiLvlLbl val="1"/>
      </c:catAx>
      <c:valAx>
        <c:axId val="1162116493"/>
        <c:scaling>
          <c:orientation val="minMax"/>
        </c:scaling>
        <c:delete val="0"/>
        <c:axPos val="l"/>
        <c:title>
          <c:tx>
            <c:rich>
              <a:bodyPr/>
              <a:lstStyle/>
              <a:p>
                <a:pPr lvl="0">
                  <a:defRPr b="0">
                    <a:solidFill>
                      <a:srgbClr val="000000"/>
                    </a:solidFill>
                    <a:latin typeface="+mn-lt"/>
                  </a:defRPr>
                </a:pPr>
                <a:endParaRPr lang="en-US"/>
              </a:p>
            </c:rich>
          </c:tx>
          <c:overlay val="0"/>
        </c:title>
        <c:numFmt formatCode="&quot;$&quot;#,##0.00" sourceLinked="0"/>
        <c:majorTickMark val="none"/>
        <c:minorTickMark val="none"/>
        <c:tickLblPos val="nextTo"/>
        <c:spPr>
          <a:ln/>
        </c:spPr>
        <c:txPr>
          <a:bodyPr/>
          <a:lstStyle/>
          <a:p>
            <a:pPr lvl="0">
              <a:defRPr sz="900" b="0" i="0">
                <a:solidFill>
                  <a:srgbClr val="FFFFFF"/>
                </a:solidFill>
                <a:latin typeface="+mn-lt"/>
              </a:defRPr>
            </a:pPr>
            <a:endParaRPr lang="en-US"/>
          </a:p>
        </c:txPr>
        <c:crossAx val="1838622910"/>
        <c:crosses val="autoZero"/>
        <c:crossBetween val="between"/>
      </c:valAx>
      <c:catAx>
        <c:axId val="1174524659"/>
        <c:scaling>
          <c:orientation val="minMax"/>
        </c:scaling>
        <c:delete val="1"/>
        <c:axPos val="b"/>
        <c:numFmt formatCode="General" sourceLinked="1"/>
        <c:majorTickMark val="none"/>
        <c:minorTickMark val="none"/>
        <c:tickLblPos val="nextTo"/>
        <c:crossAx val="1477700194"/>
        <c:crosses val="autoZero"/>
        <c:auto val="1"/>
        <c:lblAlgn val="ctr"/>
        <c:lblOffset val="100"/>
        <c:noMultiLvlLbl val="1"/>
      </c:catAx>
      <c:valAx>
        <c:axId val="1477700194"/>
        <c:scaling>
          <c:orientation val="minMax"/>
          <c:max val="9"/>
        </c:scaling>
        <c:delete val="0"/>
        <c:axPos val="r"/>
        <c:title>
          <c:tx>
            <c:rich>
              <a:bodyPr/>
              <a:lstStyle/>
              <a:p>
                <a:pPr lvl="0">
                  <a:defRPr b="0">
                    <a:solidFill>
                      <a:srgbClr val="000000"/>
                    </a:solidFill>
                    <a:latin typeface="+mn-lt"/>
                  </a:defRPr>
                </a:pPr>
                <a:endParaRPr lang="en-US"/>
              </a:p>
            </c:rich>
          </c:tx>
          <c:overlay val="0"/>
        </c:title>
        <c:numFmt formatCode="0.00" sourceLinked="0"/>
        <c:majorTickMark val="none"/>
        <c:minorTickMark val="none"/>
        <c:tickLblPos val="nextTo"/>
        <c:spPr>
          <a:ln/>
        </c:spPr>
        <c:txPr>
          <a:bodyPr/>
          <a:lstStyle/>
          <a:p>
            <a:pPr lvl="0">
              <a:defRPr sz="900" b="0" i="0">
                <a:solidFill>
                  <a:srgbClr val="FFFFFF"/>
                </a:solidFill>
                <a:latin typeface="+mn-lt"/>
              </a:defRPr>
            </a:pPr>
            <a:endParaRPr lang="en-US"/>
          </a:p>
        </c:txPr>
        <c:crossAx val="1174524659"/>
        <c:crosses val="max"/>
        <c:crossBetween val="between"/>
      </c:valAx>
    </c:plotArea>
    <c:legend>
      <c:legendPos val="b"/>
      <c:overlay val="0"/>
      <c:txPr>
        <a:bodyPr/>
        <a:lstStyle/>
        <a:p>
          <a:pPr lvl="0">
            <a:defRPr sz="900"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400" b="0" i="0">
                <a:solidFill>
                  <a:srgbClr val="757575"/>
                </a:solidFill>
                <a:latin typeface="+mn-lt"/>
              </a:defRPr>
            </a:pPr>
            <a:r>
              <a:rPr lang="en-US" sz="1400" b="0" i="0">
                <a:solidFill>
                  <a:srgbClr val="757575"/>
                </a:solidFill>
                <a:latin typeface="+mn-lt"/>
              </a:rPr>
              <a:t>MERV 11: Cost vs. Ventilation Strategy</a:t>
            </a:r>
          </a:p>
        </c:rich>
      </c:tx>
      <c:overlay val="0"/>
    </c:title>
    <c:autoTitleDeleted val="0"/>
    <c:plotArea>
      <c:layout/>
      <c:barChart>
        <c:barDir val="col"/>
        <c:grouping val="stacked"/>
        <c:varyColors val="1"/>
        <c:ser>
          <c:idx val="0"/>
          <c:order val="0"/>
          <c:tx>
            <c:v>Total Annual Cost</c:v>
          </c:tx>
          <c:spPr>
            <a:solidFill>
              <a:srgbClr val="B4E4E8"/>
            </a:solidFill>
          </c:spPr>
          <c:invertIfNegative val="1"/>
          <c:dLbls>
            <c:spPr>
              <a:noFill/>
              <a:ln>
                <a:noFill/>
              </a:ln>
              <a:effectLst/>
            </c:spPr>
            <c:txPr>
              <a:bodyPr/>
              <a:lstStyle/>
              <a:p>
                <a:pPr lvl="0">
                  <a:defRPr sz="900" b="0" i="0">
                    <a:latin typeface="+mn-lt"/>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'Scenario Comparison'!$B$27:$B$31</c:f>
              <c:strCache>
                <c:ptCount val="5"/>
                <c:pt idx="0">
                  <c:v>100% OA</c:v>
                </c:pt>
                <c:pt idx="1">
                  <c:v>VRP+30%</c:v>
                </c:pt>
                <c:pt idx="2">
                  <c:v>VRP</c:v>
                </c:pt>
                <c:pt idx="3">
                  <c:v>IAQP</c:v>
                </c:pt>
                <c:pt idx="4">
                  <c:v>VRP</c:v>
                </c:pt>
              </c:strCache>
            </c:strRef>
          </c:cat>
          <c:val>
            <c:numRef>
              <c:f>'Scenario Comparison'!$D$27:$D$31</c:f>
              <c:numCache>
                <c:formatCode>"$"#,##0</c:formatCode>
                <c:ptCount val="5"/>
                <c:pt idx="0">
                  <c:v>9068.1982920532282</c:v>
                </c:pt>
                <c:pt idx="1">
                  <c:v>1920.6236838308055</c:v>
                </c:pt>
                <c:pt idx="2">
                  <c:v>1619.3806503193193</c:v>
                </c:pt>
                <c:pt idx="3">
                  <c:v>1091.8852596196427</c:v>
                </c:pt>
                <c:pt idx="4">
                  <c:v>1619.3806503193193</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0-0917-4D2E-A77E-70D4EF48C4C0}"/>
            </c:ext>
          </c:extLst>
        </c:ser>
        <c:dLbls>
          <c:showLegendKey val="0"/>
          <c:showVal val="0"/>
          <c:showCatName val="0"/>
          <c:showSerName val="0"/>
          <c:showPercent val="0"/>
          <c:showBubbleSize val="0"/>
        </c:dLbls>
        <c:gapWidth val="150"/>
        <c:overlap val="100"/>
        <c:axId val="380576660"/>
        <c:axId val="576124084"/>
      </c:barChart>
      <c:lineChart>
        <c:grouping val="standard"/>
        <c:varyColors val="0"/>
        <c:ser>
          <c:idx val="1"/>
          <c:order val="1"/>
          <c:tx>
            <c:v>Effective ACH</c:v>
          </c:tx>
          <c:spPr>
            <a:ln w="28575" cmpd="sng">
              <a:solidFill>
                <a:schemeClr val="accent4"/>
              </a:solidFill>
            </a:ln>
          </c:spPr>
          <c:marker>
            <c:symbol val="none"/>
          </c:marker>
          <c:dLbls>
            <c:spPr>
              <a:noFill/>
              <a:ln>
                <a:noFill/>
              </a:ln>
              <a:effectLst/>
            </c:spPr>
            <c:txPr>
              <a:bodyPr/>
              <a:lstStyle/>
              <a:p>
                <a:pPr lvl="0">
                  <a:defRPr sz="900" b="0" i="0">
                    <a:solidFill>
                      <a:srgbClr val="000000"/>
                    </a:solidFill>
                    <a:latin typeface="+mn-lt"/>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'Scenario Comparison'!$B$27:$B$31</c:f>
              <c:strCache>
                <c:ptCount val="5"/>
                <c:pt idx="0">
                  <c:v>100% OA</c:v>
                </c:pt>
                <c:pt idx="1">
                  <c:v>VRP+30%</c:v>
                </c:pt>
                <c:pt idx="2">
                  <c:v>VRP</c:v>
                </c:pt>
                <c:pt idx="3">
                  <c:v>IAQP</c:v>
                </c:pt>
                <c:pt idx="4">
                  <c:v>VRP</c:v>
                </c:pt>
              </c:strCache>
            </c:strRef>
          </c:cat>
          <c:val>
            <c:numRef>
              <c:f>'Scenario Comparison'!$D$19:$D$23</c:f>
              <c:numCache>
                <c:formatCode>#,##0.00</c:formatCode>
                <c:ptCount val="5"/>
                <c:pt idx="0">
                  <c:v>6.6666666666666661</c:v>
                </c:pt>
                <c:pt idx="1">
                  <c:v>5.0764929292929288</c:v>
                </c:pt>
                <c:pt idx="2">
                  <c:v>5.0126868686868686</c:v>
                </c:pt>
                <c:pt idx="3">
                  <c:v>4.8933333333333326</c:v>
                </c:pt>
                <c:pt idx="4">
                  <c:v>5.0126868686868686</c:v>
                </c:pt>
              </c:numCache>
            </c:numRef>
          </c:val>
          <c:smooth val="0"/>
          <c:extLst>
            <c:ext xmlns:c16="http://schemas.microsoft.com/office/drawing/2014/chart" uri="{C3380CC4-5D6E-409C-BE32-E72D297353CC}">
              <c16:uniqueId val="{00000001-0917-4D2E-A77E-70D4EF48C4C0}"/>
            </c:ext>
          </c:extLst>
        </c:ser>
        <c:dLbls>
          <c:showLegendKey val="0"/>
          <c:showVal val="0"/>
          <c:showCatName val="0"/>
          <c:showSerName val="0"/>
          <c:showPercent val="0"/>
          <c:showBubbleSize val="0"/>
        </c:dLbls>
        <c:marker val="1"/>
        <c:smooth val="0"/>
        <c:axId val="287552753"/>
        <c:axId val="1111011909"/>
      </c:lineChart>
      <c:catAx>
        <c:axId val="380576660"/>
        <c:scaling>
          <c:orientation val="minMax"/>
        </c:scaling>
        <c:delete val="0"/>
        <c:axPos val="b"/>
        <c:title>
          <c:tx>
            <c:rich>
              <a:bodyPr/>
              <a:lstStyle/>
              <a:p>
                <a:pPr lvl="0">
                  <a:defRPr b="0">
                    <a:solidFill>
                      <a:srgbClr val="000000"/>
                    </a:solidFill>
                    <a:latin typeface="+mn-lt"/>
                  </a:defRPr>
                </a:pPr>
                <a:endParaRPr lang="en-US"/>
              </a:p>
            </c:rich>
          </c:tx>
          <c:overlay val="0"/>
        </c:title>
        <c:numFmt formatCode="General" sourceLinked="1"/>
        <c:majorTickMark val="none"/>
        <c:minorTickMark val="none"/>
        <c:tickLblPos val="nextTo"/>
        <c:txPr>
          <a:bodyPr/>
          <a:lstStyle/>
          <a:p>
            <a:pPr lvl="0">
              <a:defRPr sz="900" b="0" i="0">
                <a:solidFill>
                  <a:srgbClr val="000000"/>
                </a:solidFill>
                <a:latin typeface="+mn-lt"/>
              </a:defRPr>
            </a:pPr>
            <a:endParaRPr lang="en-US"/>
          </a:p>
        </c:txPr>
        <c:crossAx val="576124084"/>
        <c:crosses val="autoZero"/>
        <c:auto val="1"/>
        <c:lblAlgn val="ctr"/>
        <c:lblOffset val="100"/>
        <c:noMultiLvlLbl val="1"/>
      </c:catAx>
      <c:valAx>
        <c:axId val="576124084"/>
        <c:scaling>
          <c:orientation val="minMax"/>
        </c:scaling>
        <c:delete val="0"/>
        <c:axPos val="l"/>
        <c:title>
          <c:tx>
            <c:rich>
              <a:bodyPr/>
              <a:lstStyle/>
              <a:p>
                <a:pPr lvl="0">
                  <a:defRPr b="0">
                    <a:solidFill>
                      <a:srgbClr val="000000"/>
                    </a:solidFill>
                    <a:latin typeface="+mn-lt"/>
                  </a:defRPr>
                </a:pPr>
                <a:endParaRPr lang="en-US"/>
              </a:p>
            </c:rich>
          </c:tx>
          <c:overlay val="0"/>
        </c:title>
        <c:numFmt formatCode="&quot;$&quot;#,##0" sourceLinked="0"/>
        <c:majorTickMark val="none"/>
        <c:minorTickMark val="none"/>
        <c:tickLblPos val="nextTo"/>
        <c:spPr>
          <a:ln/>
        </c:spPr>
        <c:txPr>
          <a:bodyPr/>
          <a:lstStyle/>
          <a:p>
            <a:pPr lvl="0">
              <a:defRPr sz="900" b="0" i="0">
                <a:solidFill>
                  <a:srgbClr val="FFFFFF"/>
                </a:solidFill>
                <a:latin typeface="+mn-lt"/>
              </a:defRPr>
            </a:pPr>
            <a:endParaRPr lang="en-US"/>
          </a:p>
        </c:txPr>
        <c:crossAx val="380576660"/>
        <c:crosses val="autoZero"/>
        <c:crossBetween val="between"/>
      </c:valAx>
      <c:catAx>
        <c:axId val="287552753"/>
        <c:scaling>
          <c:orientation val="minMax"/>
        </c:scaling>
        <c:delete val="1"/>
        <c:axPos val="b"/>
        <c:numFmt formatCode="General" sourceLinked="1"/>
        <c:majorTickMark val="none"/>
        <c:minorTickMark val="none"/>
        <c:tickLblPos val="nextTo"/>
        <c:crossAx val="1111011909"/>
        <c:crosses val="autoZero"/>
        <c:auto val="1"/>
        <c:lblAlgn val="ctr"/>
        <c:lblOffset val="100"/>
        <c:noMultiLvlLbl val="1"/>
      </c:catAx>
      <c:valAx>
        <c:axId val="1111011909"/>
        <c:scaling>
          <c:orientation val="minMax"/>
          <c:max val="9"/>
        </c:scaling>
        <c:delete val="0"/>
        <c:axPos val="r"/>
        <c:title>
          <c:tx>
            <c:rich>
              <a:bodyPr/>
              <a:lstStyle/>
              <a:p>
                <a:pPr lvl="0">
                  <a:defRPr b="0">
                    <a:solidFill>
                      <a:srgbClr val="000000"/>
                    </a:solidFill>
                    <a:latin typeface="+mn-lt"/>
                  </a:defRPr>
                </a:pPr>
                <a:endParaRPr lang="en-US"/>
              </a:p>
            </c:rich>
          </c:tx>
          <c:overlay val="0"/>
        </c:title>
        <c:numFmt formatCode="0.00" sourceLinked="0"/>
        <c:majorTickMark val="none"/>
        <c:minorTickMark val="none"/>
        <c:tickLblPos val="nextTo"/>
        <c:spPr>
          <a:ln/>
        </c:spPr>
        <c:txPr>
          <a:bodyPr/>
          <a:lstStyle/>
          <a:p>
            <a:pPr lvl="0">
              <a:defRPr sz="900" b="0" i="0">
                <a:solidFill>
                  <a:srgbClr val="FFFFFF"/>
                </a:solidFill>
                <a:latin typeface="+mn-lt"/>
              </a:defRPr>
            </a:pPr>
            <a:endParaRPr lang="en-US"/>
          </a:p>
        </c:txPr>
        <c:crossAx val="287552753"/>
        <c:crosses val="max"/>
        <c:crossBetween val="between"/>
      </c:valAx>
    </c:plotArea>
    <c:legend>
      <c:legendPos val="b"/>
      <c:overlay val="0"/>
      <c:txPr>
        <a:bodyPr/>
        <a:lstStyle/>
        <a:p>
          <a:pPr lvl="0">
            <a:defRPr sz="900"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1</xdr:col>
      <xdr:colOff>266700</xdr:colOff>
      <xdr:row>38</xdr:row>
      <xdr:rowOff>85725</xdr:rowOff>
    </xdr:from>
    <xdr:ext cx="4191000" cy="638175"/>
    <xdr:pic>
      <xdr:nvPicPr>
        <xdr:cNvPr id="2" name="image2.pn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xdr:col>
      <xdr:colOff>276225</xdr:colOff>
      <xdr:row>49</xdr:row>
      <xdr:rowOff>133350</xdr:rowOff>
    </xdr:from>
    <xdr:ext cx="5010150" cy="742950"/>
    <xdr:pic>
      <xdr:nvPicPr>
        <xdr:cNvPr id="3" name="image3.png" title="Image">
          <a:extLst>
            <a:ext uri="{FF2B5EF4-FFF2-40B4-BE49-F238E27FC236}">
              <a16:creationId xmlns:a16="http://schemas.microsoft.com/office/drawing/2014/main" id="{00000000-0008-0000-0000-000003000000}"/>
            </a:ext>
          </a:extLst>
        </xdr:cNvPr>
        <xdr:cNvPicPr preferRelativeResize="0"/>
      </xdr:nvPicPr>
      <xdr:blipFill>
        <a:blip xmlns:r="http://schemas.openxmlformats.org/officeDocument/2006/relationships" r:embed="rId2" cstate="print"/>
        <a:stretch>
          <a:fillRect/>
        </a:stretch>
      </xdr:blipFill>
      <xdr:spPr>
        <a:xfrm>
          <a:off x="2085975" y="10029825"/>
          <a:ext cx="5010150" cy="742950"/>
        </a:xfrm>
        <a:prstGeom prst="rect">
          <a:avLst/>
        </a:prstGeom>
        <a:noFill/>
      </xdr:spPr>
    </xdr:pic>
    <xdr:clientData fLocksWithSheet="0"/>
  </xdr:oneCellAnchor>
  <xdr:oneCellAnchor>
    <xdr:from>
      <xdr:col>1</xdr:col>
      <xdr:colOff>276225</xdr:colOff>
      <xdr:row>64</xdr:row>
      <xdr:rowOff>47625</xdr:rowOff>
    </xdr:from>
    <xdr:ext cx="3914775" cy="457200"/>
    <xdr:pic>
      <xdr:nvPicPr>
        <xdr:cNvPr id="4" name="image1.png" title="Image">
          <a:extLst>
            <a:ext uri="{FF2B5EF4-FFF2-40B4-BE49-F238E27FC236}">
              <a16:creationId xmlns:a16="http://schemas.microsoft.com/office/drawing/2014/main" id="{00000000-0008-0000-0000-000004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7</xdr:col>
      <xdr:colOff>0</xdr:colOff>
      <xdr:row>17</xdr:row>
      <xdr:rowOff>0</xdr:rowOff>
    </xdr:from>
    <xdr:ext cx="6048375" cy="2667000"/>
    <xdr:graphicFrame macro="">
      <xdr:nvGraphicFramePr>
        <xdr:cNvPr id="2083016352" name="Chart 1" title="Chart">
          <a:extLst>
            <a:ext uri="{FF2B5EF4-FFF2-40B4-BE49-F238E27FC236}">
              <a16:creationId xmlns:a16="http://schemas.microsoft.com/office/drawing/2014/main" id="{00000000-0008-0000-0200-0000A04E287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7</xdr:col>
      <xdr:colOff>0</xdr:colOff>
      <xdr:row>35</xdr:row>
      <xdr:rowOff>0</xdr:rowOff>
    </xdr:from>
    <xdr:ext cx="6086475" cy="3009900"/>
    <xdr:graphicFrame macro="">
      <xdr:nvGraphicFramePr>
        <xdr:cNvPr id="1894642995" name="Chart 2" title="Chart">
          <a:extLst>
            <a:ext uri="{FF2B5EF4-FFF2-40B4-BE49-F238E27FC236}">
              <a16:creationId xmlns:a16="http://schemas.microsoft.com/office/drawing/2014/main" id="{00000000-0008-0000-0200-000033F5ED7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oneCellAnchor>
    <xdr:from>
      <xdr:col>17</xdr:col>
      <xdr:colOff>0</xdr:colOff>
      <xdr:row>35</xdr:row>
      <xdr:rowOff>0</xdr:rowOff>
    </xdr:from>
    <xdr:ext cx="5810250" cy="3009900"/>
    <xdr:graphicFrame macro="">
      <xdr:nvGraphicFramePr>
        <xdr:cNvPr id="1396098901" name="Chart 3" title="Chart">
          <a:extLst>
            <a:ext uri="{FF2B5EF4-FFF2-40B4-BE49-F238E27FC236}">
              <a16:creationId xmlns:a16="http://schemas.microsoft.com/office/drawing/2014/main" id="{00000000-0008-0000-0200-000055C736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oneCellAnchor>
  <xdr:oneCellAnchor>
    <xdr:from>
      <xdr:col>17</xdr:col>
      <xdr:colOff>0</xdr:colOff>
      <xdr:row>17</xdr:row>
      <xdr:rowOff>0</xdr:rowOff>
    </xdr:from>
    <xdr:ext cx="5810250" cy="2676525"/>
    <xdr:graphicFrame macro="">
      <xdr:nvGraphicFramePr>
        <xdr:cNvPr id="1194955537" name="Chart 4" title="Chart">
          <a:extLst>
            <a:ext uri="{FF2B5EF4-FFF2-40B4-BE49-F238E27FC236}">
              <a16:creationId xmlns:a16="http://schemas.microsoft.com/office/drawing/2014/main" id="{00000000-0008-0000-0200-00001193394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dr:oneCellAnchor>
    <xdr:from>
      <xdr:col>1</xdr:col>
      <xdr:colOff>123825</xdr:colOff>
      <xdr:row>16</xdr:row>
      <xdr:rowOff>28575</xdr:rowOff>
    </xdr:from>
    <xdr:ext cx="4381500" cy="3867150"/>
    <xdr:pic>
      <xdr:nvPicPr>
        <xdr:cNvPr id="2" name="image4.png" title="Image">
          <a:extLst>
            <a:ext uri="{FF2B5EF4-FFF2-40B4-BE49-F238E27FC236}">
              <a16:creationId xmlns:a16="http://schemas.microsoft.com/office/drawing/2014/main" id="{00000000-0008-0000-05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8</xdr:col>
      <xdr:colOff>276225</xdr:colOff>
      <xdr:row>16</xdr:row>
      <xdr:rowOff>28575</xdr:rowOff>
    </xdr:from>
    <xdr:ext cx="4381500" cy="3952875"/>
    <xdr:pic>
      <xdr:nvPicPr>
        <xdr:cNvPr id="3" name="image5.png" title="Image">
          <a:extLst>
            <a:ext uri="{FF2B5EF4-FFF2-40B4-BE49-F238E27FC236}">
              <a16:creationId xmlns:a16="http://schemas.microsoft.com/office/drawing/2014/main" id="{00000000-0008-0000-05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buildingsolutions@enverid.com" TargetMode="External"/><Relationship Id="rId7" Type="http://schemas.openxmlformats.org/officeDocument/2006/relationships/drawing" Target="../drawings/drawing1.xml"/><Relationship Id="rId2" Type="http://schemas.openxmlformats.org/officeDocument/2006/relationships/hyperlink" Target="mailto:buildingsolutions@enverid.com" TargetMode="External"/><Relationship Id="rId1" Type="http://schemas.openxmlformats.org/officeDocument/2006/relationships/hyperlink" Target="https://tinyurl.com/energy-estimator-pr" TargetMode="External"/><Relationship Id="rId6" Type="http://schemas.openxmlformats.org/officeDocument/2006/relationships/hyperlink" Target="https://enverid.com/" TargetMode="External"/><Relationship Id="rId5" Type="http://schemas.openxmlformats.org/officeDocument/2006/relationships/hyperlink" Target="https://docs.google.com/spreadsheets/d/1NEhk1IEdbEi_b3wa6gI_zNs8uBJjlSS-86d4b7bW098/edit" TargetMode="External"/><Relationship Id="rId4" Type="http://schemas.openxmlformats.org/officeDocument/2006/relationships/hyperlink" Target="https://www.epa.gov/energy/greenhouse-gases-equivalencies-calculator-calculations-and-references"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hyperlink" Target="https://www.nafahq.org/understanding-merv-nafa-users-guide-to-ansi-ashrae-52-2/"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B4E4E8"/>
    <outlinePr summaryBelow="0" summaryRight="0"/>
  </sheetPr>
  <dimension ref="A1:Z1000"/>
  <sheetViews>
    <sheetView showGridLines="0" topLeftCell="A143" workbookViewId="0">
      <selection activeCell="A57" sqref="A57"/>
    </sheetView>
  </sheetViews>
  <sheetFormatPr defaultColWidth="14.453125" defaultRowHeight="15" customHeight="1"/>
  <cols>
    <col min="1" max="1" width="27.1796875" customWidth="1"/>
    <col min="2" max="2" width="17.453125" customWidth="1"/>
    <col min="3" max="3" width="20.453125" customWidth="1"/>
    <col min="4" max="4" width="12.7265625" customWidth="1"/>
    <col min="5" max="5" width="15.1796875" customWidth="1"/>
    <col min="6" max="6" width="19.453125" customWidth="1"/>
    <col min="7" max="7" width="13.453125" customWidth="1"/>
    <col min="8" max="8" width="9.1796875" customWidth="1"/>
    <col min="9" max="9" width="14" customWidth="1"/>
    <col min="10" max="10" width="16.7265625" customWidth="1"/>
  </cols>
  <sheetData>
    <row r="1" spans="1:26" ht="8.25" customHeight="1">
      <c r="A1" s="1"/>
      <c r="B1" s="1"/>
      <c r="C1" s="2"/>
      <c r="D1" s="2"/>
      <c r="E1" s="3"/>
      <c r="F1" s="3"/>
      <c r="G1" s="3"/>
      <c r="H1" s="3"/>
      <c r="I1" s="3"/>
      <c r="J1" s="3"/>
      <c r="K1" s="4"/>
      <c r="L1" s="4"/>
      <c r="M1" s="4"/>
      <c r="N1" s="4"/>
      <c r="O1" s="4"/>
      <c r="P1" s="4"/>
      <c r="Q1" s="4"/>
      <c r="R1" s="4"/>
      <c r="S1" s="4"/>
      <c r="T1" s="4"/>
      <c r="U1" s="4"/>
      <c r="V1" s="4"/>
      <c r="W1" s="4"/>
      <c r="X1" s="4"/>
      <c r="Y1" s="4"/>
      <c r="Z1" s="4"/>
    </row>
    <row r="2" spans="1:26" ht="27" customHeight="1">
      <c r="A2" s="5" t="s">
        <v>0</v>
      </c>
      <c r="B2" s="5"/>
      <c r="C2" s="6"/>
      <c r="D2" s="6"/>
      <c r="E2" s="7" t="s">
        <v>1</v>
      </c>
      <c r="F2" s="8"/>
      <c r="G2" s="8"/>
      <c r="H2" s="8"/>
      <c r="I2" s="8"/>
      <c r="J2" s="9"/>
      <c r="K2" s="4"/>
      <c r="L2" s="4"/>
      <c r="M2" s="4"/>
      <c r="N2" s="4"/>
      <c r="O2" s="4"/>
      <c r="P2" s="4"/>
      <c r="Q2" s="4"/>
      <c r="R2" s="4"/>
      <c r="S2" s="4"/>
      <c r="T2" s="4"/>
      <c r="U2" s="4"/>
      <c r="V2" s="4"/>
      <c r="W2" s="4"/>
      <c r="X2" s="4"/>
      <c r="Y2" s="4"/>
      <c r="Z2" s="4"/>
    </row>
    <row r="3" spans="1:26" ht="19.5" customHeight="1">
      <c r="A3" s="10" t="s">
        <v>2</v>
      </c>
      <c r="B3" s="11" t="s">
        <v>3</v>
      </c>
      <c r="C3" s="12"/>
      <c r="D3" s="4"/>
      <c r="E3" s="4"/>
      <c r="F3" s="4"/>
      <c r="G3" s="13"/>
      <c r="H3" s="14"/>
      <c r="I3" s="15"/>
      <c r="J3" s="16"/>
      <c r="K3" s="4"/>
      <c r="L3" s="4"/>
      <c r="M3" s="4"/>
      <c r="N3" s="4"/>
      <c r="O3" s="4"/>
      <c r="P3" s="4"/>
      <c r="Q3" s="4"/>
      <c r="R3" s="4"/>
      <c r="S3" s="4"/>
      <c r="T3" s="4"/>
      <c r="U3" s="4"/>
      <c r="V3" s="4"/>
      <c r="W3" s="4"/>
      <c r="X3" s="4"/>
      <c r="Y3" s="4"/>
      <c r="Z3" s="4"/>
    </row>
    <row r="4" spans="1:26" ht="15.75" customHeight="1">
      <c r="A4" s="17"/>
      <c r="B4" s="12"/>
      <c r="C4" s="18"/>
      <c r="D4" s="19"/>
      <c r="E4" s="20"/>
      <c r="F4" s="19"/>
      <c r="G4" s="4"/>
      <c r="H4" s="286" t="s">
        <v>4</v>
      </c>
      <c r="I4" s="287"/>
      <c r="J4" s="288"/>
      <c r="K4" s="4"/>
      <c r="L4" s="4"/>
      <c r="M4" s="4"/>
      <c r="N4" s="4"/>
      <c r="O4" s="4"/>
      <c r="P4" s="4"/>
      <c r="Q4" s="4"/>
      <c r="R4" s="4"/>
      <c r="S4" s="4"/>
      <c r="T4" s="4"/>
      <c r="U4" s="4"/>
      <c r="V4" s="4"/>
      <c r="W4" s="4"/>
      <c r="X4" s="4"/>
      <c r="Y4" s="4"/>
      <c r="Z4" s="4"/>
    </row>
    <row r="5" spans="1:26" ht="15.75" customHeight="1">
      <c r="A5" s="10" t="s">
        <v>5</v>
      </c>
      <c r="B5" s="17" t="s">
        <v>6</v>
      </c>
      <c r="C5" s="10"/>
      <c r="D5" s="21"/>
      <c r="E5" s="19"/>
      <c r="F5" s="19"/>
      <c r="G5" s="19"/>
      <c r="H5" s="289"/>
      <c r="I5" s="276"/>
      <c r="J5" s="290"/>
      <c r="K5" s="4"/>
      <c r="L5" s="4"/>
      <c r="M5" s="4"/>
      <c r="N5" s="4"/>
      <c r="O5" s="4"/>
      <c r="P5" s="4"/>
      <c r="Q5" s="4"/>
      <c r="R5" s="4"/>
      <c r="S5" s="4"/>
      <c r="T5" s="4"/>
      <c r="U5" s="4"/>
      <c r="V5" s="4"/>
      <c r="W5" s="4"/>
      <c r="X5" s="4"/>
      <c r="Y5" s="4"/>
      <c r="Z5" s="4"/>
    </row>
    <row r="6" spans="1:26" ht="15.75" customHeight="1">
      <c r="A6" s="10"/>
      <c r="B6" s="22" t="s">
        <v>7</v>
      </c>
      <c r="C6" s="23"/>
      <c r="D6" s="19"/>
      <c r="E6" s="20"/>
      <c r="F6" s="19"/>
      <c r="G6" s="4"/>
      <c r="H6" s="291"/>
      <c r="I6" s="292"/>
      <c r="J6" s="293"/>
      <c r="K6" s="4"/>
      <c r="L6" s="4"/>
      <c r="M6" s="4"/>
      <c r="N6" s="4"/>
      <c r="O6" s="4"/>
      <c r="P6" s="4"/>
      <c r="Q6" s="4"/>
      <c r="R6" s="4"/>
      <c r="S6" s="4"/>
      <c r="T6" s="4"/>
      <c r="U6" s="4"/>
      <c r="V6" s="4"/>
      <c r="W6" s="4"/>
      <c r="X6" s="4"/>
      <c r="Y6" s="4"/>
      <c r="Z6" s="4"/>
    </row>
    <row r="7" spans="1:26" ht="15.75" customHeight="1">
      <c r="A7" s="10"/>
      <c r="B7" s="12"/>
      <c r="C7" s="23"/>
      <c r="D7" s="19"/>
      <c r="E7" s="20"/>
      <c r="F7" s="20"/>
      <c r="G7" s="4"/>
      <c r="H7" s="4"/>
      <c r="I7" s="4"/>
      <c r="J7" s="4"/>
      <c r="K7" s="4"/>
      <c r="L7" s="4"/>
      <c r="M7" s="4"/>
      <c r="N7" s="4"/>
      <c r="O7" s="4"/>
      <c r="P7" s="4"/>
      <c r="Q7" s="4"/>
      <c r="R7" s="4"/>
      <c r="S7" s="4"/>
      <c r="T7" s="4"/>
      <c r="U7" s="4"/>
      <c r="V7" s="4"/>
      <c r="W7" s="4"/>
      <c r="X7" s="4"/>
      <c r="Y7" s="4"/>
      <c r="Z7" s="4"/>
    </row>
    <row r="8" spans="1:26" ht="15.75" customHeight="1">
      <c r="A8" s="19"/>
      <c r="B8" s="4"/>
      <c r="C8" s="24"/>
      <c r="D8" s="19"/>
      <c r="E8" s="20"/>
      <c r="F8" s="20"/>
      <c r="G8" s="4"/>
      <c r="H8" s="4"/>
      <c r="I8" s="4"/>
      <c r="J8" s="4"/>
      <c r="K8" s="4"/>
      <c r="L8" s="4"/>
      <c r="M8" s="4"/>
      <c r="N8" s="4"/>
      <c r="O8" s="4"/>
      <c r="P8" s="4"/>
      <c r="Q8" s="4"/>
      <c r="R8" s="4"/>
      <c r="S8" s="4"/>
      <c r="T8" s="4"/>
      <c r="U8" s="4"/>
      <c r="V8" s="4"/>
      <c r="W8" s="4"/>
      <c r="X8" s="4"/>
      <c r="Y8" s="4"/>
      <c r="Z8" s="4"/>
    </row>
    <row r="9" spans="1:26" ht="15.75" customHeight="1">
      <c r="A9" s="19"/>
      <c r="B9" s="4"/>
      <c r="C9" s="25"/>
      <c r="D9" s="19"/>
      <c r="E9" s="19"/>
      <c r="F9" s="19"/>
      <c r="G9" s="4"/>
      <c r="H9" s="4"/>
      <c r="I9" s="4"/>
      <c r="J9" s="4"/>
      <c r="K9" s="4"/>
      <c r="L9" s="4"/>
      <c r="M9" s="4"/>
      <c r="N9" s="4"/>
      <c r="O9" s="4"/>
      <c r="P9" s="4"/>
      <c r="Q9" s="4"/>
      <c r="R9" s="4"/>
      <c r="S9" s="4"/>
      <c r="T9" s="4"/>
      <c r="U9" s="4"/>
      <c r="V9" s="4"/>
      <c r="W9" s="4"/>
      <c r="X9" s="4"/>
      <c r="Y9" s="4"/>
      <c r="Z9" s="4"/>
    </row>
    <row r="10" spans="1:26" ht="15.75" customHeight="1">
      <c r="A10" s="294"/>
      <c r="B10" s="276"/>
      <c r="C10" s="295"/>
      <c r="D10" s="276"/>
      <c r="E10" s="276"/>
      <c r="F10" s="276"/>
      <c r="G10" s="276"/>
      <c r="H10" s="276"/>
      <c r="I10" s="276"/>
      <c r="J10" s="276"/>
      <c r="K10" s="4"/>
      <c r="L10" s="4"/>
      <c r="M10" s="4"/>
      <c r="N10" s="4"/>
      <c r="O10" s="4"/>
      <c r="P10" s="4"/>
      <c r="Q10" s="4"/>
      <c r="R10" s="4"/>
      <c r="S10" s="4"/>
      <c r="T10" s="4"/>
      <c r="U10" s="4"/>
      <c r="V10" s="4"/>
      <c r="W10" s="4"/>
      <c r="X10" s="4"/>
      <c r="Y10" s="4"/>
      <c r="Z10" s="4"/>
    </row>
    <row r="11" spans="1:26" ht="15.75" customHeight="1">
      <c r="A11" s="10" t="s">
        <v>8</v>
      </c>
      <c r="B11" s="27" t="s">
        <v>9</v>
      </c>
      <c r="C11" s="28">
        <v>44167</v>
      </c>
      <c r="D11" s="12"/>
      <c r="E11" s="12"/>
      <c r="F11" s="12"/>
      <c r="G11" s="12"/>
      <c r="H11" s="12"/>
      <c r="I11" s="12"/>
      <c r="J11" s="12"/>
      <c r="K11" s="4"/>
      <c r="L11" s="4"/>
      <c r="M11" s="4"/>
      <c r="N11" s="4"/>
      <c r="O11" s="4"/>
      <c r="P11" s="4"/>
      <c r="Q11" s="4"/>
      <c r="R11" s="4"/>
      <c r="S11" s="4"/>
      <c r="T11" s="4"/>
      <c r="U11" s="4"/>
      <c r="V11" s="4"/>
      <c r="W11" s="4"/>
      <c r="X11" s="4"/>
      <c r="Y11" s="4"/>
      <c r="Z11" s="4"/>
    </row>
    <row r="12" spans="1:26" ht="15.75" customHeight="1">
      <c r="A12" s="4"/>
      <c r="B12" s="4"/>
      <c r="C12" s="4"/>
      <c r="D12" s="4"/>
      <c r="E12" s="4"/>
      <c r="F12" s="4"/>
      <c r="G12" s="4"/>
      <c r="H12" s="4"/>
      <c r="I12" s="4"/>
      <c r="J12" s="4"/>
      <c r="K12" s="4"/>
      <c r="L12" s="4"/>
      <c r="M12" s="4"/>
      <c r="N12" s="4"/>
      <c r="O12" s="4"/>
      <c r="P12" s="4"/>
      <c r="Q12" s="4"/>
      <c r="R12" s="4"/>
      <c r="S12" s="4"/>
      <c r="T12" s="4"/>
      <c r="U12" s="4"/>
      <c r="V12" s="4"/>
      <c r="W12" s="4"/>
      <c r="X12" s="4"/>
      <c r="Y12" s="4"/>
      <c r="Z12" s="4"/>
    </row>
    <row r="13" spans="1:26" ht="15.75" customHeight="1">
      <c r="A13" s="29" t="s">
        <v>10</v>
      </c>
      <c r="B13" s="30"/>
      <c r="C13" s="30"/>
      <c r="D13" s="30"/>
      <c r="E13" s="30"/>
      <c r="F13" s="30"/>
      <c r="G13" s="30"/>
      <c r="H13" s="30"/>
      <c r="I13" s="30"/>
      <c r="J13" s="30"/>
      <c r="K13" s="4"/>
      <c r="L13" s="4"/>
      <c r="M13" s="4"/>
      <c r="N13" s="4"/>
      <c r="O13" s="4"/>
      <c r="P13" s="4"/>
      <c r="Q13" s="4"/>
      <c r="R13" s="4"/>
      <c r="S13" s="4"/>
      <c r="T13" s="4"/>
      <c r="U13" s="4"/>
      <c r="V13" s="4"/>
      <c r="W13" s="4"/>
      <c r="X13" s="4"/>
      <c r="Y13" s="4"/>
      <c r="Z13" s="4"/>
    </row>
    <row r="14" spans="1:26" ht="15.75" customHeight="1">
      <c r="A14" s="10" t="s">
        <v>11</v>
      </c>
      <c r="B14" s="12"/>
      <c r="C14" s="12"/>
      <c r="D14" s="12"/>
      <c r="E14" s="12"/>
      <c r="F14" s="12"/>
      <c r="G14" s="10"/>
      <c r="H14" s="12"/>
      <c r="I14" s="12"/>
      <c r="J14" s="12"/>
      <c r="K14" s="4"/>
      <c r="L14" s="4"/>
      <c r="M14" s="4"/>
      <c r="N14" s="4"/>
      <c r="O14" s="4"/>
      <c r="P14" s="4"/>
      <c r="Q14" s="4"/>
      <c r="R14" s="4"/>
      <c r="S14" s="4"/>
      <c r="T14" s="4"/>
      <c r="U14" s="4"/>
      <c r="V14" s="4"/>
      <c r="W14" s="4"/>
      <c r="X14" s="4"/>
      <c r="Y14" s="4"/>
      <c r="Z14" s="4"/>
    </row>
    <row r="15" spans="1:26" ht="15.75" customHeight="1">
      <c r="A15" s="10"/>
      <c r="B15" s="12"/>
      <c r="C15" s="12"/>
      <c r="D15" s="12"/>
      <c r="E15" s="12"/>
      <c r="F15" s="12"/>
      <c r="G15" s="10"/>
      <c r="H15" s="12"/>
      <c r="I15" s="12"/>
      <c r="J15" s="12"/>
      <c r="K15" s="4"/>
      <c r="L15" s="4"/>
      <c r="M15" s="4"/>
      <c r="N15" s="4"/>
      <c r="O15" s="4"/>
      <c r="P15" s="4"/>
      <c r="Q15" s="4"/>
      <c r="R15" s="4"/>
      <c r="S15" s="4"/>
      <c r="T15" s="4"/>
      <c r="U15" s="4"/>
      <c r="V15" s="4"/>
      <c r="W15" s="4"/>
      <c r="X15" s="4"/>
      <c r="Y15" s="4"/>
      <c r="Z15" s="4"/>
    </row>
    <row r="16" spans="1:26" ht="15.75" customHeight="1">
      <c r="A16" s="10"/>
      <c r="B16" s="12"/>
      <c r="C16" s="12"/>
      <c r="D16" s="12"/>
      <c r="E16" s="12"/>
      <c r="F16" s="12"/>
      <c r="G16" s="10"/>
      <c r="H16" s="12"/>
      <c r="I16" s="12"/>
      <c r="J16" s="12"/>
      <c r="K16" s="4"/>
      <c r="L16" s="4"/>
      <c r="M16" s="4"/>
      <c r="N16" s="4"/>
      <c r="O16" s="4"/>
      <c r="P16" s="4"/>
      <c r="Q16" s="4"/>
      <c r="R16" s="4"/>
      <c r="S16" s="4"/>
      <c r="T16" s="4"/>
      <c r="U16" s="4"/>
      <c r="V16" s="4"/>
      <c r="W16" s="4"/>
      <c r="X16" s="4"/>
      <c r="Y16" s="4"/>
      <c r="Z16" s="4"/>
    </row>
    <row r="17" spans="1:26" ht="15.75" customHeight="1">
      <c r="A17" s="296"/>
      <c r="B17" s="276"/>
      <c r="C17" s="276"/>
      <c r="D17" s="276"/>
      <c r="E17" s="276"/>
      <c r="F17" s="276"/>
      <c r="G17" s="276"/>
      <c r="H17" s="276"/>
      <c r="I17" s="276"/>
      <c r="J17" s="276"/>
      <c r="K17" s="4"/>
      <c r="L17" s="4"/>
      <c r="M17" s="4"/>
      <c r="N17" s="4"/>
      <c r="O17" s="4"/>
      <c r="P17" s="4"/>
      <c r="Q17" s="4"/>
      <c r="R17" s="4"/>
      <c r="S17" s="4"/>
      <c r="T17" s="4"/>
      <c r="U17" s="4"/>
      <c r="V17" s="4"/>
      <c r="W17" s="4"/>
      <c r="X17" s="4"/>
      <c r="Y17" s="4"/>
      <c r="Z17" s="4"/>
    </row>
    <row r="18" spans="1:26" ht="15.75" customHeight="1">
      <c r="A18" s="29" t="s">
        <v>12</v>
      </c>
      <c r="B18" s="32"/>
      <c r="C18" s="32"/>
      <c r="D18" s="32"/>
      <c r="E18" s="32"/>
      <c r="F18" s="32"/>
      <c r="G18" s="32"/>
      <c r="H18" s="32"/>
      <c r="I18" s="32"/>
      <c r="J18" s="32"/>
      <c r="K18" s="4"/>
      <c r="L18" s="4"/>
      <c r="M18" s="4"/>
      <c r="N18" s="4"/>
      <c r="O18" s="4"/>
      <c r="P18" s="4"/>
      <c r="Q18" s="4"/>
      <c r="R18" s="4"/>
      <c r="S18" s="4"/>
      <c r="T18" s="4"/>
      <c r="U18" s="4"/>
      <c r="V18" s="4"/>
      <c r="W18" s="4"/>
      <c r="X18" s="4"/>
      <c r="Y18" s="4"/>
      <c r="Z18" s="4"/>
    </row>
    <row r="19" spans="1:26" ht="15.75" customHeight="1">
      <c r="A19" s="296" t="s">
        <v>13</v>
      </c>
      <c r="B19" s="276"/>
      <c r="C19" s="276"/>
      <c r="D19" s="276"/>
      <c r="E19" s="276"/>
      <c r="F19" s="276"/>
      <c r="G19" s="276"/>
      <c r="H19" s="276"/>
      <c r="I19" s="276"/>
      <c r="J19" s="276"/>
      <c r="K19" s="4"/>
      <c r="L19" s="4"/>
      <c r="M19" s="4"/>
      <c r="N19" s="4"/>
      <c r="O19" s="4"/>
      <c r="P19" s="4"/>
      <c r="Q19" s="4"/>
      <c r="R19" s="4"/>
      <c r="S19" s="4"/>
      <c r="T19" s="4"/>
      <c r="U19" s="4"/>
      <c r="V19" s="4"/>
      <c r="W19" s="4"/>
      <c r="X19" s="4"/>
      <c r="Y19" s="4"/>
      <c r="Z19" s="4"/>
    </row>
    <row r="20" spans="1:26" ht="15.75" customHeight="1">
      <c r="A20" s="33" t="s">
        <v>14</v>
      </c>
      <c r="B20" s="33"/>
      <c r="C20" s="33"/>
      <c r="D20" s="33"/>
      <c r="E20" s="33"/>
      <c r="F20" s="33"/>
      <c r="G20" s="33"/>
      <c r="H20" s="12"/>
      <c r="I20" s="12"/>
      <c r="J20" s="12"/>
      <c r="K20" s="4"/>
      <c r="L20" s="4"/>
      <c r="M20" s="4"/>
      <c r="N20" s="4"/>
      <c r="O20" s="4"/>
      <c r="P20" s="4"/>
      <c r="Q20" s="4"/>
      <c r="R20" s="4"/>
      <c r="S20" s="4"/>
      <c r="T20" s="4"/>
      <c r="U20" s="4"/>
      <c r="V20" s="4"/>
      <c r="W20" s="4"/>
      <c r="X20" s="4"/>
      <c r="Y20" s="4"/>
      <c r="Z20" s="4"/>
    </row>
    <row r="21" spans="1:26" ht="15.75" customHeight="1">
      <c r="A21" s="10"/>
      <c r="B21" s="33" t="s">
        <v>15</v>
      </c>
      <c r="C21" s="33"/>
      <c r="D21" s="33"/>
      <c r="E21" s="33"/>
      <c r="F21" s="33"/>
      <c r="G21" s="10"/>
      <c r="H21" s="12"/>
      <c r="I21" s="12"/>
      <c r="J21" s="12"/>
      <c r="K21" s="4"/>
      <c r="L21" s="4"/>
      <c r="M21" s="4"/>
      <c r="N21" s="4"/>
      <c r="O21" s="4"/>
      <c r="P21" s="4"/>
      <c r="Q21" s="4"/>
      <c r="R21" s="4"/>
      <c r="S21" s="4"/>
      <c r="T21" s="4"/>
      <c r="U21" s="4"/>
      <c r="V21" s="4"/>
      <c r="W21" s="4"/>
      <c r="X21" s="4"/>
      <c r="Y21" s="4"/>
      <c r="Z21" s="4"/>
    </row>
    <row r="22" spans="1:26" ht="15.75" customHeight="1">
      <c r="A22" s="10"/>
      <c r="B22" s="10" t="s">
        <v>16</v>
      </c>
      <c r="C22" s="12"/>
      <c r="D22" s="12"/>
      <c r="E22" s="12"/>
      <c r="F22" s="12"/>
      <c r="G22" s="10"/>
      <c r="H22" s="12"/>
      <c r="I22" s="12"/>
      <c r="J22" s="12"/>
      <c r="K22" s="4"/>
      <c r="L22" s="4"/>
      <c r="M22" s="4"/>
      <c r="N22" s="4"/>
      <c r="O22" s="4"/>
      <c r="P22" s="4"/>
      <c r="Q22" s="4"/>
      <c r="R22" s="4"/>
      <c r="S22" s="4"/>
      <c r="T22" s="4"/>
      <c r="U22" s="4"/>
      <c r="V22" s="4"/>
      <c r="W22" s="4"/>
      <c r="X22" s="4"/>
      <c r="Y22" s="4"/>
      <c r="Z22" s="4"/>
    </row>
    <row r="23" spans="1:26" ht="15.75" customHeight="1">
      <c r="A23" s="10"/>
      <c r="B23" s="10" t="s">
        <v>17</v>
      </c>
      <c r="C23" s="12"/>
      <c r="D23" s="12"/>
      <c r="E23" s="12"/>
      <c r="F23" s="12"/>
      <c r="G23" s="10"/>
      <c r="H23" s="12"/>
      <c r="I23" s="12"/>
      <c r="J23" s="12"/>
      <c r="K23" s="4"/>
      <c r="L23" s="4"/>
      <c r="M23" s="4"/>
      <c r="N23" s="4"/>
      <c r="O23" s="4"/>
      <c r="P23" s="4"/>
      <c r="Q23" s="4"/>
      <c r="R23" s="4"/>
      <c r="S23" s="4"/>
      <c r="T23" s="4"/>
      <c r="U23" s="4"/>
      <c r="V23" s="4"/>
      <c r="W23" s="4"/>
      <c r="X23" s="4"/>
      <c r="Y23" s="4"/>
      <c r="Z23" s="4"/>
    </row>
    <row r="24" spans="1:26" ht="15.75" customHeight="1">
      <c r="A24" s="10"/>
      <c r="B24" s="12"/>
      <c r="C24" s="12"/>
      <c r="D24" s="12"/>
      <c r="E24" s="12"/>
      <c r="F24" s="12"/>
      <c r="G24" s="10"/>
      <c r="H24" s="12"/>
      <c r="I24" s="12"/>
      <c r="J24" s="12"/>
      <c r="K24" s="4"/>
      <c r="L24" s="4"/>
      <c r="M24" s="4"/>
      <c r="N24" s="4"/>
      <c r="O24" s="4"/>
      <c r="P24" s="4"/>
      <c r="Q24" s="4"/>
      <c r="R24" s="4"/>
      <c r="S24" s="4"/>
      <c r="T24" s="4"/>
      <c r="U24" s="4"/>
      <c r="V24" s="4"/>
      <c r="W24" s="4"/>
      <c r="X24" s="4"/>
      <c r="Y24" s="4"/>
      <c r="Z24" s="4"/>
    </row>
    <row r="25" spans="1:26" ht="15.75" customHeight="1">
      <c r="A25" s="10" t="s">
        <v>18</v>
      </c>
      <c r="B25" s="12"/>
      <c r="C25" s="12"/>
      <c r="D25" s="12"/>
      <c r="E25" s="12"/>
      <c r="F25" s="12"/>
      <c r="G25" s="10"/>
      <c r="H25" s="12"/>
      <c r="I25" s="12"/>
      <c r="J25" s="12"/>
      <c r="K25" s="4"/>
      <c r="L25" s="4"/>
      <c r="M25" s="4"/>
      <c r="N25" s="4"/>
      <c r="O25" s="4"/>
      <c r="P25" s="4"/>
      <c r="Q25" s="4"/>
      <c r="R25" s="4"/>
      <c r="S25" s="4"/>
      <c r="T25" s="4"/>
      <c r="U25" s="4"/>
      <c r="V25" s="4"/>
      <c r="W25" s="4"/>
      <c r="X25" s="4"/>
      <c r="Y25" s="4"/>
      <c r="Z25" s="4"/>
    </row>
    <row r="26" spans="1:26" ht="15.75" customHeight="1">
      <c r="A26" s="34"/>
      <c r="B26" s="35" t="s">
        <v>19</v>
      </c>
      <c r="C26" s="35"/>
      <c r="D26" s="35"/>
      <c r="E26" s="12"/>
      <c r="F26" s="12"/>
      <c r="G26" s="10"/>
      <c r="H26" s="12"/>
      <c r="I26" s="12"/>
      <c r="J26" s="12"/>
      <c r="K26" s="4"/>
      <c r="L26" s="4"/>
      <c r="M26" s="4"/>
      <c r="N26" s="4"/>
      <c r="O26" s="4"/>
      <c r="P26" s="4"/>
      <c r="Q26" s="4"/>
      <c r="R26" s="4"/>
      <c r="S26" s="4"/>
      <c r="T26" s="4"/>
      <c r="U26" s="4"/>
      <c r="V26" s="4"/>
      <c r="W26" s="4"/>
      <c r="X26" s="4"/>
      <c r="Y26" s="4"/>
      <c r="Z26" s="4"/>
    </row>
    <row r="27" spans="1:26" ht="15.75" customHeight="1">
      <c r="A27" s="34"/>
      <c r="B27" s="36" t="s">
        <v>20</v>
      </c>
      <c r="C27" s="36"/>
      <c r="D27" s="10" t="s">
        <v>21</v>
      </c>
      <c r="E27" s="12"/>
      <c r="F27" s="12"/>
      <c r="G27" s="10"/>
      <c r="H27" s="12"/>
      <c r="I27" s="12"/>
      <c r="J27" s="12"/>
      <c r="K27" s="4"/>
      <c r="L27" s="4"/>
      <c r="M27" s="4"/>
      <c r="N27" s="4"/>
      <c r="O27" s="4"/>
      <c r="P27" s="4"/>
      <c r="Q27" s="4"/>
      <c r="R27" s="4"/>
      <c r="S27" s="4"/>
      <c r="T27" s="4"/>
      <c r="U27" s="4"/>
      <c r="V27" s="4"/>
      <c r="W27" s="4"/>
      <c r="X27" s="4"/>
      <c r="Y27" s="4"/>
      <c r="Z27" s="4"/>
    </row>
    <row r="28" spans="1:26" ht="15.75" customHeight="1">
      <c r="A28" s="10"/>
      <c r="B28" s="12"/>
      <c r="C28" s="12"/>
      <c r="D28" s="12"/>
      <c r="E28" s="12"/>
      <c r="F28" s="12"/>
      <c r="G28" s="12"/>
      <c r="H28" s="12"/>
      <c r="I28" s="12"/>
      <c r="J28" s="12"/>
      <c r="K28" s="4"/>
      <c r="L28" s="4"/>
      <c r="M28" s="4"/>
      <c r="N28" s="4"/>
      <c r="O28" s="4"/>
      <c r="P28" s="4"/>
      <c r="Q28" s="4"/>
      <c r="R28" s="4"/>
      <c r="S28" s="4"/>
      <c r="T28" s="4"/>
      <c r="U28" s="4"/>
      <c r="V28" s="4"/>
      <c r="W28" s="4"/>
      <c r="X28" s="4"/>
      <c r="Y28" s="4"/>
      <c r="Z28" s="4"/>
    </row>
    <row r="29" spans="1:26" ht="15.75" customHeight="1">
      <c r="A29" s="29" t="s">
        <v>22</v>
      </c>
      <c r="B29" s="32"/>
      <c r="C29" s="32"/>
      <c r="D29" s="32"/>
      <c r="E29" s="32"/>
      <c r="F29" s="32"/>
      <c r="G29" s="32"/>
      <c r="H29" s="32"/>
      <c r="I29" s="32"/>
      <c r="J29" s="32"/>
      <c r="K29" s="4"/>
      <c r="L29" s="4"/>
      <c r="M29" s="4"/>
      <c r="N29" s="4"/>
      <c r="O29" s="4"/>
      <c r="P29" s="4"/>
      <c r="Q29" s="4"/>
      <c r="R29" s="4"/>
      <c r="S29" s="4"/>
      <c r="T29" s="4"/>
      <c r="U29" s="4"/>
      <c r="V29" s="4"/>
      <c r="W29" s="4"/>
      <c r="X29" s="4"/>
      <c r="Y29" s="4"/>
      <c r="Z29" s="4"/>
    </row>
    <row r="30" spans="1:26" ht="15.75" customHeight="1">
      <c r="A30" s="10" t="s">
        <v>23</v>
      </c>
      <c r="B30" s="10"/>
      <c r="C30" s="10"/>
      <c r="D30" s="10"/>
      <c r="E30" s="10"/>
      <c r="F30" s="22" t="s">
        <v>7</v>
      </c>
      <c r="G30" s="10"/>
      <c r="H30" s="10"/>
      <c r="I30" s="10"/>
      <c r="J30" s="10"/>
      <c r="K30" s="4"/>
      <c r="L30" s="4"/>
      <c r="M30" s="4"/>
      <c r="N30" s="4"/>
      <c r="O30" s="4"/>
      <c r="P30" s="4"/>
      <c r="Q30" s="4"/>
      <c r="R30" s="4"/>
      <c r="S30" s="4"/>
      <c r="T30" s="4"/>
      <c r="U30" s="4"/>
      <c r="V30" s="4"/>
      <c r="W30" s="4"/>
      <c r="X30" s="4"/>
      <c r="Y30" s="4"/>
      <c r="Z30" s="4"/>
    </row>
    <row r="31" spans="1:26" ht="15.75" customHeight="1">
      <c r="A31" s="10"/>
      <c r="B31" s="10"/>
      <c r="C31" s="10"/>
      <c r="D31" s="10"/>
      <c r="E31" s="10"/>
      <c r="F31" s="10"/>
      <c r="G31" s="10"/>
      <c r="H31" s="10"/>
      <c r="I31" s="10"/>
      <c r="J31" s="10"/>
      <c r="K31" s="4"/>
      <c r="L31" s="4"/>
      <c r="M31" s="4"/>
      <c r="N31" s="4"/>
      <c r="O31" s="4"/>
      <c r="P31" s="4"/>
      <c r="Q31" s="4"/>
      <c r="R31" s="4"/>
      <c r="S31" s="4"/>
      <c r="T31" s="4"/>
      <c r="U31" s="4"/>
      <c r="V31" s="4"/>
      <c r="W31" s="4"/>
      <c r="X31" s="4"/>
      <c r="Y31" s="4"/>
      <c r="Z31" s="4"/>
    </row>
    <row r="32" spans="1:26" ht="15.75" customHeight="1">
      <c r="A32" s="29" t="s">
        <v>24</v>
      </c>
      <c r="B32" s="32"/>
      <c r="C32" s="32"/>
      <c r="D32" s="32"/>
      <c r="E32" s="32"/>
      <c r="F32" s="32"/>
      <c r="G32" s="32"/>
      <c r="H32" s="32"/>
      <c r="I32" s="32"/>
      <c r="J32" s="32"/>
      <c r="K32" s="4"/>
      <c r="L32" s="4"/>
      <c r="M32" s="4"/>
      <c r="N32" s="4"/>
      <c r="O32" s="4"/>
      <c r="P32" s="4"/>
      <c r="Q32" s="4"/>
      <c r="R32" s="4"/>
      <c r="S32" s="4"/>
      <c r="T32" s="4"/>
      <c r="U32" s="4"/>
      <c r="V32" s="4"/>
      <c r="W32" s="4"/>
      <c r="X32" s="4"/>
      <c r="Y32" s="4"/>
      <c r="Z32" s="4"/>
    </row>
    <row r="33" spans="1:26" ht="15.75" customHeight="1">
      <c r="A33" s="12"/>
      <c r="B33" s="12"/>
      <c r="C33" s="12"/>
      <c r="D33" s="12"/>
      <c r="E33" s="12"/>
      <c r="F33" s="12"/>
      <c r="G33" s="12"/>
      <c r="H33" s="12"/>
      <c r="I33" s="12"/>
      <c r="J33" s="12"/>
      <c r="K33" s="4"/>
      <c r="L33" s="4"/>
      <c r="M33" s="4"/>
      <c r="N33" s="4"/>
      <c r="O33" s="4"/>
      <c r="P33" s="4"/>
      <c r="Q33" s="4"/>
      <c r="R33" s="4"/>
      <c r="S33" s="4"/>
      <c r="T33" s="4"/>
      <c r="U33" s="4"/>
      <c r="V33" s="4"/>
      <c r="W33" s="4"/>
      <c r="X33" s="4"/>
      <c r="Y33" s="4"/>
      <c r="Z33" s="4"/>
    </row>
    <row r="34" spans="1:26" ht="15.75" customHeight="1">
      <c r="A34" s="37" t="s">
        <v>25</v>
      </c>
      <c r="B34" s="12"/>
      <c r="C34" s="12"/>
      <c r="D34" s="12"/>
      <c r="E34" s="12"/>
      <c r="F34" s="12"/>
      <c r="G34" s="12"/>
      <c r="H34" s="12"/>
      <c r="I34" s="12"/>
      <c r="J34" s="12"/>
      <c r="K34" s="4"/>
      <c r="L34" s="4"/>
      <c r="M34" s="4"/>
      <c r="N34" s="4"/>
      <c r="O34" s="4"/>
      <c r="P34" s="4"/>
      <c r="Q34" s="4"/>
      <c r="R34" s="4"/>
      <c r="S34" s="4"/>
      <c r="T34" s="4"/>
      <c r="U34" s="4"/>
      <c r="V34" s="4"/>
      <c r="W34" s="4"/>
      <c r="X34" s="4"/>
      <c r="Y34" s="4"/>
      <c r="Z34" s="4"/>
    </row>
    <row r="35" spans="1:26" ht="15.75" customHeight="1">
      <c r="A35" s="283" t="s">
        <v>26</v>
      </c>
      <c r="B35" s="276"/>
      <c r="C35" s="276"/>
      <c r="D35" s="276"/>
      <c r="E35" s="276"/>
      <c r="F35" s="276"/>
      <c r="G35" s="276"/>
      <c r="H35" s="276"/>
      <c r="I35" s="276"/>
      <c r="J35" s="276"/>
      <c r="K35" s="4"/>
      <c r="L35" s="4"/>
      <c r="M35" s="4"/>
      <c r="N35" s="4"/>
      <c r="O35" s="4"/>
      <c r="P35" s="4"/>
      <c r="Q35" s="4"/>
      <c r="R35" s="4"/>
      <c r="S35" s="4"/>
      <c r="T35" s="4"/>
      <c r="U35" s="4"/>
      <c r="V35" s="4"/>
      <c r="W35" s="4"/>
      <c r="X35" s="4"/>
      <c r="Y35" s="4"/>
      <c r="Z35" s="4"/>
    </row>
    <row r="36" spans="1:26" ht="15.75" customHeight="1">
      <c r="A36" s="276"/>
      <c r="B36" s="276"/>
      <c r="C36" s="276"/>
      <c r="D36" s="276"/>
      <c r="E36" s="276"/>
      <c r="F36" s="276"/>
      <c r="G36" s="276"/>
      <c r="H36" s="276"/>
      <c r="I36" s="276"/>
      <c r="J36" s="276"/>
      <c r="K36" s="4"/>
      <c r="L36" s="4"/>
      <c r="M36" s="4"/>
      <c r="N36" s="4"/>
      <c r="O36" s="4"/>
      <c r="P36" s="4"/>
      <c r="Q36" s="4"/>
      <c r="R36" s="4"/>
      <c r="S36" s="4"/>
      <c r="T36" s="4"/>
      <c r="U36" s="4"/>
      <c r="V36" s="4"/>
      <c r="W36" s="4"/>
      <c r="X36" s="4"/>
      <c r="Y36" s="4"/>
      <c r="Z36" s="4"/>
    </row>
    <row r="37" spans="1:26" ht="15.75" customHeight="1">
      <c r="A37" s="276"/>
      <c r="B37" s="276"/>
      <c r="C37" s="276"/>
      <c r="D37" s="276"/>
      <c r="E37" s="276"/>
      <c r="F37" s="276"/>
      <c r="G37" s="276"/>
      <c r="H37" s="276"/>
      <c r="I37" s="276"/>
      <c r="J37" s="276"/>
      <c r="K37" s="4"/>
      <c r="L37" s="4"/>
      <c r="M37" s="4"/>
      <c r="N37" s="4"/>
      <c r="O37" s="4"/>
      <c r="P37" s="4"/>
      <c r="Q37" s="4"/>
      <c r="R37" s="4"/>
      <c r="S37" s="4"/>
      <c r="T37" s="4"/>
      <c r="U37" s="4"/>
      <c r="V37" s="4"/>
      <c r="W37" s="4"/>
      <c r="X37" s="4"/>
      <c r="Y37" s="4"/>
      <c r="Z37" s="4"/>
    </row>
    <row r="38" spans="1:26" ht="15.75" customHeight="1">
      <c r="A38" s="12" t="s">
        <v>27</v>
      </c>
      <c r="B38" s="12"/>
      <c r="C38" s="12"/>
      <c r="D38" s="12"/>
      <c r="E38" s="12"/>
      <c r="F38" s="12"/>
      <c r="G38" s="12"/>
      <c r="H38" s="12"/>
      <c r="I38" s="12"/>
      <c r="J38" s="12"/>
      <c r="K38" s="4"/>
      <c r="L38" s="4"/>
      <c r="M38" s="4"/>
      <c r="N38" s="4"/>
      <c r="O38" s="4"/>
      <c r="P38" s="4"/>
      <c r="Q38" s="4"/>
      <c r="R38" s="4"/>
      <c r="S38" s="4"/>
      <c r="T38" s="4"/>
      <c r="U38" s="4"/>
      <c r="V38" s="4"/>
      <c r="W38" s="4"/>
      <c r="X38" s="4"/>
      <c r="Y38" s="4"/>
      <c r="Z38" s="4"/>
    </row>
    <row r="39" spans="1:26" ht="15.75" customHeight="1">
      <c r="A39" s="38" t="s">
        <v>28</v>
      </c>
      <c r="B39" s="12"/>
      <c r="C39" s="12"/>
      <c r="D39" s="12"/>
      <c r="E39" s="12"/>
      <c r="F39" s="12"/>
      <c r="G39" s="12"/>
      <c r="H39" s="12"/>
      <c r="I39" s="12"/>
      <c r="J39" s="12"/>
      <c r="K39" s="4"/>
      <c r="L39" s="4"/>
      <c r="M39" s="4"/>
      <c r="N39" s="4"/>
      <c r="O39" s="4"/>
      <c r="P39" s="4"/>
      <c r="Q39" s="4"/>
      <c r="R39" s="4"/>
      <c r="S39" s="4"/>
      <c r="T39" s="4"/>
      <c r="U39" s="4"/>
      <c r="V39" s="4"/>
      <c r="W39" s="4"/>
      <c r="X39" s="4"/>
      <c r="Y39" s="4"/>
      <c r="Z39" s="4"/>
    </row>
    <row r="40" spans="1:26" ht="15.75" customHeight="1">
      <c r="A40" s="12"/>
      <c r="B40" s="12"/>
      <c r="C40" s="12"/>
      <c r="D40" s="12"/>
      <c r="E40" s="12"/>
      <c r="F40" s="12"/>
      <c r="G40" s="12"/>
      <c r="H40" s="12"/>
      <c r="I40" s="12"/>
      <c r="J40" s="12"/>
      <c r="K40" s="4"/>
      <c r="L40" s="4"/>
      <c r="M40" s="4"/>
      <c r="N40" s="4"/>
      <c r="O40" s="4"/>
      <c r="P40" s="4"/>
      <c r="Q40" s="4"/>
      <c r="R40" s="4"/>
      <c r="S40" s="4"/>
      <c r="T40" s="4"/>
      <c r="U40" s="4"/>
      <c r="V40" s="4"/>
      <c r="W40" s="4"/>
      <c r="X40" s="4"/>
      <c r="Y40" s="4"/>
      <c r="Z40" s="4"/>
    </row>
    <row r="41" spans="1:26" ht="15.75" customHeight="1">
      <c r="A41" s="12"/>
      <c r="B41" s="12"/>
      <c r="C41" s="12"/>
      <c r="D41" s="12"/>
      <c r="E41" s="12"/>
      <c r="F41" s="12"/>
      <c r="G41" s="12"/>
      <c r="H41" s="12"/>
      <c r="I41" s="12"/>
      <c r="J41" s="12"/>
      <c r="K41" s="4"/>
      <c r="L41" s="4"/>
      <c r="M41" s="4"/>
      <c r="N41" s="4"/>
      <c r="O41" s="4"/>
      <c r="P41" s="4"/>
      <c r="Q41" s="4"/>
      <c r="R41" s="4"/>
      <c r="S41" s="4"/>
      <c r="T41" s="4"/>
      <c r="U41" s="4"/>
      <c r="V41" s="4"/>
      <c r="W41" s="4"/>
      <c r="X41" s="4"/>
      <c r="Y41" s="4"/>
      <c r="Z41" s="4"/>
    </row>
    <row r="42" spans="1:26" ht="15.75" customHeight="1">
      <c r="A42" s="12" t="s">
        <v>29</v>
      </c>
      <c r="B42" s="12"/>
      <c r="C42" s="12"/>
      <c r="D42" s="12"/>
      <c r="E42" s="12"/>
      <c r="F42" s="12"/>
      <c r="G42" s="12"/>
      <c r="H42" s="12"/>
      <c r="I42" s="12"/>
      <c r="J42" s="12"/>
      <c r="K42" s="4"/>
      <c r="L42" s="4"/>
      <c r="M42" s="4"/>
      <c r="N42" s="4"/>
      <c r="O42" s="4"/>
      <c r="P42" s="4"/>
      <c r="Q42" s="4"/>
      <c r="R42" s="4"/>
      <c r="S42" s="4"/>
      <c r="T42" s="4"/>
      <c r="U42" s="4"/>
      <c r="V42" s="4"/>
      <c r="W42" s="4"/>
      <c r="X42" s="4"/>
      <c r="Y42" s="4"/>
      <c r="Z42" s="4"/>
    </row>
    <row r="43" spans="1:26" ht="15.75" customHeight="1">
      <c r="A43" s="12" t="s">
        <v>30</v>
      </c>
      <c r="B43" s="12"/>
      <c r="C43" s="12"/>
      <c r="D43" s="12"/>
      <c r="E43" s="12"/>
      <c r="F43" s="12"/>
      <c r="G43" s="12"/>
      <c r="H43" s="12"/>
      <c r="I43" s="12"/>
      <c r="J43" s="12"/>
      <c r="K43" s="4"/>
      <c r="L43" s="4"/>
      <c r="M43" s="4"/>
      <c r="N43" s="4"/>
      <c r="O43" s="4"/>
      <c r="P43" s="4"/>
      <c r="Q43" s="4"/>
      <c r="R43" s="4"/>
      <c r="S43" s="4"/>
      <c r="T43" s="4"/>
      <c r="U43" s="4"/>
      <c r="V43" s="4"/>
      <c r="W43" s="4"/>
      <c r="X43" s="4"/>
      <c r="Y43" s="4"/>
      <c r="Z43" s="4"/>
    </row>
    <row r="44" spans="1:26" ht="15.75" customHeight="1">
      <c r="A44" s="12" t="s">
        <v>31</v>
      </c>
      <c r="B44" s="12"/>
      <c r="C44" s="12"/>
      <c r="D44" s="12"/>
      <c r="E44" s="12"/>
      <c r="F44" s="12"/>
      <c r="G44" s="12"/>
      <c r="H44" s="12"/>
      <c r="I44" s="12"/>
      <c r="J44" s="12"/>
      <c r="K44" s="4"/>
      <c r="L44" s="4"/>
      <c r="M44" s="4"/>
      <c r="N44" s="4"/>
      <c r="O44" s="4"/>
      <c r="P44" s="4"/>
      <c r="Q44" s="4"/>
      <c r="R44" s="4"/>
      <c r="S44" s="4"/>
      <c r="T44" s="4"/>
      <c r="U44" s="4"/>
      <c r="V44" s="4"/>
      <c r="W44" s="4"/>
      <c r="X44" s="4"/>
      <c r="Y44" s="4"/>
      <c r="Z44" s="4"/>
    </row>
    <row r="45" spans="1:26" ht="15.75" customHeight="1">
      <c r="A45" s="12" t="s">
        <v>32</v>
      </c>
      <c r="B45" s="12"/>
      <c r="C45" s="12"/>
      <c r="D45" s="12"/>
      <c r="E45" s="12"/>
      <c r="F45" s="12"/>
      <c r="G45" s="12"/>
      <c r="H45" s="12"/>
      <c r="I45" s="12"/>
      <c r="J45" s="12"/>
      <c r="K45" s="4"/>
      <c r="L45" s="4"/>
      <c r="M45" s="4"/>
      <c r="N45" s="4"/>
      <c r="O45" s="4"/>
      <c r="P45" s="4"/>
      <c r="Q45" s="4"/>
      <c r="R45" s="4"/>
      <c r="S45" s="4"/>
      <c r="T45" s="4"/>
      <c r="U45" s="4"/>
      <c r="V45" s="4"/>
      <c r="W45" s="4"/>
      <c r="X45" s="4"/>
      <c r="Y45" s="4"/>
      <c r="Z45" s="4"/>
    </row>
    <row r="46" spans="1:26" ht="15.75" customHeight="1">
      <c r="A46" s="12" t="s">
        <v>33</v>
      </c>
      <c r="B46" s="12"/>
      <c r="C46" s="12"/>
      <c r="D46" s="12"/>
      <c r="E46" s="12"/>
      <c r="F46" s="12"/>
      <c r="G46" s="12"/>
      <c r="H46" s="12"/>
      <c r="I46" s="12"/>
      <c r="J46" s="12"/>
      <c r="K46" s="4"/>
      <c r="L46" s="4"/>
      <c r="M46" s="4"/>
      <c r="N46" s="4"/>
      <c r="O46" s="4"/>
      <c r="P46" s="4"/>
      <c r="Q46" s="4"/>
      <c r="R46" s="4"/>
      <c r="S46" s="4"/>
      <c r="T46" s="4"/>
      <c r="U46" s="4"/>
      <c r="V46" s="4"/>
      <c r="W46" s="4"/>
      <c r="X46" s="4"/>
      <c r="Y46" s="4"/>
      <c r="Z46" s="4"/>
    </row>
    <row r="47" spans="1:26" ht="15.75" customHeight="1">
      <c r="A47" s="12" t="s">
        <v>34</v>
      </c>
      <c r="B47" s="12"/>
      <c r="C47" s="12"/>
      <c r="D47" s="12"/>
      <c r="E47" s="12"/>
      <c r="F47" s="12"/>
      <c r="G47" s="12"/>
      <c r="H47" s="12"/>
      <c r="I47" s="12"/>
      <c r="J47" s="12"/>
      <c r="K47" s="4"/>
      <c r="L47" s="4"/>
      <c r="M47" s="4"/>
      <c r="N47" s="4"/>
      <c r="O47" s="4"/>
      <c r="P47" s="4"/>
      <c r="Q47" s="4"/>
      <c r="R47" s="4"/>
      <c r="S47" s="4"/>
      <c r="T47" s="4"/>
      <c r="U47" s="4"/>
      <c r="V47" s="4"/>
      <c r="W47" s="4"/>
      <c r="X47" s="4"/>
      <c r="Y47" s="4"/>
      <c r="Z47" s="4"/>
    </row>
    <row r="48" spans="1:26" ht="15.75" customHeight="1">
      <c r="A48" s="12"/>
      <c r="B48" s="12"/>
      <c r="C48" s="12"/>
      <c r="D48" s="12"/>
      <c r="E48" s="12"/>
      <c r="F48" s="12"/>
      <c r="G48" s="12"/>
      <c r="H48" s="12"/>
      <c r="I48" s="12"/>
      <c r="J48" s="12"/>
      <c r="K48" s="4"/>
      <c r="L48" s="4"/>
      <c r="M48" s="4"/>
      <c r="N48" s="4"/>
      <c r="O48" s="4"/>
      <c r="P48" s="4"/>
      <c r="Q48" s="4"/>
      <c r="R48" s="4"/>
      <c r="S48" s="4"/>
      <c r="T48" s="4"/>
      <c r="U48" s="4"/>
      <c r="V48" s="4"/>
      <c r="W48" s="4"/>
      <c r="X48" s="4"/>
      <c r="Y48" s="4"/>
      <c r="Z48" s="4"/>
    </row>
    <row r="49" spans="1:26" ht="15.75" customHeight="1">
      <c r="A49" s="12" t="s">
        <v>35</v>
      </c>
      <c r="B49" s="12"/>
      <c r="C49" s="12"/>
      <c r="D49" s="12"/>
      <c r="E49" s="12"/>
      <c r="F49" s="12"/>
      <c r="G49" s="12"/>
      <c r="H49" s="12"/>
      <c r="I49" s="12"/>
      <c r="J49" s="12"/>
      <c r="K49" s="4"/>
      <c r="L49" s="4"/>
      <c r="M49" s="4"/>
      <c r="N49" s="4"/>
      <c r="O49" s="4"/>
      <c r="P49" s="4"/>
      <c r="Q49" s="4"/>
      <c r="R49" s="4"/>
      <c r="S49" s="4"/>
      <c r="T49" s="4"/>
      <c r="U49" s="4"/>
      <c r="V49" s="4"/>
      <c r="W49" s="4"/>
      <c r="X49" s="4"/>
      <c r="Y49" s="4"/>
      <c r="Z49" s="4"/>
    </row>
    <row r="50" spans="1:26" ht="15.75" customHeight="1">
      <c r="A50" s="38" t="s">
        <v>28</v>
      </c>
      <c r="B50" s="12"/>
      <c r="C50" s="12"/>
      <c r="D50" s="12"/>
      <c r="E50" s="12"/>
      <c r="F50" s="12"/>
      <c r="G50" s="12"/>
      <c r="H50" s="12"/>
      <c r="I50" s="12"/>
      <c r="J50" s="12"/>
      <c r="K50" s="4"/>
      <c r="L50" s="4"/>
      <c r="M50" s="4"/>
      <c r="N50" s="4"/>
      <c r="O50" s="4"/>
      <c r="P50" s="4"/>
      <c r="Q50" s="4"/>
      <c r="R50" s="4"/>
      <c r="S50" s="4"/>
      <c r="T50" s="4"/>
      <c r="U50" s="4"/>
      <c r="V50" s="4"/>
      <c r="W50" s="4"/>
      <c r="X50" s="4"/>
      <c r="Y50" s="4"/>
      <c r="Z50" s="4"/>
    </row>
    <row r="51" spans="1:26" ht="15.75" customHeight="1">
      <c r="A51" s="12"/>
      <c r="B51" s="12"/>
      <c r="C51" s="12"/>
      <c r="D51" s="12"/>
      <c r="E51" s="12"/>
      <c r="F51" s="12"/>
      <c r="G51" s="12"/>
      <c r="H51" s="12"/>
      <c r="I51" s="12"/>
      <c r="J51" s="12"/>
      <c r="K51" s="4"/>
      <c r="L51" s="4"/>
      <c r="M51" s="4"/>
      <c r="N51" s="4"/>
      <c r="O51" s="4"/>
      <c r="P51" s="4"/>
      <c r="Q51" s="4"/>
      <c r="R51" s="4"/>
      <c r="S51" s="4"/>
      <c r="T51" s="4"/>
      <c r="U51" s="4"/>
      <c r="V51" s="4"/>
      <c r="W51" s="4"/>
      <c r="X51" s="4"/>
      <c r="Y51" s="4"/>
      <c r="Z51" s="4"/>
    </row>
    <row r="52" spans="1:26" ht="15.75" customHeight="1">
      <c r="A52" s="12"/>
      <c r="B52" s="12"/>
      <c r="C52" s="12"/>
      <c r="D52" s="12"/>
      <c r="E52" s="12"/>
      <c r="F52" s="12"/>
      <c r="G52" s="12"/>
      <c r="H52" s="12"/>
      <c r="I52" s="12"/>
      <c r="J52" s="12"/>
      <c r="K52" s="4"/>
      <c r="L52" s="4"/>
      <c r="M52" s="4"/>
      <c r="N52" s="4"/>
      <c r="O52" s="4"/>
      <c r="P52" s="4"/>
      <c r="Q52" s="4"/>
      <c r="R52" s="4"/>
      <c r="S52" s="4"/>
      <c r="T52" s="4"/>
      <c r="U52" s="4"/>
      <c r="V52" s="4"/>
      <c r="W52" s="4"/>
      <c r="X52" s="4"/>
      <c r="Y52" s="4"/>
      <c r="Z52" s="4"/>
    </row>
    <row r="53" spans="1:26" ht="15.75" customHeight="1">
      <c r="A53" s="12"/>
      <c r="B53" s="12"/>
      <c r="C53" s="12"/>
      <c r="D53" s="12"/>
      <c r="E53" s="12"/>
      <c r="F53" s="12"/>
      <c r="G53" s="12"/>
      <c r="H53" s="12"/>
      <c r="I53" s="12"/>
      <c r="J53" s="12"/>
      <c r="K53" s="4"/>
      <c r="L53" s="4"/>
      <c r="M53" s="4"/>
      <c r="N53" s="4"/>
      <c r="O53" s="4"/>
      <c r="P53" s="4"/>
      <c r="Q53" s="4"/>
      <c r="R53" s="4"/>
      <c r="S53" s="4"/>
      <c r="T53" s="4"/>
      <c r="U53" s="4"/>
      <c r="V53" s="4"/>
      <c r="W53" s="4"/>
      <c r="X53" s="4"/>
      <c r="Y53" s="4"/>
      <c r="Z53" s="4"/>
    </row>
    <row r="54" spans="1:26" ht="15.75" customHeight="1">
      <c r="A54" s="12" t="s">
        <v>29</v>
      </c>
      <c r="B54" s="12"/>
      <c r="C54" s="12"/>
      <c r="D54" s="12"/>
      <c r="E54" s="12"/>
      <c r="F54" s="12"/>
      <c r="G54" s="12"/>
      <c r="H54" s="12"/>
      <c r="I54" s="12"/>
      <c r="J54" s="12"/>
      <c r="K54" s="4"/>
      <c r="L54" s="4"/>
      <c r="M54" s="4"/>
      <c r="N54" s="4"/>
      <c r="O54" s="4"/>
      <c r="P54" s="4"/>
      <c r="Q54" s="4"/>
      <c r="R54" s="4"/>
      <c r="S54" s="4"/>
      <c r="T54" s="4"/>
      <c r="U54" s="4"/>
      <c r="V54" s="4"/>
      <c r="W54" s="4"/>
      <c r="X54" s="4"/>
      <c r="Y54" s="4"/>
      <c r="Z54" s="4"/>
    </row>
    <row r="55" spans="1:26" ht="15.75" customHeight="1">
      <c r="A55" s="12" t="s">
        <v>36</v>
      </c>
      <c r="B55" s="12"/>
      <c r="C55" s="12"/>
      <c r="D55" s="12"/>
      <c r="E55" s="12"/>
      <c r="F55" s="12"/>
      <c r="G55" s="12"/>
      <c r="H55" s="12"/>
      <c r="I55" s="12"/>
      <c r="J55" s="12"/>
      <c r="K55" s="4"/>
      <c r="L55" s="4"/>
      <c r="M55" s="4"/>
      <c r="N55" s="4"/>
      <c r="O55" s="4"/>
      <c r="P55" s="4"/>
      <c r="Q55" s="4"/>
      <c r="R55" s="4"/>
      <c r="S55" s="4"/>
      <c r="T55" s="4"/>
      <c r="U55" s="4"/>
      <c r="V55" s="4"/>
      <c r="W55" s="4"/>
      <c r="X55" s="4"/>
      <c r="Y55" s="4"/>
      <c r="Z55" s="4"/>
    </row>
    <row r="56" spans="1:26" ht="15.75" customHeight="1">
      <c r="A56" s="12" t="s">
        <v>31</v>
      </c>
      <c r="B56" s="12"/>
      <c r="C56" s="12"/>
      <c r="D56" s="12"/>
      <c r="E56" s="12"/>
      <c r="F56" s="12"/>
      <c r="G56" s="12"/>
      <c r="H56" s="12"/>
      <c r="I56" s="12"/>
      <c r="J56" s="12"/>
      <c r="K56" s="4"/>
      <c r="L56" s="4"/>
      <c r="M56" s="4"/>
      <c r="N56" s="4"/>
      <c r="O56" s="4"/>
      <c r="P56" s="4"/>
      <c r="Q56" s="4"/>
      <c r="R56" s="4"/>
      <c r="S56" s="4"/>
      <c r="T56" s="4"/>
      <c r="U56" s="4"/>
      <c r="V56" s="4"/>
      <c r="W56" s="4"/>
      <c r="X56" s="4"/>
      <c r="Y56" s="4"/>
      <c r="Z56" s="4"/>
    </row>
    <row r="57" spans="1:26" ht="15.75" customHeight="1">
      <c r="A57" s="12" t="s">
        <v>37</v>
      </c>
      <c r="B57" s="12"/>
      <c r="C57" s="12"/>
      <c r="D57" s="12"/>
      <c r="E57" s="12"/>
      <c r="F57" s="12"/>
      <c r="G57" s="12"/>
      <c r="H57" s="12"/>
      <c r="I57" s="12"/>
      <c r="J57" s="12"/>
      <c r="K57" s="4"/>
      <c r="L57" s="4"/>
      <c r="M57" s="4"/>
      <c r="N57" s="4"/>
      <c r="O57" s="4"/>
      <c r="P57" s="4"/>
      <c r="Q57" s="4"/>
      <c r="R57" s="4"/>
      <c r="S57" s="4"/>
      <c r="T57" s="4"/>
      <c r="U57" s="4"/>
      <c r="V57" s="4"/>
      <c r="W57" s="4"/>
      <c r="X57" s="4"/>
      <c r="Y57" s="4"/>
      <c r="Z57" s="4"/>
    </row>
    <row r="58" spans="1:26" ht="15.75" customHeight="1">
      <c r="A58" s="12" t="s">
        <v>38</v>
      </c>
      <c r="B58" s="12"/>
      <c r="C58" s="12"/>
      <c r="D58" s="12"/>
      <c r="E58" s="12"/>
      <c r="F58" s="12"/>
      <c r="G58" s="12"/>
      <c r="H58" s="12"/>
      <c r="I58" s="12"/>
      <c r="J58" s="12"/>
      <c r="K58" s="4"/>
      <c r="L58" s="4"/>
      <c r="M58" s="4"/>
      <c r="N58" s="4"/>
      <c r="O58" s="4"/>
      <c r="P58" s="4"/>
      <c r="Q58" s="4"/>
      <c r="R58" s="4"/>
      <c r="S58" s="4"/>
      <c r="T58" s="4"/>
      <c r="U58" s="4"/>
      <c r="V58" s="4"/>
      <c r="W58" s="4"/>
      <c r="X58" s="4"/>
      <c r="Y58" s="4"/>
      <c r="Z58" s="4"/>
    </row>
    <row r="59" spans="1:26" ht="15.75" customHeight="1">
      <c r="A59" s="12" t="s">
        <v>39</v>
      </c>
      <c r="B59" s="12"/>
      <c r="C59" s="12"/>
      <c r="D59" s="12"/>
      <c r="E59" s="12"/>
      <c r="F59" s="12"/>
      <c r="G59" s="12"/>
      <c r="H59" s="12"/>
      <c r="I59" s="12"/>
      <c r="J59" s="12"/>
      <c r="K59" s="4"/>
      <c r="L59" s="4"/>
      <c r="M59" s="4"/>
      <c r="N59" s="4"/>
      <c r="O59" s="4"/>
      <c r="P59" s="4"/>
      <c r="Q59" s="4"/>
      <c r="R59" s="4"/>
      <c r="S59" s="4"/>
      <c r="T59" s="4"/>
      <c r="U59" s="4"/>
      <c r="V59" s="4"/>
      <c r="W59" s="4"/>
      <c r="X59" s="4"/>
      <c r="Y59" s="4"/>
      <c r="Z59" s="4"/>
    </row>
    <row r="60" spans="1:26" ht="15.75" customHeight="1">
      <c r="A60" s="278" t="s">
        <v>40</v>
      </c>
      <c r="B60" s="276"/>
      <c r="C60" s="276"/>
      <c r="D60" s="276"/>
      <c r="E60" s="276"/>
      <c r="F60" s="276"/>
      <c r="G60" s="276"/>
      <c r="H60" s="276"/>
      <c r="I60" s="276"/>
      <c r="J60" s="276"/>
      <c r="K60" s="4"/>
      <c r="L60" s="4"/>
      <c r="M60" s="4"/>
      <c r="N60" s="4"/>
      <c r="O60" s="4"/>
      <c r="P60" s="4"/>
      <c r="Q60" s="4"/>
      <c r="R60" s="4"/>
      <c r="S60" s="4"/>
      <c r="T60" s="4"/>
      <c r="U60" s="4"/>
      <c r="V60" s="4"/>
      <c r="W60" s="4"/>
      <c r="X60" s="4"/>
      <c r="Y60" s="4"/>
      <c r="Z60" s="4"/>
    </row>
    <row r="61" spans="1:26" ht="15.75" customHeight="1">
      <c r="A61" s="276"/>
      <c r="B61" s="276"/>
      <c r="C61" s="276"/>
      <c r="D61" s="276"/>
      <c r="E61" s="276"/>
      <c r="F61" s="276"/>
      <c r="G61" s="276"/>
      <c r="H61" s="276"/>
      <c r="I61" s="276"/>
      <c r="J61" s="276"/>
      <c r="K61" s="4"/>
      <c r="L61" s="4"/>
      <c r="M61" s="4"/>
      <c r="N61" s="4"/>
      <c r="O61" s="4"/>
      <c r="P61" s="4"/>
      <c r="Q61" s="4"/>
      <c r="R61" s="4"/>
      <c r="S61" s="4"/>
      <c r="T61" s="4"/>
      <c r="U61" s="4"/>
      <c r="V61" s="4"/>
      <c r="W61" s="4"/>
      <c r="X61" s="4"/>
      <c r="Y61" s="4"/>
      <c r="Z61" s="4"/>
    </row>
    <row r="62" spans="1:26" ht="15.75" customHeight="1">
      <c r="A62" s="12" t="s">
        <v>41</v>
      </c>
      <c r="B62" s="12"/>
      <c r="C62" s="12"/>
      <c r="D62" s="12"/>
      <c r="E62" s="12"/>
      <c r="F62" s="12"/>
      <c r="G62" s="12"/>
      <c r="H62" s="12"/>
      <c r="I62" s="12"/>
      <c r="J62" s="12"/>
      <c r="K62" s="4"/>
      <c r="L62" s="4"/>
      <c r="M62" s="4"/>
      <c r="N62" s="4"/>
      <c r="O62" s="4"/>
      <c r="P62" s="4"/>
      <c r="Q62" s="4"/>
      <c r="R62" s="4"/>
      <c r="S62" s="4"/>
      <c r="T62" s="4"/>
      <c r="U62" s="4"/>
      <c r="V62" s="4"/>
      <c r="W62" s="4"/>
      <c r="X62" s="4"/>
      <c r="Y62" s="4"/>
      <c r="Z62" s="4"/>
    </row>
    <row r="63" spans="1:26" ht="15.75" customHeight="1">
      <c r="A63" s="278" t="s">
        <v>42</v>
      </c>
      <c r="B63" s="276"/>
      <c r="C63" s="276"/>
      <c r="D63" s="276"/>
      <c r="E63" s="276"/>
      <c r="F63" s="276"/>
      <c r="G63" s="276"/>
      <c r="H63" s="276"/>
      <c r="I63" s="276"/>
      <c r="J63" s="276"/>
      <c r="K63" s="4"/>
      <c r="L63" s="4"/>
      <c r="M63" s="4"/>
      <c r="N63" s="4"/>
      <c r="O63" s="4"/>
      <c r="P63" s="4"/>
      <c r="Q63" s="4"/>
      <c r="R63" s="4"/>
      <c r="S63" s="4"/>
      <c r="T63" s="4"/>
      <c r="U63" s="4"/>
      <c r="V63" s="4"/>
      <c r="W63" s="4"/>
      <c r="X63" s="4"/>
      <c r="Y63" s="4"/>
      <c r="Z63" s="4"/>
    </row>
    <row r="64" spans="1:26" ht="15.75" customHeight="1">
      <c r="A64" s="276"/>
      <c r="B64" s="276"/>
      <c r="C64" s="276"/>
      <c r="D64" s="276"/>
      <c r="E64" s="276"/>
      <c r="F64" s="276"/>
      <c r="G64" s="276"/>
      <c r="H64" s="276"/>
      <c r="I64" s="276"/>
      <c r="J64" s="276"/>
      <c r="K64" s="4"/>
      <c r="L64" s="4"/>
      <c r="M64" s="4"/>
      <c r="N64" s="4"/>
      <c r="O64" s="4"/>
      <c r="P64" s="4"/>
      <c r="Q64" s="4"/>
      <c r="R64" s="4"/>
      <c r="S64" s="4"/>
      <c r="T64" s="4"/>
      <c r="U64" s="4"/>
      <c r="V64" s="4"/>
      <c r="W64" s="4"/>
      <c r="X64" s="4"/>
      <c r="Y64" s="4"/>
      <c r="Z64" s="4"/>
    </row>
    <row r="65" spans="1:26" ht="15.75" customHeight="1">
      <c r="A65" s="12"/>
      <c r="B65" s="12"/>
      <c r="C65" s="12"/>
      <c r="D65" s="12"/>
      <c r="E65" s="12"/>
      <c r="F65" s="12"/>
      <c r="G65" s="12"/>
      <c r="H65" s="12"/>
      <c r="I65" s="12"/>
      <c r="J65" s="12"/>
      <c r="K65" s="4"/>
      <c r="L65" s="4"/>
      <c r="M65" s="4"/>
      <c r="N65" s="4"/>
      <c r="O65" s="4"/>
      <c r="P65" s="4"/>
      <c r="Q65" s="4"/>
      <c r="R65" s="4"/>
      <c r="S65" s="4"/>
      <c r="T65" s="4"/>
      <c r="U65" s="4"/>
      <c r="V65" s="4"/>
      <c r="W65" s="4"/>
      <c r="X65" s="4"/>
      <c r="Y65" s="4"/>
      <c r="Z65" s="4"/>
    </row>
    <row r="66" spans="1:26" ht="15.75" customHeight="1">
      <c r="A66" s="39"/>
      <c r="B66" s="39"/>
      <c r="C66" s="39"/>
      <c r="D66" s="39"/>
      <c r="E66" s="39"/>
      <c r="F66" s="39"/>
      <c r="G66" s="39"/>
      <c r="H66" s="39"/>
      <c r="I66" s="39"/>
      <c r="J66" s="39"/>
      <c r="K66" s="4"/>
      <c r="L66" s="4"/>
      <c r="M66" s="4"/>
      <c r="N66" s="4"/>
      <c r="O66" s="4"/>
      <c r="P66" s="4"/>
      <c r="Q66" s="4"/>
      <c r="R66" s="4"/>
      <c r="S66" s="4"/>
      <c r="T66" s="4"/>
      <c r="U66" s="4"/>
      <c r="V66" s="4"/>
      <c r="W66" s="4"/>
      <c r="X66" s="4"/>
      <c r="Y66" s="4"/>
      <c r="Z66" s="4"/>
    </row>
    <row r="67" spans="1:26" ht="15.75" customHeight="1">
      <c r="A67" s="39" t="s">
        <v>29</v>
      </c>
      <c r="B67" s="39"/>
      <c r="C67" s="39"/>
      <c r="D67" s="39"/>
      <c r="E67" s="39"/>
      <c r="F67" s="39"/>
      <c r="G67" s="39"/>
      <c r="H67" s="39"/>
      <c r="I67" s="39"/>
      <c r="J67" s="39"/>
      <c r="K67" s="4"/>
      <c r="L67" s="4"/>
      <c r="M67" s="4"/>
      <c r="N67" s="4"/>
      <c r="O67" s="4"/>
      <c r="P67" s="4"/>
      <c r="Q67" s="4"/>
      <c r="R67" s="4"/>
      <c r="S67" s="4"/>
      <c r="T67" s="4"/>
      <c r="U67" s="4"/>
      <c r="V67" s="4"/>
      <c r="W67" s="4"/>
      <c r="X67" s="4"/>
      <c r="Y67" s="4"/>
      <c r="Z67" s="4"/>
    </row>
    <row r="68" spans="1:26" ht="15.75" customHeight="1">
      <c r="A68" s="279" t="s">
        <v>43</v>
      </c>
      <c r="B68" s="276"/>
      <c r="C68" s="276"/>
      <c r="D68" s="276"/>
      <c r="E68" s="276"/>
      <c r="F68" s="276"/>
      <c r="G68" s="276"/>
      <c r="H68" s="276"/>
      <c r="I68" s="276"/>
      <c r="J68" s="276"/>
      <c r="K68" s="4"/>
      <c r="L68" s="4"/>
      <c r="M68" s="4"/>
      <c r="N68" s="4"/>
      <c r="O68" s="4"/>
      <c r="P68" s="4"/>
      <c r="Q68" s="4"/>
      <c r="R68" s="4"/>
      <c r="S68" s="4"/>
      <c r="T68" s="4"/>
      <c r="U68" s="4"/>
      <c r="V68" s="4"/>
      <c r="W68" s="4"/>
      <c r="X68" s="4"/>
      <c r="Y68" s="4"/>
      <c r="Z68" s="4"/>
    </row>
    <row r="69" spans="1:26" ht="15.75" customHeight="1">
      <c r="A69" s="279" t="s">
        <v>44</v>
      </c>
      <c r="B69" s="276"/>
      <c r="C69" s="276"/>
      <c r="D69" s="276"/>
      <c r="E69" s="276"/>
      <c r="F69" s="276"/>
      <c r="G69" s="276"/>
      <c r="H69" s="276"/>
      <c r="I69" s="276"/>
      <c r="J69" s="276"/>
      <c r="K69" s="4"/>
      <c r="L69" s="4"/>
      <c r="M69" s="4"/>
      <c r="N69" s="4"/>
      <c r="O69" s="4"/>
      <c r="P69" s="4"/>
      <c r="Q69" s="4"/>
      <c r="R69" s="4"/>
      <c r="S69" s="4"/>
      <c r="T69" s="4"/>
      <c r="U69" s="4"/>
      <c r="V69" s="4"/>
      <c r="W69" s="4"/>
      <c r="X69" s="4"/>
      <c r="Y69" s="4"/>
      <c r="Z69" s="4"/>
    </row>
    <row r="70" spans="1:26" ht="15.75" customHeight="1">
      <c r="A70" s="279" t="s">
        <v>45</v>
      </c>
      <c r="B70" s="276"/>
      <c r="C70" s="276"/>
      <c r="D70" s="276"/>
      <c r="E70" s="276"/>
      <c r="F70" s="276"/>
      <c r="G70" s="276"/>
      <c r="H70" s="276"/>
      <c r="I70" s="276"/>
      <c r="J70" s="276"/>
      <c r="K70" s="4"/>
      <c r="L70" s="4"/>
      <c r="M70" s="4"/>
      <c r="N70" s="4"/>
      <c r="O70" s="4"/>
      <c r="P70" s="4"/>
      <c r="Q70" s="4"/>
      <c r="R70" s="4"/>
      <c r="S70" s="4"/>
      <c r="T70" s="4"/>
      <c r="U70" s="4"/>
      <c r="V70" s="4"/>
      <c r="W70" s="4"/>
      <c r="X70" s="4"/>
      <c r="Y70" s="4"/>
      <c r="Z70" s="4"/>
    </row>
    <row r="71" spans="1:26" ht="15.75" customHeight="1">
      <c r="A71" s="280" t="s">
        <v>46</v>
      </c>
      <c r="B71" s="276"/>
      <c r="C71" s="276"/>
      <c r="D71" s="276"/>
      <c r="E71" s="276"/>
      <c r="F71" s="276"/>
      <c r="G71" s="276"/>
      <c r="H71" s="276"/>
      <c r="I71" s="276"/>
      <c r="J71" s="276"/>
      <c r="K71" s="4"/>
      <c r="L71" s="4"/>
      <c r="M71" s="4"/>
      <c r="N71" s="4"/>
      <c r="O71" s="4"/>
      <c r="P71" s="4"/>
      <c r="Q71" s="4"/>
      <c r="R71" s="4"/>
      <c r="S71" s="4"/>
      <c r="T71" s="4"/>
      <c r="U71" s="4"/>
      <c r="V71" s="4"/>
      <c r="W71" s="4"/>
      <c r="X71" s="4"/>
      <c r="Y71" s="4"/>
      <c r="Z71" s="4"/>
    </row>
    <row r="72" spans="1:26" ht="15.75" customHeight="1">
      <c r="A72" s="12" t="s">
        <v>47</v>
      </c>
      <c r="B72" s="12"/>
      <c r="C72" s="12"/>
      <c r="D72" s="12"/>
      <c r="E72" s="12"/>
      <c r="F72" s="12"/>
      <c r="G72" s="12"/>
      <c r="H72" s="12"/>
      <c r="I72" s="12"/>
      <c r="J72" s="12"/>
      <c r="K72" s="4"/>
      <c r="L72" s="4"/>
      <c r="M72" s="4"/>
      <c r="N72" s="4"/>
      <c r="O72" s="4"/>
      <c r="P72" s="4"/>
      <c r="Q72" s="4"/>
      <c r="R72" s="4"/>
      <c r="S72" s="4"/>
      <c r="T72" s="4"/>
      <c r="U72" s="4"/>
      <c r="V72" s="4"/>
      <c r="W72" s="4"/>
      <c r="X72" s="4"/>
      <c r="Y72" s="4"/>
      <c r="Z72" s="4"/>
    </row>
    <row r="73" spans="1:26" ht="15.75" customHeight="1">
      <c r="A73" s="12"/>
      <c r="B73" s="12"/>
      <c r="C73" s="12"/>
      <c r="D73" s="12"/>
      <c r="E73" s="12"/>
      <c r="F73" s="12"/>
      <c r="G73" s="12"/>
      <c r="H73" s="12"/>
      <c r="I73" s="12"/>
      <c r="J73" s="12"/>
      <c r="K73" s="4"/>
      <c r="L73" s="4"/>
      <c r="M73" s="4"/>
      <c r="N73" s="4"/>
      <c r="O73" s="4"/>
      <c r="P73" s="4"/>
      <c r="Q73" s="4"/>
      <c r="R73" s="4"/>
      <c r="S73" s="4"/>
      <c r="T73" s="4"/>
      <c r="U73" s="4"/>
      <c r="V73" s="4"/>
      <c r="W73" s="4"/>
      <c r="X73" s="4"/>
      <c r="Y73" s="4"/>
      <c r="Z73" s="4"/>
    </row>
    <row r="74" spans="1:26" ht="15.75" customHeight="1">
      <c r="A74" s="281" t="s">
        <v>48</v>
      </c>
      <c r="B74" s="276"/>
      <c r="C74" s="276"/>
      <c r="D74" s="276"/>
      <c r="E74" s="276"/>
      <c r="F74" s="276"/>
      <c r="G74" s="276"/>
      <c r="H74" s="276"/>
      <c r="I74" s="276"/>
      <c r="J74" s="276"/>
      <c r="K74" s="40"/>
      <c r="L74" s="40"/>
      <c r="M74" s="40"/>
      <c r="N74" s="40"/>
      <c r="O74" s="40"/>
      <c r="P74" s="40"/>
      <c r="Q74" s="40"/>
      <c r="R74" s="40"/>
      <c r="S74" s="40"/>
      <c r="T74" s="40"/>
      <c r="U74" s="40"/>
      <c r="V74" s="40"/>
      <c r="W74" s="40"/>
      <c r="X74" s="40"/>
      <c r="Y74" s="40"/>
      <c r="Z74" s="40"/>
    </row>
    <row r="75" spans="1:26" ht="15.75" customHeight="1">
      <c r="A75" s="282" t="s">
        <v>49</v>
      </c>
      <c r="B75" s="276"/>
      <c r="C75" s="276"/>
      <c r="D75" s="276"/>
      <c r="E75" s="276"/>
      <c r="F75" s="276"/>
      <c r="G75" s="276"/>
      <c r="H75" s="276"/>
      <c r="I75" s="276"/>
      <c r="J75" s="276"/>
      <c r="K75" s="40"/>
      <c r="L75" s="40"/>
      <c r="M75" s="40"/>
      <c r="N75" s="40"/>
      <c r="O75" s="40"/>
      <c r="P75" s="40"/>
      <c r="Q75" s="40"/>
      <c r="R75" s="40"/>
      <c r="S75" s="40"/>
      <c r="T75" s="40"/>
      <c r="U75" s="40"/>
      <c r="V75" s="40"/>
      <c r="W75" s="40"/>
      <c r="X75" s="40"/>
      <c r="Y75" s="40"/>
      <c r="Z75" s="40"/>
    </row>
    <row r="76" spans="1:26" ht="15.75" customHeight="1">
      <c r="A76" s="276"/>
      <c r="B76" s="276"/>
      <c r="C76" s="276"/>
      <c r="D76" s="276"/>
      <c r="E76" s="276"/>
      <c r="F76" s="276"/>
      <c r="G76" s="276"/>
      <c r="H76" s="276"/>
      <c r="I76" s="276"/>
      <c r="J76" s="276"/>
      <c r="K76" s="40"/>
      <c r="L76" s="40"/>
      <c r="M76" s="40"/>
      <c r="N76" s="40"/>
      <c r="O76" s="40"/>
      <c r="P76" s="40"/>
      <c r="Q76" s="40"/>
      <c r="R76" s="40"/>
      <c r="S76" s="40"/>
      <c r="T76" s="40"/>
      <c r="U76" s="40"/>
      <c r="V76" s="40"/>
      <c r="W76" s="40"/>
      <c r="X76" s="40"/>
      <c r="Y76" s="40"/>
      <c r="Z76" s="40"/>
    </row>
    <row r="77" spans="1:26" ht="15.75" customHeight="1">
      <c r="A77" s="276"/>
      <c r="B77" s="276"/>
      <c r="C77" s="276"/>
      <c r="D77" s="276"/>
      <c r="E77" s="276"/>
      <c r="F77" s="276"/>
      <c r="G77" s="276"/>
      <c r="H77" s="276"/>
      <c r="I77" s="276"/>
      <c r="J77" s="276"/>
      <c r="K77" s="40"/>
      <c r="L77" s="40"/>
      <c r="M77" s="40"/>
      <c r="N77" s="40"/>
      <c r="O77" s="40"/>
      <c r="P77" s="40"/>
      <c r="Q77" s="40"/>
      <c r="R77" s="40"/>
      <c r="S77" s="40"/>
      <c r="T77" s="40"/>
      <c r="U77" s="40"/>
      <c r="V77" s="40"/>
      <c r="W77" s="40"/>
      <c r="X77" s="40"/>
      <c r="Y77" s="40"/>
      <c r="Z77" s="40"/>
    </row>
    <row r="78" spans="1:26" ht="15.75" customHeight="1">
      <c r="A78" s="41" t="s">
        <v>50</v>
      </c>
      <c r="B78" s="39"/>
      <c r="C78" s="39"/>
      <c r="D78" s="39"/>
      <c r="E78" s="39"/>
      <c r="F78" s="39"/>
      <c r="G78" s="39"/>
      <c r="H78" s="39"/>
      <c r="I78" s="39"/>
      <c r="J78" s="39"/>
      <c r="K78" s="40"/>
      <c r="L78" s="40"/>
      <c r="M78" s="40"/>
      <c r="N78" s="40"/>
      <c r="O78" s="40"/>
      <c r="P78" s="40"/>
      <c r="Q78" s="40"/>
      <c r="R78" s="40"/>
      <c r="S78" s="40"/>
      <c r="T78" s="40"/>
      <c r="U78" s="40"/>
      <c r="V78" s="40"/>
      <c r="W78" s="40"/>
      <c r="X78" s="40"/>
      <c r="Y78" s="40"/>
      <c r="Z78" s="40"/>
    </row>
    <row r="79" spans="1:26" ht="15.75" customHeight="1">
      <c r="A79" s="284" t="s">
        <v>51</v>
      </c>
      <c r="B79" s="276"/>
      <c r="C79" s="276"/>
      <c r="D79" s="276"/>
      <c r="E79" s="276"/>
      <c r="F79" s="276"/>
      <c r="G79" s="276"/>
      <c r="H79" s="276"/>
      <c r="I79" s="276"/>
      <c r="J79" s="276"/>
      <c r="K79" s="40"/>
      <c r="L79" s="40"/>
      <c r="M79" s="40"/>
      <c r="N79" s="40"/>
      <c r="O79" s="40"/>
      <c r="P79" s="40"/>
      <c r="Q79" s="40"/>
      <c r="R79" s="40"/>
      <c r="S79" s="40"/>
      <c r="T79" s="40"/>
      <c r="U79" s="40"/>
      <c r="V79" s="40"/>
      <c r="W79" s="40"/>
      <c r="X79" s="40"/>
      <c r="Y79" s="40"/>
      <c r="Z79" s="40"/>
    </row>
    <row r="80" spans="1:26" ht="15.75" customHeight="1">
      <c r="A80" s="39"/>
      <c r="B80" s="39"/>
      <c r="C80" s="39"/>
      <c r="D80" s="39"/>
      <c r="E80" s="39"/>
      <c r="F80" s="39"/>
      <c r="G80" s="39"/>
      <c r="H80" s="39"/>
      <c r="I80" s="39"/>
      <c r="J80" s="39"/>
      <c r="K80" s="40"/>
      <c r="L80" s="40"/>
      <c r="M80" s="40"/>
      <c r="N80" s="40"/>
      <c r="O80" s="40"/>
      <c r="P80" s="40"/>
      <c r="Q80" s="40"/>
      <c r="R80" s="40"/>
      <c r="S80" s="40"/>
      <c r="T80" s="40"/>
      <c r="U80" s="40"/>
      <c r="V80" s="40"/>
      <c r="W80" s="40"/>
      <c r="X80" s="40"/>
      <c r="Y80" s="40"/>
      <c r="Z80" s="40"/>
    </row>
    <row r="81" spans="1:26" ht="15.75" customHeight="1">
      <c r="A81" s="29" t="s">
        <v>52</v>
      </c>
      <c r="B81" s="32"/>
      <c r="C81" s="32"/>
      <c r="D81" s="32"/>
      <c r="E81" s="32"/>
      <c r="F81" s="32"/>
      <c r="G81" s="32"/>
      <c r="H81" s="32"/>
      <c r="I81" s="32"/>
      <c r="J81" s="32"/>
      <c r="K81" s="4"/>
      <c r="L81" s="4"/>
      <c r="M81" s="4"/>
      <c r="N81" s="4"/>
      <c r="O81" s="4"/>
      <c r="P81" s="4"/>
      <c r="Q81" s="4"/>
      <c r="R81" s="4"/>
      <c r="S81" s="4"/>
      <c r="T81" s="4"/>
      <c r="U81" s="4"/>
      <c r="V81" s="4"/>
      <c r="W81" s="4"/>
      <c r="X81" s="4"/>
      <c r="Y81" s="4"/>
      <c r="Z81" s="4"/>
    </row>
    <row r="82" spans="1:26" ht="12.75" customHeight="1">
      <c r="A82" s="12" t="s">
        <v>53</v>
      </c>
      <c r="B82" s="12"/>
      <c r="C82" s="12"/>
      <c r="D82" s="12"/>
      <c r="E82" s="12"/>
      <c r="F82" s="12"/>
      <c r="G82" s="12"/>
      <c r="H82" s="12"/>
      <c r="I82" s="12"/>
      <c r="J82" s="12"/>
      <c r="K82" s="4"/>
      <c r="L82" s="4"/>
      <c r="M82" s="4"/>
      <c r="N82" s="4"/>
      <c r="O82" s="4"/>
      <c r="P82" s="4"/>
      <c r="Q82" s="4"/>
      <c r="R82" s="4"/>
      <c r="S82" s="4"/>
      <c r="T82" s="4"/>
      <c r="U82" s="4"/>
      <c r="V82" s="4"/>
      <c r="W82" s="4"/>
      <c r="X82" s="4"/>
      <c r="Y82" s="4"/>
      <c r="Z82" s="4"/>
    </row>
    <row r="83" spans="1:26" ht="30.75" customHeight="1">
      <c r="A83" s="285" t="s">
        <v>54</v>
      </c>
      <c r="B83" s="276"/>
      <c r="C83" s="276"/>
      <c r="D83" s="276"/>
      <c r="E83" s="276"/>
      <c r="F83" s="276"/>
      <c r="G83" s="276"/>
      <c r="H83" s="276"/>
      <c r="I83" s="276"/>
      <c r="J83" s="276"/>
      <c r="K83" s="4"/>
      <c r="L83" s="4"/>
      <c r="M83" s="4"/>
      <c r="N83" s="4"/>
      <c r="O83" s="4"/>
      <c r="P83" s="4"/>
      <c r="Q83" s="4"/>
      <c r="R83" s="4"/>
      <c r="S83" s="4"/>
      <c r="T83" s="4"/>
      <c r="U83" s="4"/>
      <c r="V83" s="4"/>
      <c r="W83" s="4"/>
      <c r="X83" s="4"/>
      <c r="Y83" s="4"/>
      <c r="Z83" s="4"/>
    </row>
    <row r="84" spans="1:26" ht="15.75" customHeight="1">
      <c r="A84" s="42" t="s">
        <v>55</v>
      </c>
      <c r="B84" s="42"/>
      <c r="C84" s="42"/>
      <c r="D84" s="42"/>
      <c r="E84" s="42"/>
      <c r="F84" s="42"/>
      <c r="G84" s="42"/>
      <c r="H84" s="42"/>
      <c r="I84" s="42"/>
      <c r="J84" s="42"/>
      <c r="K84" s="4"/>
      <c r="L84" s="4"/>
      <c r="M84" s="4"/>
      <c r="N84" s="4"/>
      <c r="O84" s="4"/>
      <c r="P84" s="4"/>
      <c r="Q84" s="4"/>
      <c r="R84" s="4"/>
      <c r="S84" s="4"/>
      <c r="T84" s="4"/>
      <c r="U84" s="4"/>
      <c r="V84" s="4"/>
      <c r="W84" s="4"/>
      <c r="X84" s="4"/>
      <c r="Y84" s="4"/>
      <c r="Z84" s="4"/>
    </row>
    <row r="85" spans="1:26" ht="15.75" customHeight="1">
      <c r="A85" s="43" t="s">
        <v>56</v>
      </c>
      <c r="B85" s="42"/>
      <c r="C85" s="42"/>
      <c r="D85" s="42"/>
      <c r="E85" s="42"/>
      <c r="F85" s="42"/>
      <c r="G85" s="42"/>
      <c r="H85" s="42"/>
      <c r="I85" s="42"/>
      <c r="J85" s="42"/>
      <c r="K85" s="4"/>
      <c r="L85" s="4"/>
      <c r="M85" s="4"/>
      <c r="N85" s="4"/>
      <c r="O85" s="4"/>
      <c r="P85" s="4"/>
      <c r="Q85" s="4"/>
      <c r="R85" s="4"/>
      <c r="S85" s="4"/>
      <c r="T85" s="4"/>
      <c r="U85" s="4"/>
      <c r="V85" s="4"/>
      <c r="W85" s="4"/>
      <c r="X85" s="4"/>
      <c r="Y85" s="4"/>
      <c r="Z85" s="4"/>
    </row>
    <row r="86" spans="1:26" ht="15.75" customHeight="1">
      <c r="A86" s="44" t="s">
        <v>57</v>
      </c>
      <c r="B86" s="42"/>
      <c r="C86" s="42"/>
      <c r="D86" s="42"/>
      <c r="E86" s="42"/>
      <c r="F86" s="42"/>
      <c r="G86" s="42"/>
      <c r="H86" s="42"/>
      <c r="I86" s="42"/>
      <c r="J86" s="42"/>
      <c r="K86" s="4"/>
      <c r="L86" s="4"/>
      <c r="M86" s="4"/>
      <c r="N86" s="4"/>
      <c r="O86" s="4"/>
      <c r="P86" s="4"/>
      <c r="Q86" s="4"/>
      <c r="R86" s="4"/>
      <c r="S86" s="4"/>
      <c r="T86" s="4"/>
      <c r="U86" s="4"/>
      <c r="V86" s="4"/>
      <c r="W86" s="4"/>
      <c r="X86" s="4"/>
      <c r="Y86" s="4"/>
      <c r="Z86" s="4"/>
    </row>
    <row r="87" spans="1:26" ht="30.75" customHeight="1">
      <c r="A87" s="279" t="s">
        <v>58</v>
      </c>
      <c r="B87" s="276"/>
      <c r="C87" s="276"/>
      <c r="D87" s="276"/>
      <c r="E87" s="276"/>
      <c r="F87" s="276"/>
      <c r="G87" s="276"/>
      <c r="H87" s="276"/>
      <c r="I87" s="276"/>
      <c r="J87" s="276"/>
      <c r="K87" s="4"/>
      <c r="L87" s="4"/>
      <c r="M87" s="4"/>
      <c r="N87" s="4"/>
      <c r="O87" s="4"/>
      <c r="P87" s="4"/>
      <c r="Q87" s="4"/>
      <c r="R87" s="4"/>
      <c r="S87" s="4"/>
      <c r="T87" s="4"/>
      <c r="U87" s="4"/>
      <c r="V87" s="4"/>
      <c r="W87" s="4"/>
      <c r="X87" s="4"/>
      <c r="Y87" s="4"/>
      <c r="Z87" s="4"/>
    </row>
    <row r="88" spans="1:26" ht="15.75" customHeight="1">
      <c r="A88" s="45"/>
      <c r="B88" s="45"/>
      <c r="C88" s="45"/>
      <c r="D88" s="45"/>
      <c r="E88" s="45"/>
      <c r="F88" s="45"/>
      <c r="G88" s="45"/>
      <c r="H88" s="45"/>
      <c r="I88" s="45"/>
      <c r="J88" s="45"/>
      <c r="K88" s="4"/>
      <c r="L88" s="4"/>
      <c r="M88" s="4"/>
      <c r="N88" s="4"/>
      <c r="O88" s="4"/>
      <c r="P88" s="4"/>
      <c r="Q88" s="4"/>
      <c r="R88" s="4"/>
      <c r="S88" s="4"/>
      <c r="T88" s="4"/>
      <c r="U88" s="4"/>
      <c r="V88" s="4"/>
      <c r="W88" s="4"/>
      <c r="X88" s="4"/>
      <c r="Y88" s="4"/>
      <c r="Z88" s="4"/>
    </row>
    <row r="89" spans="1:26" ht="15.75" customHeight="1">
      <c r="A89" s="29" t="s">
        <v>59</v>
      </c>
      <c r="B89" s="32"/>
      <c r="C89" s="32"/>
      <c r="D89" s="32"/>
      <c r="E89" s="32"/>
      <c r="F89" s="32"/>
      <c r="G89" s="32"/>
      <c r="H89" s="32"/>
      <c r="I89" s="32"/>
      <c r="J89" s="32"/>
      <c r="K89" s="4"/>
      <c r="L89" s="4"/>
      <c r="M89" s="4"/>
      <c r="N89" s="4"/>
      <c r="O89" s="4"/>
      <c r="P89" s="4"/>
      <c r="Q89" s="4"/>
      <c r="R89" s="4"/>
      <c r="S89" s="4"/>
      <c r="T89" s="4"/>
      <c r="U89" s="4"/>
      <c r="V89" s="4"/>
      <c r="W89" s="4"/>
      <c r="X89" s="4"/>
      <c r="Y89" s="4"/>
      <c r="Z89" s="4"/>
    </row>
    <row r="90" spans="1:26" ht="15.75" customHeight="1">
      <c r="A90" s="27" t="s">
        <v>60</v>
      </c>
      <c r="B90" s="27"/>
      <c r="C90" s="10"/>
      <c r="D90" s="12"/>
      <c r="E90" s="17"/>
      <c r="F90" s="12"/>
      <c r="G90" s="12"/>
      <c r="H90" s="12"/>
      <c r="I90" s="12"/>
      <c r="J90" s="12"/>
      <c r="K90" s="4"/>
      <c r="L90" s="4"/>
      <c r="M90" s="4"/>
      <c r="N90" s="4"/>
      <c r="O90" s="4"/>
      <c r="P90" s="4"/>
      <c r="Q90" s="4"/>
      <c r="R90" s="4"/>
      <c r="S90" s="4"/>
      <c r="T90" s="4"/>
      <c r="U90" s="4"/>
      <c r="V90" s="4"/>
      <c r="W90" s="4"/>
      <c r="X90" s="4"/>
      <c r="Y90" s="4"/>
      <c r="Z90" s="4"/>
    </row>
    <row r="91" spans="1:26" ht="30.75" customHeight="1">
      <c r="A91" s="46" t="s">
        <v>61</v>
      </c>
      <c r="B91" s="275" t="s">
        <v>62</v>
      </c>
      <c r="C91" s="276"/>
      <c r="D91" s="276"/>
      <c r="E91" s="276"/>
      <c r="F91" s="276"/>
      <c r="G91" s="276"/>
      <c r="H91" s="276"/>
      <c r="I91" s="276"/>
      <c r="J91" s="276"/>
      <c r="K91" s="4"/>
      <c r="L91" s="4"/>
      <c r="M91" s="4"/>
      <c r="N91" s="4"/>
      <c r="O91" s="4"/>
      <c r="P91" s="4"/>
      <c r="Q91" s="4"/>
      <c r="R91" s="4"/>
      <c r="S91" s="4"/>
      <c r="T91" s="4"/>
      <c r="U91" s="4"/>
      <c r="V91" s="4"/>
      <c r="W91" s="4"/>
      <c r="X91" s="4"/>
      <c r="Y91" s="4"/>
      <c r="Z91" s="4"/>
    </row>
    <row r="92" spans="1:26" ht="15.75" customHeight="1">
      <c r="A92" s="47" t="s">
        <v>9</v>
      </c>
      <c r="B92" s="12" t="s">
        <v>63</v>
      </c>
      <c r="C92" s="12"/>
      <c r="D92" s="12"/>
      <c r="E92" s="12"/>
      <c r="F92" s="12"/>
      <c r="G92" s="12"/>
      <c r="H92" s="12"/>
      <c r="I92" s="12"/>
      <c r="J92" s="12"/>
      <c r="K92" s="4"/>
      <c r="L92" s="4"/>
      <c r="M92" s="4"/>
      <c r="N92" s="4"/>
      <c r="O92" s="4"/>
      <c r="P92" s="4"/>
      <c r="Q92" s="4"/>
      <c r="R92" s="4"/>
      <c r="S92" s="4"/>
      <c r="T92" s="4"/>
      <c r="U92" s="4"/>
      <c r="V92" s="4"/>
      <c r="W92" s="4"/>
      <c r="X92" s="4"/>
      <c r="Y92" s="4"/>
      <c r="Z92" s="4"/>
    </row>
    <row r="93" spans="1:26" ht="15.75" customHeight="1">
      <c r="A93" s="12"/>
      <c r="B93" s="12"/>
      <c r="C93" s="12"/>
      <c r="D93" s="12"/>
      <c r="E93" s="12"/>
      <c r="F93" s="12"/>
      <c r="G93" s="12"/>
      <c r="H93" s="12"/>
      <c r="I93" s="12"/>
      <c r="J93" s="12"/>
      <c r="K93" s="4"/>
      <c r="L93" s="4"/>
      <c r="M93" s="4"/>
      <c r="N93" s="4"/>
      <c r="O93" s="4"/>
      <c r="P93" s="4"/>
      <c r="Q93" s="4"/>
      <c r="R93" s="4"/>
      <c r="S93" s="4"/>
      <c r="T93" s="4"/>
      <c r="U93" s="4"/>
      <c r="V93" s="4"/>
      <c r="W93" s="4"/>
      <c r="X93" s="4"/>
      <c r="Y93" s="4"/>
      <c r="Z93" s="4"/>
    </row>
    <row r="94" spans="1:26" ht="15.75" customHeight="1">
      <c r="A94" s="12"/>
      <c r="B94" s="12"/>
      <c r="C94" s="12"/>
      <c r="D94" s="12"/>
      <c r="E94" s="12"/>
      <c r="F94" s="12"/>
      <c r="G94" s="12"/>
      <c r="H94" s="12"/>
      <c r="I94" s="12"/>
      <c r="J94" s="12"/>
      <c r="K94" s="4"/>
      <c r="L94" s="4"/>
      <c r="M94" s="4"/>
      <c r="N94" s="4"/>
      <c r="O94" s="4"/>
      <c r="P94" s="4"/>
      <c r="Q94" s="4"/>
      <c r="R94" s="4"/>
      <c r="S94" s="4"/>
      <c r="T94" s="4"/>
      <c r="U94" s="4"/>
      <c r="V94" s="4"/>
      <c r="W94" s="4"/>
      <c r="X94" s="4"/>
      <c r="Y94" s="4"/>
      <c r="Z94" s="4"/>
    </row>
    <row r="95" spans="1:26" ht="15.75" customHeight="1">
      <c r="A95" s="12"/>
      <c r="B95" s="12"/>
      <c r="C95" s="12"/>
      <c r="D95" s="12"/>
      <c r="E95" s="12"/>
      <c r="F95" s="12"/>
      <c r="G95" s="12"/>
      <c r="H95" s="12"/>
      <c r="I95" s="12"/>
      <c r="J95" s="12"/>
      <c r="K95" s="4"/>
      <c r="L95" s="4"/>
      <c r="M95" s="4"/>
      <c r="N95" s="4"/>
      <c r="O95" s="4"/>
      <c r="P95" s="4"/>
      <c r="Q95" s="4"/>
      <c r="R95" s="4"/>
      <c r="S95" s="4"/>
      <c r="T95" s="4"/>
      <c r="U95" s="4"/>
      <c r="V95" s="4"/>
      <c r="W95" s="4"/>
      <c r="X95" s="4"/>
      <c r="Y95" s="4"/>
      <c r="Z95" s="4"/>
    </row>
    <row r="96" spans="1:26" ht="15.75" customHeight="1">
      <c r="A96" s="29" t="s">
        <v>64</v>
      </c>
      <c r="B96" s="32"/>
      <c r="C96" s="32"/>
      <c r="D96" s="32"/>
      <c r="E96" s="32"/>
      <c r="F96" s="32"/>
      <c r="G96" s="32"/>
      <c r="H96" s="32"/>
      <c r="I96" s="32"/>
      <c r="J96" s="32"/>
      <c r="K96" s="4"/>
      <c r="L96" s="4"/>
      <c r="M96" s="4"/>
      <c r="N96" s="4"/>
      <c r="O96" s="4"/>
      <c r="P96" s="4"/>
      <c r="Q96" s="4"/>
      <c r="R96" s="4"/>
      <c r="S96" s="4"/>
      <c r="T96" s="4"/>
      <c r="U96" s="4"/>
      <c r="V96" s="4"/>
      <c r="W96" s="4"/>
      <c r="X96" s="4"/>
      <c r="Y96" s="4"/>
      <c r="Z96" s="4"/>
    </row>
    <row r="97" spans="1:26" ht="15.75" customHeight="1">
      <c r="A97" s="48" t="s">
        <v>65</v>
      </c>
      <c r="B97" s="48"/>
      <c r="C97" s="48"/>
      <c r="D97" s="48"/>
      <c r="E97" s="48"/>
      <c r="F97" s="48"/>
      <c r="G97" s="48"/>
      <c r="H97" s="48"/>
      <c r="I97" s="48"/>
      <c r="J97" s="48"/>
      <c r="K97" s="4"/>
      <c r="L97" s="4"/>
      <c r="M97" s="4"/>
      <c r="N97" s="4"/>
      <c r="O97" s="4"/>
      <c r="P97" s="4"/>
      <c r="Q97" s="4"/>
      <c r="R97" s="4"/>
      <c r="S97" s="4"/>
      <c r="T97" s="4"/>
      <c r="U97" s="4"/>
      <c r="V97" s="4"/>
      <c r="W97" s="4"/>
      <c r="X97" s="4"/>
      <c r="Y97" s="4"/>
      <c r="Z97" s="4"/>
    </row>
    <row r="98" spans="1:26" ht="15.75" customHeight="1">
      <c r="A98" s="49" t="s">
        <v>66</v>
      </c>
      <c r="B98" s="48"/>
      <c r="C98" s="48"/>
      <c r="D98" s="48"/>
      <c r="E98" s="48"/>
      <c r="F98" s="48"/>
      <c r="G98" s="48"/>
      <c r="H98" s="48"/>
      <c r="I98" s="48"/>
      <c r="J98" s="48"/>
      <c r="K98" s="4"/>
      <c r="L98" s="4"/>
      <c r="M98" s="4"/>
      <c r="N98" s="4"/>
      <c r="O98" s="4"/>
      <c r="P98" s="4"/>
      <c r="Q98" s="4"/>
      <c r="R98" s="4"/>
      <c r="S98" s="4"/>
      <c r="T98" s="4"/>
      <c r="U98" s="4"/>
      <c r="V98" s="4"/>
      <c r="W98" s="4"/>
      <c r="X98" s="4"/>
      <c r="Y98" s="4"/>
      <c r="Z98" s="4"/>
    </row>
    <row r="99" spans="1:26" ht="15.75" customHeight="1">
      <c r="A99" s="48"/>
      <c r="B99" s="50"/>
      <c r="C99" s="50"/>
      <c r="D99" s="50"/>
      <c r="E99" s="50"/>
      <c r="F99" s="50"/>
      <c r="G99" s="50"/>
      <c r="H99" s="50"/>
      <c r="I99" s="50"/>
      <c r="J99" s="50"/>
      <c r="K99" s="4"/>
      <c r="L99" s="4"/>
      <c r="M99" s="4"/>
      <c r="N99" s="4"/>
      <c r="O99" s="4"/>
      <c r="P99" s="4"/>
      <c r="Q99" s="4"/>
      <c r="R99" s="4"/>
      <c r="S99" s="4"/>
      <c r="T99" s="4"/>
      <c r="U99" s="4"/>
      <c r="V99" s="4"/>
      <c r="W99" s="4"/>
      <c r="X99" s="4"/>
      <c r="Y99" s="4"/>
      <c r="Z99" s="4"/>
    </row>
    <row r="100" spans="1:26" ht="15.75" customHeight="1">
      <c r="A100" s="50"/>
      <c r="B100" s="50"/>
      <c r="C100" s="50"/>
      <c r="D100" s="48"/>
      <c r="E100" s="50"/>
      <c r="F100" s="50"/>
      <c r="G100" s="50"/>
      <c r="H100" s="50"/>
      <c r="I100" s="50"/>
      <c r="J100" s="50"/>
      <c r="K100" s="4"/>
      <c r="L100" s="4"/>
      <c r="M100" s="4"/>
      <c r="N100" s="4"/>
      <c r="O100" s="4"/>
      <c r="P100" s="4"/>
      <c r="Q100" s="4"/>
      <c r="R100" s="4"/>
      <c r="S100" s="4"/>
      <c r="T100" s="4"/>
      <c r="U100" s="4"/>
      <c r="V100" s="4"/>
      <c r="W100" s="4"/>
      <c r="X100" s="4"/>
      <c r="Y100" s="4"/>
      <c r="Z100" s="4"/>
    </row>
    <row r="101" spans="1:26" ht="15.75" customHeight="1">
      <c r="A101" s="50"/>
      <c r="B101" s="50"/>
      <c r="C101" s="50"/>
      <c r="D101" s="50"/>
      <c r="E101" s="50"/>
      <c r="F101" s="50"/>
      <c r="G101" s="50"/>
      <c r="H101" s="50"/>
      <c r="I101" s="50"/>
      <c r="J101" s="50"/>
      <c r="K101" s="4"/>
      <c r="L101" s="4"/>
      <c r="M101" s="4"/>
      <c r="N101" s="4"/>
      <c r="O101" s="4"/>
      <c r="P101" s="4"/>
      <c r="Q101" s="4"/>
      <c r="R101" s="4"/>
      <c r="S101" s="4"/>
      <c r="T101" s="4"/>
      <c r="U101" s="4"/>
      <c r="V101" s="4"/>
      <c r="W101" s="4"/>
      <c r="X101" s="4"/>
      <c r="Y101" s="4"/>
      <c r="Z101" s="4"/>
    </row>
    <row r="102" spans="1:26" ht="15.75" customHeight="1">
      <c r="A102" s="50"/>
      <c r="B102" s="50"/>
      <c r="C102" s="50"/>
      <c r="D102" s="50"/>
      <c r="E102" s="50"/>
      <c r="F102" s="50"/>
      <c r="G102" s="50"/>
      <c r="H102" s="50"/>
      <c r="I102" s="50"/>
      <c r="J102" s="50"/>
      <c r="K102" s="4"/>
      <c r="L102" s="4"/>
      <c r="M102" s="4"/>
      <c r="N102" s="4"/>
      <c r="O102" s="4"/>
      <c r="P102" s="4"/>
      <c r="Q102" s="4"/>
      <c r="R102" s="4"/>
      <c r="S102" s="4"/>
      <c r="T102" s="4"/>
      <c r="U102" s="4"/>
      <c r="V102" s="4"/>
      <c r="W102" s="4"/>
      <c r="X102" s="4"/>
      <c r="Y102" s="4"/>
      <c r="Z102" s="4"/>
    </row>
    <row r="103" spans="1:26" ht="15.75" customHeight="1">
      <c r="A103" s="50"/>
      <c r="B103" s="50"/>
      <c r="C103" s="50"/>
      <c r="D103" s="50"/>
      <c r="E103" s="50"/>
      <c r="F103" s="50"/>
      <c r="G103" s="50"/>
      <c r="H103" s="50"/>
      <c r="I103" s="50"/>
      <c r="J103" s="50"/>
      <c r="K103" s="4"/>
      <c r="L103" s="4"/>
      <c r="M103" s="4"/>
      <c r="N103" s="4"/>
      <c r="O103" s="4"/>
      <c r="P103" s="4"/>
      <c r="Q103" s="4"/>
      <c r="R103" s="4"/>
      <c r="S103" s="4"/>
      <c r="T103" s="4"/>
      <c r="U103" s="4"/>
      <c r="V103" s="4"/>
      <c r="W103" s="4"/>
      <c r="X103" s="4"/>
      <c r="Y103" s="4"/>
      <c r="Z103" s="4"/>
    </row>
    <row r="104" spans="1:26" ht="15.75" customHeight="1">
      <c r="A104" s="51" t="s">
        <v>67</v>
      </c>
      <c r="B104" s="48"/>
      <c r="C104" s="48"/>
      <c r="D104" s="48"/>
      <c r="E104" s="50"/>
      <c r="F104" s="50"/>
      <c r="G104" s="50"/>
      <c r="H104" s="50"/>
      <c r="I104" s="50"/>
      <c r="J104" s="50"/>
      <c r="K104" s="4"/>
      <c r="L104" s="4"/>
      <c r="M104" s="4"/>
      <c r="N104" s="4"/>
      <c r="O104" s="4"/>
      <c r="P104" s="4"/>
      <c r="Q104" s="4"/>
      <c r="R104" s="4"/>
      <c r="S104" s="4"/>
      <c r="T104" s="4"/>
      <c r="U104" s="4"/>
      <c r="V104" s="4"/>
      <c r="W104" s="4"/>
      <c r="X104" s="4"/>
      <c r="Y104" s="4"/>
      <c r="Z104" s="4"/>
    </row>
    <row r="105" spans="1:26" ht="15.75" customHeight="1">
      <c r="A105" s="277" t="s">
        <v>68</v>
      </c>
      <c r="B105" s="276"/>
      <c r="C105" s="276"/>
      <c r="D105" s="276"/>
      <c r="E105" s="50"/>
      <c r="F105" s="50"/>
      <c r="G105" s="50"/>
      <c r="H105" s="50"/>
      <c r="I105" s="50"/>
      <c r="J105" s="50"/>
      <c r="K105" s="4"/>
      <c r="L105" s="4"/>
      <c r="M105" s="4"/>
      <c r="N105" s="4"/>
      <c r="O105" s="4"/>
      <c r="P105" s="4"/>
      <c r="Q105" s="4"/>
      <c r="R105" s="4"/>
      <c r="S105" s="4"/>
      <c r="T105" s="4"/>
      <c r="U105" s="4"/>
      <c r="V105" s="4"/>
      <c r="W105" s="4"/>
      <c r="X105" s="4"/>
      <c r="Y105" s="4"/>
      <c r="Z105" s="4"/>
    </row>
    <row r="106" spans="1:26" ht="15.75" customHeight="1">
      <c r="A106" s="276"/>
      <c r="B106" s="276"/>
      <c r="C106" s="276"/>
      <c r="D106" s="276"/>
      <c r="E106" s="50"/>
      <c r="F106" s="50"/>
      <c r="G106" s="50"/>
      <c r="H106" s="50"/>
      <c r="I106" s="50"/>
      <c r="J106" s="50"/>
      <c r="K106" s="4"/>
      <c r="L106" s="4"/>
      <c r="M106" s="4"/>
      <c r="N106" s="4"/>
      <c r="O106" s="4"/>
      <c r="P106" s="4"/>
      <c r="Q106" s="4"/>
      <c r="R106" s="4"/>
      <c r="S106" s="4"/>
      <c r="T106" s="4"/>
      <c r="U106" s="4"/>
      <c r="V106" s="4"/>
      <c r="W106" s="4"/>
      <c r="X106" s="4"/>
      <c r="Y106" s="4"/>
      <c r="Z106" s="4"/>
    </row>
    <row r="107" spans="1:26" ht="15.75" customHeight="1">
      <c r="A107" s="276"/>
      <c r="B107" s="276"/>
      <c r="C107" s="276"/>
      <c r="D107" s="276"/>
      <c r="E107" s="50"/>
      <c r="F107" s="50"/>
      <c r="G107" s="50"/>
      <c r="H107" s="50"/>
      <c r="I107" s="50"/>
      <c r="J107" s="50"/>
      <c r="K107" s="4"/>
      <c r="L107" s="4"/>
      <c r="M107" s="4"/>
      <c r="N107" s="4"/>
      <c r="O107" s="4"/>
      <c r="P107" s="4"/>
      <c r="Q107" s="4"/>
      <c r="R107" s="4"/>
      <c r="S107" s="4"/>
      <c r="T107" s="4"/>
      <c r="U107" s="4"/>
      <c r="V107" s="4"/>
      <c r="W107" s="4"/>
      <c r="X107" s="4"/>
      <c r="Y107" s="4"/>
      <c r="Z107" s="4"/>
    </row>
    <row r="108" spans="1:26" ht="15.75" customHeight="1">
      <c r="A108" s="276"/>
      <c r="B108" s="276"/>
      <c r="C108" s="276"/>
      <c r="D108" s="276"/>
      <c r="E108" s="4"/>
      <c r="F108" s="4"/>
      <c r="G108" s="4"/>
      <c r="H108" s="4"/>
      <c r="I108" s="4"/>
      <c r="J108" s="4"/>
      <c r="K108" s="4"/>
      <c r="L108" s="4"/>
      <c r="M108" s="4"/>
      <c r="N108" s="4"/>
      <c r="O108" s="4"/>
      <c r="P108" s="4"/>
      <c r="Q108" s="4"/>
      <c r="R108" s="4"/>
      <c r="S108" s="4"/>
      <c r="T108" s="4"/>
      <c r="U108" s="4"/>
      <c r="V108" s="4"/>
      <c r="W108" s="4"/>
      <c r="X108" s="4"/>
      <c r="Y108" s="4"/>
      <c r="Z108" s="4"/>
    </row>
    <row r="109" spans="1:26" ht="15.75" customHeight="1">
      <c r="A109" s="276"/>
      <c r="B109" s="276"/>
      <c r="C109" s="276"/>
      <c r="D109" s="276"/>
      <c r="E109" s="4"/>
      <c r="F109" s="4"/>
      <c r="G109" s="4"/>
      <c r="H109" s="4"/>
      <c r="I109" s="4"/>
      <c r="J109" s="4"/>
      <c r="K109" s="4"/>
      <c r="L109" s="4"/>
      <c r="M109" s="4"/>
      <c r="N109" s="4"/>
      <c r="O109" s="4"/>
      <c r="P109" s="4"/>
      <c r="Q109" s="4"/>
      <c r="R109" s="4"/>
      <c r="S109" s="4"/>
      <c r="T109" s="4"/>
      <c r="U109" s="4"/>
      <c r="V109" s="4"/>
      <c r="W109" s="4"/>
      <c r="X109" s="4"/>
      <c r="Y109" s="4"/>
      <c r="Z109" s="4"/>
    </row>
    <row r="110" spans="1:26" ht="15.75" customHeight="1">
      <c r="A110" s="276"/>
      <c r="B110" s="276"/>
      <c r="C110" s="276"/>
      <c r="D110" s="276"/>
      <c r="E110" s="4"/>
      <c r="F110" s="4"/>
      <c r="G110" s="4"/>
      <c r="H110" s="4"/>
      <c r="I110" s="4"/>
      <c r="J110" s="4"/>
      <c r="K110" s="4"/>
      <c r="L110" s="4"/>
      <c r="M110" s="4"/>
      <c r="N110" s="4"/>
      <c r="O110" s="4"/>
      <c r="P110" s="4"/>
      <c r="Q110" s="4"/>
      <c r="R110" s="4"/>
      <c r="S110" s="4"/>
      <c r="T110" s="4"/>
      <c r="U110" s="4"/>
      <c r="V110" s="4"/>
      <c r="W110" s="4"/>
      <c r="X110" s="4"/>
      <c r="Y110" s="4"/>
      <c r="Z110" s="4"/>
    </row>
    <row r="111" spans="1:26" ht="15.75" customHeight="1">
      <c r="A111" s="276"/>
      <c r="B111" s="276"/>
      <c r="C111" s="276"/>
      <c r="D111" s="276"/>
      <c r="E111" s="4"/>
      <c r="F111" s="4"/>
      <c r="G111" s="4"/>
      <c r="H111" s="4"/>
      <c r="I111" s="4"/>
      <c r="J111" s="4"/>
      <c r="K111" s="4"/>
      <c r="L111" s="4"/>
      <c r="M111" s="4"/>
      <c r="N111" s="4"/>
      <c r="O111" s="4"/>
      <c r="P111" s="4"/>
      <c r="Q111" s="4"/>
      <c r="R111" s="4"/>
      <c r="S111" s="4"/>
      <c r="T111" s="4"/>
      <c r="U111" s="4"/>
      <c r="V111" s="4"/>
      <c r="W111" s="4"/>
      <c r="X111" s="4"/>
      <c r="Y111" s="4"/>
      <c r="Z111" s="4"/>
    </row>
    <row r="112" spans="1:26" ht="15.75" customHeight="1">
      <c r="A112" s="276"/>
      <c r="B112" s="276"/>
      <c r="C112" s="276"/>
      <c r="D112" s="276"/>
      <c r="E112" s="4"/>
      <c r="F112" s="4"/>
      <c r="G112" s="4"/>
      <c r="H112" s="4"/>
      <c r="I112" s="4"/>
      <c r="J112" s="4"/>
      <c r="K112" s="4"/>
      <c r="L112" s="4"/>
      <c r="M112" s="4"/>
      <c r="N112" s="4"/>
      <c r="O112" s="4"/>
      <c r="P112" s="4"/>
      <c r="Q112" s="4"/>
      <c r="R112" s="4"/>
      <c r="S112" s="4"/>
      <c r="T112" s="4"/>
      <c r="U112" s="4"/>
      <c r="V112" s="4"/>
      <c r="W112" s="4"/>
      <c r="X112" s="4"/>
      <c r="Y112" s="4"/>
      <c r="Z112" s="4"/>
    </row>
    <row r="113" spans="1:26" ht="15.75" customHeight="1">
      <c r="A113" s="276"/>
      <c r="B113" s="276"/>
      <c r="C113" s="276"/>
      <c r="D113" s="276"/>
      <c r="E113" s="4"/>
      <c r="F113" s="4"/>
      <c r="G113" s="4"/>
      <c r="H113" s="4"/>
      <c r="I113" s="4"/>
      <c r="J113" s="4"/>
      <c r="K113" s="4"/>
      <c r="L113" s="4"/>
      <c r="M113" s="4"/>
      <c r="N113" s="4"/>
      <c r="O113" s="4"/>
      <c r="P113" s="4"/>
      <c r="Q113" s="4"/>
      <c r="R113" s="4"/>
      <c r="S113" s="4"/>
      <c r="T113" s="4"/>
      <c r="U113" s="4"/>
      <c r="V113" s="4"/>
      <c r="W113" s="4"/>
      <c r="X113" s="4"/>
      <c r="Y113" s="4"/>
      <c r="Z113" s="4"/>
    </row>
    <row r="114" spans="1:26" ht="15.75" customHeight="1">
      <c r="A114" s="276"/>
      <c r="B114" s="276"/>
      <c r="C114" s="276"/>
      <c r="D114" s="276"/>
      <c r="E114" s="4"/>
      <c r="F114" s="4"/>
      <c r="G114" s="4"/>
      <c r="H114" s="4"/>
      <c r="I114" s="4"/>
      <c r="J114" s="4"/>
      <c r="K114" s="4"/>
      <c r="L114" s="4"/>
      <c r="M114" s="4"/>
      <c r="N114" s="4"/>
      <c r="O114" s="4"/>
      <c r="P114" s="4"/>
      <c r="Q114" s="4"/>
      <c r="R114" s="4"/>
      <c r="S114" s="4"/>
      <c r="T114" s="4"/>
      <c r="U114" s="4"/>
      <c r="V114" s="4"/>
      <c r="W114" s="4"/>
      <c r="X114" s="4"/>
      <c r="Y114" s="4"/>
      <c r="Z114" s="4"/>
    </row>
    <row r="115" spans="1:26" ht="15.75" customHeight="1">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spans="1:26" ht="15.75" customHeight="1">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spans="1:26" ht="15.75" customHeight="1">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spans="1:26" ht="15.75" customHeight="1">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spans="1:26" ht="15.75" customHeight="1">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spans="1:26" ht="15.75" customHeight="1">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spans="1:26" ht="15.75" customHeight="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spans="1:26" ht="15.75" customHeight="1">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spans="1:26" ht="15.75" customHeight="1">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spans="1:26" ht="15.75" customHeight="1">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spans="1:26" ht="15.75" customHeight="1">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spans="1:26" ht="15.75" customHeight="1">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spans="1:26" ht="15.75" customHeight="1">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spans="1:26" ht="15.75" customHeight="1">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spans="1:26" ht="15.75" customHeight="1">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spans="1:26" ht="15.75" customHeight="1">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spans="1:26" ht="15.75" customHeight="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spans="1:26" ht="15.75" customHeight="1">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spans="1:26" ht="15.75" customHeight="1">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spans="1:26" ht="15.75" customHeight="1">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spans="1:26" ht="15.75" customHeight="1">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spans="1:26" ht="15.75" customHeight="1">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spans="1:26" ht="15.75" customHeight="1">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spans="1:26" ht="15.75" customHeight="1">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spans="1:26" ht="15.75" customHeight="1">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spans="1:26" ht="15.75" customHeight="1">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spans="1:26" ht="15.75" customHeight="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spans="1:26" ht="15.75" customHeight="1">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spans="1:26" ht="15.75" customHeight="1">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spans="1:26" ht="15.75" customHeight="1">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spans="1:26" ht="15.75" customHeight="1">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spans="1:26" ht="15.75" customHeight="1">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spans="1:26" ht="15.75" customHeight="1">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spans="1:26" ht="15.75" customHeight="1">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spans="1:26" ht="15.75" customHeight="1">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spans="1:26" ht="15.75" customHeight="1">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spans="1:26" ht="15.75" customHeight="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spans="1:26" ht="15.75" customHeight="1">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spans="1:26" ht="15.75" customHeight="1">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spans="1:26" ht="15.75" customHeight="1">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spans="1:26" ht="15.75" customHeight="1">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spans="1:26" ht="15.75" customHeight="1">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spans="1:26" ht="15.75" customHeight="1">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spans="1:26" ht="15.75" customHeight="1">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spans="1:26" ht="15.75" customHeight="1">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spans="1:26" ht="15.75" customHeight="1">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spans="1:26" ht="15.75" customHeight="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spans="1:26" ht="15.75" customHeight="1">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spans="1:26" ht="15.75" customHeight="1">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spans="1:26" ht="15.75" customHeight="1">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spans="1:26" ht="15.75" customHeight="1">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spans="1:26" ht="15.75" customHeight="1">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spans="1:26" ht="15.75" customHeight="1">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spans="1:26" ht="15.75" customHeight="1">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spans="1:26" ht="15.75" customHeight="1">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spans="1:26" ht="15.75" customHeight="1">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spans="1:26" ht="15.75" customHeight="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spans="1:26" ht="15.75" customHeight="1">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spans="1:26" ht="15.75" customHeight="1">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spans="1:26" ht="15.75" customHeight="1">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spans="1:26" ht="15.75" customHeight="1">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spans="1:26" ht="15.75" customHeight="1">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spans="1:26" ht="15.75" customHeight="1">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spans="1:26" ht="15.75" customHeight="1">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spans="1:26" ht="15.75" customHeight="1">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spans="1:26" ht="15.75" customHeight="1">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spans="1:26" ht="15.75" customHeight="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spans="1:26" ht="15.75" customHeight="1">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spans="1:26" ht="15.75" customHeight="1">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spans="1:26" ht="15.75" customHeight="1">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spans="1:26" ht="15.75" customHeight="1">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spans="1:26" ht="15.75" customHeight="1">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spans="1:26" ht="15.75" customHeight="1">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spans="1:26" ht="15.75" customHeight="1">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spans="1:26" ht="15.75" customHeight="1">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spans="1:26" ht="15.75" customHeight="1">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spans="1:26" ht="15.75" customHeight="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spans="1:26" ht="15.75" customHeight="1">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spans="1:26" ht="15.75" customHeight="1">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spans="1:26" ht="15.75" customHeight="1">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spans="1:26" ht="15.75" customHeight="1">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spans="1:26" ht="15.75" customHeight="1">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spans="1:26" ht="15.75" customHeight="1">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spans="1:26" ht="15.75" customHeight="1">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spans="1:26" ht="15.75" customHeight="1">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spans="1:26" ht="15.75" customHeight="1">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spans="1:26" ht="15.75" customHeight="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spans="1:26" ht="15.75" customHeight="1">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spans="1:26" ht="15.75" customHeight="1">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spans="1:26" ht="15.75" customHeight="1">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spans="1:26" ht="15.75" customHeight="1">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spans="1:26" ht="15.75" customHeight="1">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spans="1:26" ht="15.75" customHeight="1">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spans="1:26" ht="15.75" customHeight="1">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spans="1:26" ht="15.75" customHeight="1">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spans="1:26" ht="15.75" customHeight="1">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spans="1:26" ht="15.75" customHeight="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spans="1:26" ht="15.75" customHeight="1">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spans="1:26" ht="15.75" customHeight="1">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spans="1:26" ht="15.75" customHeight="1">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spans="1:26" ht="15.75" customHeight="1">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spans="1:26" ht="15.75" customHeight="1">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spans="1:26" ht="15.75" customHeight="1">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spans="1:26" ht="15.75" customHeight="1">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spans="1:26" ht="15.75" customHeight="1">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spans="1:26" ht="15.75" customHeight="1">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spans="1:26" ht="15.75" customHeight="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spans="1:26" ht="15.75" customHeight="1">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spans="1:26" ht="15.75" customHeight="1">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spans="1:26" ht="15.75" customHeight="1">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spans="1:26" ht="15.75" customHeight="1">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spans="1:26" ht="15.75" customHeight="1">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spans="1:26" ht="15.75" customHeight="1">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spans="1:26" ht="15.75" customHeight="1">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spans="1:26" ht="15.75" customHeight="1">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spans="1:26" ht="15.75" customHeight="1">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spans="1:26" ht="15.75" customHeight="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spans="1:26" ht="15.75" customHeight="1">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spans="1:26" ht="15.75" customHeight="1">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spans="1:26" ht="15.75" customHeight="1">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spans="1:26" ht="15.75" customHeight="1">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spans="1:26" ht="15.75" customHeight="1">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spans="1:26" ht="15.75" customHeight="1">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spans="1:26" ht="15.75" customHeight="1">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spans="1:26" ht="15.75" customHeight="1">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spans="1:26" ht="15.75" customHeight="1">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spans="1:26" ht="15.75" customHeight="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spans="1:26" ht="15.75" customHeight="1">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spans="1:26" ht="15.75" customHeight="1">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spans="1:26" ht="15.75" customHeight="1">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spans="1:26" ht="15.75" customHeight="1">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spans="1:26" ht="15.75" customHeight="1">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spans="1:26" ht="15.75" customHeight="1">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spans="1:26" ht="15.75" customHeight="1">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spans="1:26" ht="15.75" customHeight="1">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spans="1:26" ht="15.75" customHeight="1">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spans="1:26" ht="15.75" customHeight="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spans="1:26" ht="15.75" customHeight="1">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spans="1:26" ht="15.75" customHeight="1">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spans="1:26" ht="15.75" customHeight="1">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spans="1:26" ht="15.75" customHeight="1">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spans="1:26" ht="15.75" customHeight="1">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spans="1:26" ht="15.75" customHeight="1">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spans="1:26" ht="15.75" customHeight="1">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spans="1:26" ht="15.75" customHeight="1">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spans="1:26" ht="15.75" customHeight="1">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spans="1:26" ht="15.75" customHeight="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spans="1:26" ht="15.75" customHeight="1">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spans="1:26" ht="15.75" customHeight="1">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spans="1:26" ht="15.75" customHeight="1">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spans="1:26" ht="15.75" customHeight="1">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spans="1:26" ht="15.75" customHeight="1">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spans="1:26" ht="15.75" customHeight="1">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spans="1:26" ht="15.75" customHeight="1">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spans="1:26" ht="15.75" customHeight="1">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spans="1:26" ht="15.75" customHeight="1">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spans="1:26" ht="15.75" customHeight="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spans="1:26" ht="15.75" customHeight="1">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spans="1:26" ht="15.75" customHeight="1">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spans="1:26" ht="15.75" customHeight="1">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spans="1:26" ht="15.75" customHeight="1">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spans="1:26" ht="15.75" customHeight="1">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spans="1:26" ht="15.75" customHeight="1">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spans="1:26" ht="15.75" customHeight="1">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spans="1:26" ht="15.75" customHeight="1">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spans="1:26" ht="15.75" customHeight="1">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spans="1:26" ht="15.75" customHeight="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spans="1:26" ht="15.75" customHeight="1">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spans="1:26" ht="15.75" customHeight="1">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spans="1:26" ht="15.75" customHeight="1">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spans="1:26" ht="15.75" customHeight="1">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spans="1:26" ht="15.75" customHeight="1">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spans="1:26" ht="15.75" customHeight="1">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spans="1:26" ht="15.75" customHeight="1">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spans="1:26" ht="15.75" customHeight="1">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spans="1:26" ht="15.75" customHeight="1">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spans="1:26" ht="15.75" customHeight="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spans="1:26" ht="15.75" customHeight="1">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spans="1:26" ht="15.75" customHeight="1">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spans="1:26" ht="15.75" customHeight="1">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spans="1:26" ht="15.75" customHeight="1">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spans="1:26" ht="15.75" customHeight="1">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spans="1:26" ht="15.75" customHeight="1">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spans="1:26" ht="15.75" customHeight="1">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spans="1:26" ht="15.75" customHeight="1">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spans="1:26" ht="15.75" customHeight="1">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spans="1:26" ht="15.75" customHeight="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spans="1:26" ht="15.75" customHeight="1">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spans="1:26" ht="15.75" customHeight="1">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spans="1:26" ht="15.75" customHeight="1">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spans="1:26" ht="15.75" customHeight="1">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spans="1:26" ht="15.75" customHeight="1"/>
    <row r="307" spans="1:26" ht="15.75" customHeight="1"/>
    <row r="308" spans="1:26" ht="15.75" customHeight="1"/>
    <row r="309" spans="1:26" ht="15.75" customHeight="1"/>
    <row r="310" spans="1:26" ht="15.75" customHeight="1"/>
    <row r="311" spans="1:26" ht="15.75" customHeight="1"/>
    <row r="312" spans="1:26" ht="15.75" customHeight="1"/>
    <row r="313" spans="1:26" ht="15.75" customHeight="1"/>
    <row r="314" spans="1:26" ht="15.75" customHeight="1"/>
    <row r="315" spans="1:26" ht="15.75" customHeight="1"/>
    <row r="316" spans="1:26" ht="15.75" customHeight="1"/>
    <row r="317" spans="1:26" ht="15.75" customHeight="1"/>
    <row r="318" spans="1:26" ht="15.75" customHeight="1"/>
    <row r="319" spans="1:26" ht="15.75" customHeight="1"/>
    <row r="320" spans="1:26"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9">
    <mergeCell ref="H4:J6"/>
    <mergeCell ref="A10:B10"/>
    <mergeCell ref="C10:J10"/>
    <mergeCell ref="A17:J17"/>
    <mergeCell ref="A19:J19"/>
    <mergeCell ref="A35:J37"/>
    <mergeCell ref="A60:J61"/>
    <mergeCell ref="A79:J79"/>
    <mergeCell ref="A83:J83"/>
    <mergeCell ref="A87:J87"/>
    <mergeCell ref="B91:J91"/>
    <mergeCell ref="A105:D114"/>
    <mergeCell ref="A63:J64"/>
    <mergeCell ref="A68:J68"/>
    <mergeCell ref="A69:J69"/>
    <mergeCell ref="A70:J70"/>
    <mergeCell ref="A71:J71"/>
    <mergeCell ref="A74:J74"/>
    <mergeCell ref="A75:J77"/>
  </mergeCells>
  <hyperlinks>
    <hyperlink ref="B5" r:id="rId1" xr:uid="{00000000-0004-0000-0000-000000000000}"/>
    <hyperlink ref="B6" r:id="rId2" xr:uid="{00000000-0004-0000-0000-000001000000}"/>
    <hyperlink ref="F30" r:id="rId3" xr:uid="{00000000-0004-0000-0000-000002000000}"/>
    <hyperlink ref="A79" r:id="rId4" xr:uid="{00000000-0004-0000-0000-000003000000}"/>
    <hyperlink ref="A85" r:id="rId5" location="gid=1882881703" xr:uid="{00000000-0004-0000-0000-000004000000}"/>
    <hyperlink ref="A105" r:id="rId6" xr:uid="{00000000-0004-0000-0000-000005000000}"/>
  </hyperlinks>
  <pageMargins left="0.7" right="0.7" top="0.75" bottom="0.75" header="0" footer="0"/>
  <pageSetup orientation="portrait"/>
  <drawing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B085"/>
    <outlinePr summaryBelow="0" summaryRight="0"/>
  </sheetPr>
  <dimension ref="A1:Y1000"/>
  <sheetViews>
    <sheetView tabSelected="1" topLeftCell="A15" workbookViewId="0">
      <selection activeCell="B11" sqref="B11"/>
    </sheetView>
  </sheetViews>
  <sheetFormatPr defaultColWidth="14.453125" defaultRowHeight="15" customHeight="1"/>
  <cols>
    <col min="1" max="1" width="55.26953125" customWidth="1"/>
    <col min="2" max="2" width="14" customWidth="1"/>
    <col min="3" max="3" width="21" customWidth="1"/>
    <col min="4" max="4" width="2.453125" customWidth="1"/>
    <col min="5" max="5" width="169.7265625" customWidth="1"/>
    <col min="6" max="8" width="14.453125" customWidth="1"/>
  </cols>
  <sheetData>
    <row r="1" spans="1:25" ht="8.25" customHeight="1">
      <c r="A1" s="52"/>
      <c r="B1" s="53"/>
      <c r="C1" s="54"/>
      <c r="D1" s="52"/>
      <c r="E1" s="52"/>
      <c r="F1" s="52"/>
      <c r="G1" s="49"/>
      <c r="H1" s="49"/>
      <c r="I1" s="49"/>
      <c r="J1" s="49"/>
      <c r="K1" s="49"/>
      <c r="L1" s="49"/>
      <c r="M1" s="49"/>
      <c r="N1" s="49"/>
      <c r="O1" s="49"/>
      <c r="P1" s="49"/>
      <c r="Q1" s="49"/>
      <c r="R1" s="49"/>
      <c r="S1" s="49"/>
      <c r="T1" s="49"/>
      <c r="U1" s="49"/>
      <c r="V1" s="49"/>
      <c r="W1" s="49"/>
      <c r="X1" s="49"/>
      <c r="Y1" s="49"/>
    </row>
    <row r="2" spans="1:25" ht="27" customHeight="1">
      <c r="A2" s="5" t="s">
        <v>69</v>
      </c>
      <c r="B2" s="55"/>
      <c r="C2" s="55"/>
      <c r="D2" s="55"/>
      <c r="E2" s="55"/>
      <c r="F2" s="55"/>
      <c r="G2" s="49"/>
      <c r="H2" s="49"/>
      <c r="I2" s="49"/>
      <c r="J2" s="49"/>
      <c r="K2" s="49"/>
      <c r="L2" s="49"/>
      <c r="M2" s="49"/>
      <c r="N2" s="49"/>
      <c r="O2" s="49"/>
      <c r="P2" s="49"/>
      <c r="Q2" s="49"/>
      <c r="R2" s="49"/>
      <c r="S2" s="49"/>
      <c r="T2" s="49"/>
      <c r="U2" s="49"/>
      <c r="V2" s="49"/>
      <c r="W2" s="49"/>
      <c r="X2" s="49"/>
      <c r="Y2" s="49"/>
    </row>
    <row r="3" spans="1:25" ht="15.75" customHeight="1">
      <c r="A3" s="49"/>
      <c r="B3" s="56"/>
      <c r="C3" s="57"/>
      <c r="D3" s="49"/>
      <c r="E3" s="49"/>
      <c r="F3" s="49"/>
      <c r="G3" s="49"/>
      <c r="H3" s="49"/>
      <c r="I3" s="49"/>
      <c r="J3" s="49"/>
      <c r="K3" s="49"/>
      <c r="L3" s="49"/>
      <c r="M3" s="49"/>
      <c r="N3" s="49"/>
      <c r="O3" s="49"/>
      <c r="P3" s="49"/>
      <c r="Q3" s="49"/>
      <c r="R3" s="49"/>
      <c r="S3" s="49"/>
      <c r="T3" s="49"/>
      <c r="U3" s="49"/>
      <c r="V3" s="49"/>
      <c r="W3" s="49"/>
      <c r="X3" s="49"/>
      <c r="Y3" s="49"/>
    </row>
    <row r="4" spans="1:25" ht="15.75" customHeight="1">
      <c r="A4" s="10" t="s">
        <v>70</v>
      </c>
      <c r="B4" s="58"/>
      <c r="C4" s="38"/>
      <c r="D4" s="12"/>
      <c r="E4" s="12"/>
      <c r="F4" s="49"/>
      <c r="G4" s="49"/>
      <c r="H4" s="49"/>
      <c r="I4" s="49"/>
      <c r="J4" s="49"/>
      <c r="K4" s="49"/>
      <c r="L4" s="49"/>
      <c r="M4" s="49"/>
      <c r="N4" s="49"/>
      <c r="O4" s="49"/>
      <c r="P4" s="49"/>
      <c r="Q4" s="49"/>
      <c r="R4" s="49"/>
      <c r="S4" s="49"/>
      <c r="T4" s="49"/>
      <c r="U4" s="49"/>
      <c r="V4" s="49"/>
      <c r="W4" s="49"/>
      <c r="X4" s="49"/>
      <c r="Y4" s="49"/>
    </row>
    <row r="5" spans="1:25" ht="15.75" customHeight="1">
      <c r="A5" s="59" t="s">
        <v>71</v>
      </c>
      <c r="B5" s="60"/>
      <c r="C5" s="61"/>
      <c r="D5" s="59"/>
      <c r="E5" s="12"/>
      <c r="F5" s="49"/>
      <c r="G5" s="49"/>
      <c r="H5" s="49"/>
      <c r="I5" s="49"/>
      <c r="J5" s="49"/>
      <c r="K5" s="49"/>
      <c r="L5" s="49"/>
      <c r="M5" s="49"/>
      <c r="N5" s="49"/>
      <c r="O5" s="49"/>
      <c r="P5" s="49"/>
      <c r="Q5" s="49"/>
      <c r="R5" s="49"/>
      <c r="S5" s="49"/>
      <c r="T5" s="49"/>
      <c r="U5" s="49"/>
      <c r="V5" s="49"/>
      <c r="W5" s="49"/>
      <c r="X5" s="49"/>
      <c r="Y5" s="49"/>
    </row>
    <row r="6" spans="1:25" ht="15.75" customHeight="1">
      <c r="A6" s="62" t="s">
        <v>72</v>
      </c>
      <c r="B6" s="63"/>
      <c r="C6" s="64"/>
      <c r="D6" s="62"/>
      <c r="E6" s="12"/>
      <c r="F6" s="49"/>
      <c r="G6" s="49"/>
      <c r="H6" s="49"/>
      <c r="I6" s="65"/>
      <c r="J6" s="65"/>
      <c r="K6" s="65"/>
      <c r="L6" s="65"/>
      <c r="M6" s="65"/>
      <c r="N6" s="65"/>
      <c r="O6" s="65"/>
      <c r="P6" s="65"/>
      <c r="Q6" s="65"/>
      <c r="R6" s="65"/>
      <c r="S6" s="65"/>
      <c r="T6" s="65"/>
      <c r="U6" s="65"/>
      <c r="V6" s="65"/>
      <c r="W6" s="65"/>
      <c r="X6" s="65"/>
      <c r="Y6" s="65"/>
    </row>
    <row r="7" spans="1:25" ht="15.75" customHeight="1">
      <c r="A7" s="36" t="s">
        <v>73</v>
      </c>
      <c r="B7" s="66"/>
      <c r="C7" s="67"/>
      <c r="D7" s="36"/>
      <c r="E7" s="12"/>
      <c r="F7" s="49"/>
      <c r="G7" s="49"/>
      <c r="H7" s="49"/>
      <c r="I7" s="49"/>
      <c r="J7" s="49"/>
      <c r="K7" s="49"/>
      <c r="L7" s="49"/>
      <c r="M7" s="49"/>
      <c r="N7" s="49"/>
      <c r="O7" s="49"/>
      <c r="P7" s="49"/>
      <c r="Q7" s="49"/>
      <c r="R7" s="49"/>
      <c r="S7" s="49"/>
      <c r="T7" s="49"/>
      <c r="U7" s="49"/>
      <c r="V7" s="49"/>
      <c r="W7" s="49"/>
      <c r="X7" s="49"/>
      <c r="Y7" s="49"/>
    </row>
    <row r="8" spans="1:25" ht="15.75" customHeight="1">
      <c r="A8" s="12"/>
      <c r="B8" s="68"/>
      <c r="C8" s="38"/>
      <c r="D8" s="12"/>
      <c r="E8" s="12"/>
      <c r="F8" s="49"/>
      <c r="G8" s="49"/>
      <c r="H8" s="49"/>
      <c r="I8" s="49"/>
      <c r="J8" s="49"/>
      <c r="K8" s="49"/>
      <c r="L8" s="49"/>
      <c r="M8" s="49"/>
      <c r="N8" s="49"/>
      <c r="O8" s="49"/>
      <c r="P8" s="49"/>
      <c r="Q8" s="49"/>
      <c r="R8" s="49"/>
      <c r="S8" s="49"/>
      <c r="T8" s="49"/>
      <c r="U8" s="49"/>
      <c r="V8" s="49"/>
      <c r="W8" s="49"/>
      <c r="X8" s="49"/>
      <c r="Y8" s="49"/>
    </row>
    <row r="9" spans="1:25" ht="15.75" customHeight="1">
      <c r="A9" s="69" t="s">
        <v>74</v>
      </c>
      <c r="B9" s="58" t="s">
        <v>75</v>
      </c>
      <c r="C9" s="70" t="s">
        <v>76</v>
      </c>
      <c r="D9" s="12"/>
      <c r="E9" s="34" t="s">
        <v>77</v>
      </c>
      <c r="F9" s="49"/>
      <c r="G9" s="49"/>
      <c r="H9" s="49"/>
      <c r="I9" s="49"/>
      <c r="J9" s="49"/>
      <c r="K9" s="49"/>
      <c r="L9" s="49"/>
      <c r="M9" s="49"/>
      <c r="N9" s="49"/>
      <c r="O9" s="49"/>
      <c r="P9" s="49"/>
      <c r="Q9" s="49"/>
      <c r="R9" s="49"/>
      <c r="S9" s="49"/>
      <c r="T9" s="49"/>
      <c r="U9" s="49"/>
      <c r="V9" s="49"/>
      <c r="W9" s="49"/>
      <c r="X9" s="49"/>
      <c r="Y9" s="49"/>
    </row>
    <row r="10" spans="1:25" ht="15.75" customHeight="1">
      <c r="A10" s="29" t="s">
        <v>78</v>
      </c>
      <c r="B10" s="71"/>
      <c r="C10" s="72"/>
      <c r="D10" s="32"/>
      <c r="E10" s="32"/>
      <c r="F10" s="73"/>
      <c r="G10" s="49"/>
      <c r="H10" s="49"/>
      <c r="I10" s="49"/>
      <c r="J10" s="49"/>
      <c r="K10" s="49"/>
      <c r="L10" s="49"/>
      <c r="M10" s="49"/>
      <c r="N10" s="49"/>
      <c r="O10" s="49"/>
      <c r="P10" s="49"/>
      <c r="Q10" s="49"/>
      <c r="R10" s="49"/>
      <c r="S10" s="49"/>
      <c r="T10" s="49"/>
      <c r="U10" s="49"/>
      <c r="V10" s="49"/>
      <c r="W10" s="49"/>
      <c r="X10" s="49"/>
      <c r="Y10" s="49"/>
    </row>
    <row r="11" spans="1:25" ht="15.75" customHeight="1">
      <c r="A11" s="74" t="s">
        <v>79</v>
      </c>
      <c r="B11" s="75" t="s">
        <v>264</v>
      </c>
      <c r="C11" s="61"/>
      <c r="D11" s="12"/>
      <c r="E11" s="22" t="s">
        <v>81</v>
      </c>
      <c r="F11" s="49"/>
      <c r="G11" s="49"/>
      <c r="H11" s="49"/>
      <c r="I11" s="49"/>
      <c r="J11" s="49"/>
      <c r="K11" s="49"/>
      <c r="L11" s="49"/>
      <c r="M11" s="49"/>
      <c r="N11" s="49"/>
      <c r="O11" s="49"/>
      <c r="P11" s="49"/>
      <c r="Q11" s="49"/>
      <c r="R11" s="49"/>
      <c r="S11" s="49"/>
      <c r="T11" s="49"/>
      <c r="U11" s="49"/>
      <c r="V11" s="49"/>
      <c r="W11" s="49"/>
      <c r="X11" s="49"/>
      <c r="Y11" s="49"/>
    </row>
    <row r="12" spans="1:25" ht="15.75" customHeight="1">
      <c r="A12" s="74" t="s">
        <v>82</v>
      </c>
      <c r="B12" s="75" t="s">
        <v>402</v>
      </c>
      <c r="C12" s="61"/>
      <c r="D12" s="12"/>
      <c r="E12" s="10" t="s">
        <v>84</v>
      </c>
      <c r="F12" s="49"/>
      <c r="G12" s="49"/>
      <c r="H12" s="49"/>
      <c r="I12" s="49"/>
      <c r="J12" s="49"/>
      <c r="K12" s="49"/>
      <c r="L12" s="49"/>
      <c r="M12" s="49"/>
      <c r="N12" s="49"/>
      <c r="O12" s="49"/>
      <c r="P12" s="49"/>
      <c r="Q12" s="49"/>
      <c r="R12" s="49"/>
      <c r="S12" s="49"/>
      <c r="T12" s="49"/>
      <c r="U12" s="49"/>
      <c r="V12" s="49"/>
      <c r="W12" s="49"/>
      <c r="X12" s="49"/>
      <c r="Y12" s="49"/>
    </row>
    <row r="13" spans="1:25" ht="15.75" customHeight="1">
      <c r="A13" s="74" t="s">
        <v>85</v>
      </c>
      <c r="B13" s="76">
        <v>5500</v>
      </c>
      <c r="C13" s="61" t="s">
        <v>86</v>
      </c>
      <c r="D13" s="12"/>
      <c r="E13" s="10"/>
      <c r="F13" s="49"/>
      <c r="G13" s="49"/>
      <c r="H13" s="49"/>
      <c r="I13" s="49"/>
      <c r="J13" s="49"/>
      <c r="K13" s="49"/>
      <c r="L13" s="49"/>
      <c r="M13" s="49"/>
      <c r="N13" s="49"/>
      <c r="O13" s="49"/>
      <c r="P13" s="49"/>
      <c r="Q13" s="49"/>
      <c r="R13" s="49"/>
      <c r="S13" s="49"/>
      <c r="T13" s="49"/>
      <c r="U13" s="49"/>
      <c r="V13" s="49"/>
      <c r="W13" s="49"/>
      <c r="X13" s="49"/>
      <c r="Y13" s="49"/>
    </row>
    <row r="14" spans="1:25" ht="15.75" customHeight="1">
      <c r="A14" s="74" t="s">
        <v>87</v>
      </c>
      <c r="B14" s="76">
        <v>9</v>
      </c>
      <c r="C14" s="61" t="s">
        <v>88</v>
      </c>
      <c r="D14" s="12"/>
      <c r="E14" s="10"/>
      <c r="F14" s="49"/>
      <c r="G14" s="49"/>
      <c r="H14" s="49"/>
      <c r="I14" s="49"/>
      <c r="J14" s="49"/>
      <c r="K14" s="49"/>
      <c r="L14" s="49"/>
      <c r="M14" s="49"/>
      <c r="N14" s="49"/>
      <c r="O14" s="49"/>
      <c r="P14" s="49"/>
      <c r="Q14" s="49"/>
      <c r="R14" s="49"/>
      <c r="S14" s="49"/>
      <c r="T14" s="49"/>
      <c r="U14" s="49"/>
      <c r="V14" s="49"/>
      <c r="W14" s="49"/>
      <c r="X14" s="49"/>
      <c r="Y14" s="49"/>
    </row>
    <row r="15" spans="1:25" ht="15.75" customHeight="1">
      <c r="A15" s="59" t="s">
        <v>89</v>
      </c>
      <c r="B15" s="76">
        <v>28</v>
      </c>
      <c r="C15" s="61" t="s">
        <v>90</v>
      </c>
      <c r="D15" s="10"/>
      <c r="E15" s="10"/>
      <c r="F15" s="49"/>
      <c r="G15" s="49"/>
      <c r="H15" s="49"/>
      <c r="I15" s="49"/>
      <c r="J15" s="49"/>
      <c r="K15" s="49"/>
      <c r="L15" s="49"/>
      <c r="M15" s="49"/>
      <c r="N15" s="49"/>
      <c r="O15" s="49"/>
      <c r="P15" s="49"/>
      <c r="Q15" s="49"/>
      <c r="R15" s="49"/>
      <c r="S15" s="49"/>
      <c r="T15" s="49"/>
      <c r="U15" s="49"/>
      <c r="V15" s="49"/>
      <c r="W15" s="49"/>
      <c r="X15" s="49"/>
      <c r="Y15" s="49"/>
    </row>
    <row r="16" spans="1:25" ht="15.75" customHeight="1">
      <c r="A16" s="59" t="s">
        <v>91</v>
      </c>
      <c r="B16" s="76">
        <v>5000</v>
      </c>
      <c r="C16" s="77" t="s">
        <v>92</v>
      </c>
      <c r="D16" s="12"/>
      <c r="E16" s="10" t="s">
        <v>93</v>
      </c>
      <c r="F16" s="49"/>
      <c r="G16" s="49"/>
      <c r="H16" s="49"/>
      <c r="I16" s="49"/>
      <c r="J16" s="49"/>
      <c r="K16" s="49"/>
      <c r="L16" s="49"/>
      <c r="M16" s="49"/>
      <c r="N16" s="49"/>
      <c r="O16" s="49"/>
      <c r="P16" s="49"/>
      <c r="Q16" s="49"/>
      <c r="R16" s="49"/>
      <c r="S16" s="49"/>
      <c r="T16" s="49"/>
      <c r="U16" s="49"/>
      <c r="V16" s="49"/>
      <c r="W16" s="49"/>
      <c r="X16" s="49"/>
      <c r="Y16" s="49"/>
    </row>
    <row r="17" spans="1:25" ht="15.75" customHeight="1">
      <c r="A17" s="78" t="s">
        <v>94</v>
      </c>
      <c r="B17" s="79">
        <v>0.75</v>
      </c>
      <c r="C17" s="64"/>
      <c r="D17" s="10"/>
      <c r="E17" s="10" t="s">
        <v>95</v>
      </c>
      <c r="F17" s="49"/>
      <c r="G17" s="49"/>
      <c r="H17" s="49"/>
      <c r="I17" s="49"/>
      <c r="J17" s="49"/>
      <c r="K17" s="49"/>
      <c r="L17" s="49"/>
      <c r="M17" s="49"/>
      <c r="N17" s="49"/>
      <c r="O17" s="49"/>
      <c r="P17" s="49"/>
      <c r="Q17" s="49"/>
      <c r="R17" s="49"/>
      <c r="S17" s="49"/>
      <c r="T17" s="49"/>
      <c r="U17" s="49"/>
      <c r="V17" s="49"/>
      <c r="W17" s="49"/>
      <c r="X17" s="49"/>
      <c r="Y17" s="49"/>
    </row>
    <row r="18" spans="1:25" ht="75.75" customHeight="1">
      <c r="A18" s="80" t="s">
        <v>96</v>
      </c>
      <c r="B18" s="75" t="s">
        <v>97</v>
      </c>
      <c r="C18" s="81"/>
      <c r="D18" s="10"/>
      <c r="E18" s="31" t="s">
        <v>98</v>
      </c>
      <c r="F18" s="49"/>
      <c r="G18" s="49"/>
      <c r="H18" s="49"/>
      <c r="I18" s="49"/>
      <c r="J18" s="49"/>
      <c r="K18" s="49"/>
      <c r="L18" s="49"/>
      <c r="M18" s="49"/>
      <c r="N18" s="49"/>
      <c r="O18" s="49"/>
      <c r="P18" s="49"/>
      <c r="Q18" s="49"/>
      <c r="R18" s="49"/>
      <c r="S18" s="49"/>
      <c r="T18" s="49"/>
      <c r="U18" s="49"/>
      <c r="V18" s="49"/>
      <c r="W18" s="49"/>
      <c r="X18" s="49"/>
      <c r="Y18" s="49"/>
    </row>
    <row r="19" spans="1:25" ht="15.75" customHeight="1">
      <c r="A19" s="62" t="s">
        <v>99</v>
      </c>
      <c r="B19" s="82">
        <f>IF(B18="VRP",
    (B15*VLOOKUP(B12,'Table 3 - ASHRAE 62.1 OA Rates'!$A$3:$C$82,2,0)+B13*VLOOKUP(B12,'Table 3 - ASHRAE 62.1 OA Rates'!$A$3:$C$82,3,0))/B17,
     IF(B18="VRP+30%",
        ((B15*VLOOKUP(B12,'Table 3 - ASHRAE 62.1 OA Rates'!$A$3:$C$82,2,0)+B13*VLOOKUP(B12,'Table 3 - ASHRAE 62.1 OA Rates'!$A$3:$C$82,3,0))/B17)*1.3,
        IF(B18="IAQP",
             B13*0.05,
             IF(B18="100% OA",B16,"Enter Value"))))</f>
        <v>1600</v>
      </c>
      <c r="C19" s="83" t="s">
        <v>92</v>
      </c>
      <c r="D19" s="84"/>
      <c r="E19" s="10" t="s">
        <v>100</v>
      </c>
      <c r="F19" s="49"/>
      <c r="G19" s="49"/>
      <c r="H19" s="49"/>
      <c r="I19" s="49"/>
      <c r="J19" s="49"/>
      <c r="K19" s="49"/>
      <c r="L19" s="49"/>
      <c r="M19" s="49"/>
      <c r="N19" s="49"/>
      <c r="O19" s="49"/>
      <c r="P19" s="49"/>
      <c r="Q19" s="49"/>
      <c r="R19" s="49"/>
      <c r="S19" s="49"/>
      <c r="T19" s="49"/>
      <c r="U19" s="49"/>
      <c r="V19" s="49"/>
      <c r="W19" s="49"/>
      <c r="X19" s="49"/>
      <c r="Y19" s="49"/>
    </row>
    <row r="20" spans="1:25" ht="13.5" customHeight="1">
      <c r="A20" s="62" t="s">
        <v>101</v>
      </c>
      <c r="B20" s="79">
        <f>(B19/(B13*B14))*60</f>
        <v>1.9393939393939394</v>
      </c>
      <c r="C20" s="83" t="s">
        <v>102</v>
      </c>
      <c r="D20" s="84"/>
      <c r="E20" s="10" t="s">
        <v>103</v>
      </c>
      <c r="F20" s="49"/>
      <c r="G20" s="49"/>
      <c r="H20" s="49"/>
      <c r="I20" s="49"/>
      <c r="J20" s="49"/>
      <c r="K20" s="49"/>
      <c r="L20" s="49"/>
      <c r="M20" s="49"/>
      <c r="N20" s="49"/>
      <c r="O20" s="49"/>
      <c r="P20" s="49"/>
      <c r="Q20" s="49"/>
      <c r="R20" s="49"/>
      <c r="S20" s="49"/>
      <c r="T20" s="49"/>
      <c r="U20" s="49"/>
      <c r="V20" s="49"/>
      <c r="W20" s="49"/>
      <c r="X20" s="49"/>
      <c r="Y20" s="49"/>
    </row>
    <row r="21" spans="1:25" ht="13.5" customHeight="1">
      <c r="A21" s="84"/>
      <c r="B21" s="84"/>
      <c r="C21" s="84"/>
      <c r="D21" s="84"/>
      <c r="E21" s="10"/>
      <c r="F21" s="49"/>
      <c r="G21" s="49"/>
      <c r="H21" s="49"/>
      <c r="I21" s="49"/>
      <c r="J21" s="49"/>
      <c r="K21" s="49"/>
      <c r="L21" s="49"/>
      <c r="M21" s="49"/>
      <c r="N21" s="49"/>
      <c r="O21" s="49"/>
      <c r="P21" s="49"/>
      <c r="Q21" s="49"/>
      <c r="R21" s="49"/>
      <c r="S21" s="49"/>
      <c r="T21" s="49"/>
      <c r="U21" s="49"/>
      <c r="V21" s="49"/>
      <c r="W21" s="49"/>
      <c r="X21" s="49"/>
      <c r="Y21" s="49"/>
    </row>
    <row r="22" spans="1:25" ht="15.75" customHeight="1">
      <c r="A22" s="29" t="s">
        <v>104</v>
      </c>
      <c r="B22" s="71"/>
      <c r="C22" s="72"/>
      <c r="D22" s="32"/>
      <c r="E22" s="32"/>
      <c r="F22" s="73"/>
      <c r="G22" s="49"/>
      <c r="H22" s="49"/>
      <c r="I22" s="49"/>
      <c r="J22" s="49"/>
      <c r="K22" s="49"/>
      <c r="L22" s="49"/>
      <c r="M22" s="49"/>
      <c r="N22" s="49"/>
      <c r="O22" s="49"/>
      <c r="P22" s="49"/>
      <c r="Q22" s="49"/>
      <c r="R22" s="49"/>
      <c r="S22" s="49"/>
      <c r="T22" s="49"/>
      <c r="U22" s="49"/>
      <c r="V22" s="49"/>
      <c r="W22" s="49"/>
      <c r="X22" s="49"/>
      <c r="Y22" s="49"/>
    </row>
    <row r="23" spans="1:25" ht="15.75" customHeight="1">
      <c r="A23" s="74" t="s">
        <v>105</v>
      </c>
      <c r="B23" s="75" t="s">
        <v>106</v>
      </c>
      <c r="C23" s="61"/>
      <c r="D23" s="12"/>
      <c r="E23" s="10" t="s">
        <v>107</v>
      </c>
      <c r="F23" s="49"/>
      <c r="G23" s="49"/>
      <c r="H23" s="49"/>
      <c r="I23" s="49"/>
      <c r="J23" s="49"/>
      <c r="K23" s="49"/>
      <c r="L23" s="49"/>
      <c r="M23" s="49"/>
      <c r="N23" s="49"/>
      <c r="O23" s="49"/>
      <c r="P23" s="49"/>
      <c r="Q23" s="49"/>
      <c r="R23" s="49"/>
      <c r="S23" s="49"/>
      <c r="T23" s="49"/>
      <c r="U23" s="49"/>
      <c r="V23" s="49"/>
      <c r="W23" s="49"/>
      <c r="X23" s="49"/>
      <c r="Y23" s="49"/>
    </row>
    <row r="24" spans="1:25" ht="15.75" customHeight="1">
      <c r="A24" s="74" t="s">
        <v>108</v>
      </c>
      <c r="B24" s="75" t="s">
        <v>109</v>
      </c>
      <c r="C24" s="61"/>
      <c r="D24" s="12"/>
      <c r="E24" s="10" t="s">
        <v>110</v>
      </c>
      <c r="F24" s="49"/>
      <c r="G24" s="49"/>
      <c r="H24" s="49"/>
      <c r="I24" s="49"/>
      <c r="J24" s="49"/>
      <c r="K24" s="49"/>
      <c r="L24" s="49"/>
      <c r="M24" s="49"/>
      <c r="N24" s="49"/>
      <c r="O24" s="49"/>
      <c r="P24" s="49"/>
      <c r="Q24" s="49"/>
      <c r="R24" s="49"/>
      <c r="S24" s="49"/>
      <c r="T24" s="49"/>
      <c r="U24" s="49"/>
      <c r="V24" s="49"/>
      <c r="W24" s="49"/>
      <c r="X24" s="49"/>
      <c r="Y24" s="49"/>
    </row>
    <row r="25" spans="1:25" ht="15.75" customHeight="1">
      <c r="A25" s="74" t="s">
        <v>111</v>
      </c>
      <c r="B25" s="75">
        <v>12</v>
      </c>
      <c r="C25" s="61" t="s">
        <v>112</v>
      </c>
      <c r="D25" s="10"/>
      <c r="E25" s="297" t="s">
        <v>113</v>
      </c>
      <c r="F25" s="49"/>
      <c r="G25" s="49"/>
      <c r="H25" s="49"/>
      <c r="I25" s="49"/>
      <c r="J25" s="49"/>
      <c r="K25" s="49"/>
      <c r="L25" s="49"/>
      <c r="M25" s="49"/>
      <c r="N25" s="49"/>
      <c r="O25" s="49"/>
      <c r="P25" s="49"/>
      <c r="Q25" s="49"/>
      <c r="R25" s="49"/>
      <c r="S25" s="49"/>
      <c r="T25" s="49"/>
      <c r="U25" s="49"/>
      <c r="V25" s="49"/>
      <c r="W25" s="49"/>
      <c r="X25" s="49"/>
      <c r="Y25" s="49"/>
    </row>
    <row r="26" spans="1:25" ht="15.75" customHeight="1">
      <c r="A26" s="74" t="s">
        <v>114</v>
      </c>
      <c r="B26" s="75">
        <v>6</v>
      </c>
      <c r="C26" s="61" t="s">
        <v>115</v>
      </c>
      <c r="D26" s="10"/>
      <c r="E26" s="276"/>
      <c r="F26" s="49"/>
      <c r="G26" s="49"/>
      <c r="H26" s="49"/>
      <c r="I26" s="49"/>
      <c r="J26" s="49"/>
      <c r="K26" s="49"/>
      <c r="L26" s="49"/>
      <c r="M26" s="49"/>
      <c r="N26" s="49"/>
      <c r="O26" s="49"/>
      <c r="P26" s="49"/>
      <c r="Q26" s="49"/>
      <c r="R26" s="49"/>
      <c r="S26" s="49"/>
      <c r="T26" s="49"/>
      <c r="U26" s="49"/>
      <c r="V26" s="49"/>
      <c r="W26" s="49"/>
      <c r="X26" s="49"/>
      <c r="Y26" s="49"/>
    </row>
    <row r="27" spans="1:25" ht="15.75" customHeight="1">
      <c r="A27" s="78" t="s">
        <v>116</v>
      </c>
      <c r="B27" s="79">
        <f>B25*B26</f>
        <v>72</v>
      </c>
      <c r="C27" s="64" t="s">
        <v>117</v>
      </c>
      <c r="D27" s="10"/>
      <c r="E27" s="276"/>
      <c r="F27" s="49"/>
      <c r="G27" s="49"/>
      <c r="H27" s="49"/>
      <c r="I27" s="49"/>
      <c r="J27" s="49"/>
      <c r="K27" s="49"/>
      <c r="L27" s="49"/>
      <c r="M27" s="49"/>
      <c r="N27" s="49"/>
      <c r="O27" s="49"/>
      <c r="P27" s="49"/>
      <c r="Q27" s="49"/>
      <c r="R27" s="49"/>
      <c r="S27" s="49"/>
      <c r="T27" s="49"/>
      <c r="U27" s="49"/>
      <c r="V27" s="49"/>
      <c r="W27" s="49"/>
      <c r="X27" s="49"/>
      <c r="Y27" s="49"/>
    </row>
    <row r="28" spans="1:25" ht="15.75" customHeight="1">
      <c r="A28" s="78" t="s">
        <v>118</v>
      </c>
      <c r="B28" s="79">
        <v>3</v>
      </c>
      <c r="C28" s="64"/>
      <c r="D28" s="10"/>
      <c r="E28" s="276"/>
      <c r="F28" s="49"/>
      <c r="G28" s="49"/>
      <c r="H28" s="49"/>
      <c r="I28" s="49"/>
      <c r="J28" s="49"/>
      <c r="K28" s="49"/>
      <c r="L28" s="49"/>
      <c r="M28" s="49"/>
      <c r="N28" s="49"/>
      <c r="O28" s="49"/>
      <c r="P28" s="49"/>
      <c r="Q28" s="49"/>
      <c r="R28" s="49"/>
      <c r="S28" s="49"/>
      <c r="T28" s="49"/>
      <c r="U28" s="49"/>
      <c r="V28" s="49"/>
      <c r="W28" s="49"/>
      <c r="X28" s="49"/>
      <c r="Y28" s="49"/>
    </row>
    <row r="29" spans="1:25" ht="15.75" customHeight="1">
      <c r="A29" s="78" t="s">
        <v>119</v>
      </c>
      <c r="B29" s="79">
        <v>1</v>
      </c>
      <c r="C29" s="64"/>
      <c r="D29" s="10"/>
      <c r="E29" s="276"/>
      <c r="F29" s="49"/>
      <c r="G29" s="49"/>
      <c r="H29" s="49"/>
      <c r="I29" s="49"/>
      <c r="J29" s="49"/>
      <c r="K29" s="49"/>
      <c r="L29" s="49"/>
      <c r="M29" s="49"/>
      <c r="N29" s="49"/>
      <c r="O29" s="49"/>
      <c r="P29" s="49"/>
      <c r="Q29" s="49"/>
      <c r="R29" s="49"/>
      <c r="S29" s="49"/>
      <c r="T29" s="49"/>
      <c r="U29" s="49"/>
      <c r="V29" s="49"/>
      <c r="W29" s="49"/>
      <c r="X29" s="49"/>
      <c r="Y29" s="49"/>
    </row>
    <row r="30" spans="1:25" ht="15.75" customHeight="1">
      <c r="A30" s="74" t="s">
        <v>120</v>
      </c>
      <c r="B30" s="75">
        <f>VLOOKUP(B11,'Table 1 - Operational Info'!$B$5:$N$24,4,0)</f>
        <v>0.13457776509291119</v>
      </c>
      <c r="C30" s="85" t="s">
        <v>121</v>
      </c>
      <c r="D30" s="12"/>
      <c r="E30" s="26" t="s">
        <v>122</v>
      </c>
      <c r="F30" s="49"/>
      <c r="G30" s="49"/>
      <c r="H30" s="49"/>
      <c r="I30" s="49"/>
      <c r="J30" s="49"/>
      <c r="K30" s="49"/>
      <c r="L30" s="49"/>
      <c r="M30" s="49"/>
      <c r="N30" s="49"/>
      <c r="O30" s="49"/>
      <c r="P30" s="49"/>
      <c r="Q30" s="49"/>
      <c r="R30" s="49"/>
      <c r="S30" s="49"/>
      <c r="T30" s="49"/>
      <c r="U30" s="49"/>
      <c r="V30" s="49"/>
      <c r="W30" s="49"/>
      <c r="X30" s="49"/>
      <c r="Y30" s="49"/>
    </row>
    <row r="31" spans="1:25" ht="15.75" customHeight="1">
      <c r="A31" s="74" t="s">
        <v>123</v>
      </c>
      <c r="B31" s="75">
        <f>IF(B24="Electricity",((VLOOKUP(B11,'Table 1 - Operational Info'!$B$5:$N$24,4,0))),IF(B24="Steam",((VLOOKUP(B11,'Table 1 - Operational Info'!$B$5:$N$24,11,0))),((VLOOKUP(B11,'Table 1 - Operational Info'!$B$5:$N$24,10,0)))))</f>
        <v>0.76465764657646573</v>
      </c>
      <c r="C31" s="85" t="str">
        <f>IF($B$24="Electricity","$/kWh (blended)",IF($B$24="Steam","$/mmBTU","$/therm"))</f>
        <v>$/therm</v>
      </c>
      <c r="D31" s="12"/>
      <c r="E31" s="26" t="s">
        <v>122</v>
      </c>
      <c r="F31" s="49"/>
      <c r="G31" s="49"/>
      <c r="H31" s="49"/>
      <c r="I31" s="49"/>
      <c r="J31" s="49"/>
      <c r="K31" s="49"/>
      <c r="L31" s="49"/>
      <c r="M31" s="49"/>
      <c r="N31" s="49"/>
      <c r="O31" s="49"/>
      <c r="P31" s="49"/>
      <c r="Q31" s="49"/>
      <c r="R31" s="49"/>
      <c r="S31" s="49"/>
      <c r="T31" s="49"/>
      <c r="U31" s="49"/>
      <c r="V31" s="49"/>
      <c r="W31" s="49"/>
      <c r="X31" s="49"/>
      <c r="Y31" s="49"/>
    </row>
    <row r="32" spans="1:25" ht="15.75" customHeight="1">
      <c r="A32" s="12"/>
      <c r="B32" s="68"/>
      <c r="C32" s="38"/>
      <c r="D32" s="12"/>
      <c r="E32" s="12"/>
      <c r="F32" s="49"/>
      <c r="G32" s="49"/>
      <c r="H32" s="49"/>
      <c r="I32" s="49"/>
      <c r="J32" s="49"/>
      <c r="K32" s="49"/>
      <c r="L32" s="49"/>
      <c r="M32" s="49"/>
      <c r="N32" s="49"/>
      <c r="O32" s="49"/>
      <c r="P32" s="49"/>
      <c r="Q32" s="49"/>
      <c r="R32" s="49"/>
      <c r="S32" s="49"/>
      <c r="T32" s="49"/>
      <c r="U32" s="49"/>
      <c r="V32" s="49"/>
      <c r="W32" s="49"/>
      <c r="X32" s="49"/>
      <c r="Y32" s="49"/>
    </row>
    <row r="33" spans="1:25" ht="15.75" customHeight="1">
      <c r="A33" s="29" t="s">
        <v>124</v>
      </c>
      <c r="B33" s="71"/>
      <c r="C33" s="72"/>
      <c r="D33" s="32"/>
      <c r="E33" s="32"/>
      <c r="F33" s="73"/>
      <c r="G33" s="49"/>
      <c r="H33" s="49"/>
      <c r="I33" s="49"/>
      <c r="J33" s="49"/>
      <c r="K33" s="49"/>
      <c r="L33" s="49"/>
      <c r="M33" s="49"/>
      <c r="N33" s="49"/>
      <c r="O33" s="49"/>
      <c r="P33" s="49"/>
      <c r="Q33" s="49"/>
      <c r="R33" s="49"/>
      <c r="S33" s="49"/>
      <c r="T33" s="49"/>
      <c r="U33" s="49"/>
      <c r="V33" s="49"/>
      <c r="W33" s="49"/>
      <c r="X33" s="49"/>
      <c r="Y33" s="49"/>
    </row>
    <row r="34" spans="1:25" ht="15.75" customHeight="1">
      <c r="A34" s="74" t="s">
        <v>125</v>
      </c>
      <c r="B34" s="75" t="s">
        <v>126</v>
      </c>
      <c r="C34" s="61"/>
      <c r="D34" s="86"/>
      <c r="E34" s="10"/>
      <c r="F34" s="49"/>
      <c r="G34" s="49"/>
      <c r="H34" s="49"/>
      <c r="I34" s="49"/>
      <c r="J34" s="49"/>
      <c r="K34" s="49"/>
      <c r="L34" s="49"/>
      <c r="M34" s="49"/>
      <c r="N34" s="49"/>
      <c r="O34" s="49"/>
      <c r="P34" s="49"/>
      <c r="Q34" s="49"/>
      <c r="R34" s="49"/>
      <c r="S34" s="49"/>
      <c r="T34" s="49"/>
      <c r="U34" s="49"/>
      <c r="V34" s="49"/>
      <c r="W34" s="49"/>
      <c r="X34" s="49"/>
      <c r="Y34" s="49"/>
    </row>
    <row r="35" spans="1:25" ht="15.75" customHeight="1">
      <c r="A35" s="74" t="s">
        <v>127</v>
      </c>
      <c r="B35" s="75">
        <f>IF(B34="No",0,"Enter Value")</f>
        <v>0</v>
      </c>
      <c r="C35" s="61"/>
      <c r="D35" s="12"/>
      <c r="E35" s="10" t="s">
        <v>128</v>
      </c>
      <c r="F35" s="49"/>
      <c r="G35" s="49"/>
      <c r="H35" s="49"/>
      <c r="I35" s="49"/>
      <c r="J35" s="49"/>
      <c r="K35" s="49"/>
      <c r="L35" s="49"/>
      <c r="M35" s="49"/>
      <c r="N35" s="49"/>
      <c r="O35" s="49"/>
      <c r="P35" s="49"/>
      <c r="Q35" s="49"/>
      <c r="R35" s="49"/>
      <c r="S35" s="49"/>
      <c r="T35" s="49"/>
      <c r="U35" s="49"/>
      <c r="V35" s="49"/>
      <c r="W35" s="49"/>
      <c r="X35" s="49"/>
      <c r="Y35" s="49"/>
    </row>
    <row r="36" spans="1:25" ht="15.75" customHeight="1">
      <c r="A36" s="74" t="s">
        <v>129</v>
      </c>
      <c r="B36" s="75">
        <f>IF(B34="No",0,"Enter Value")</f>
        <v>0</v>
      </c>
      <c r="C36" s="61"/>
      <c r="D36" s="12"/>
      <c r="E36" s="10" t="s">
        <v>128</v>
      </c>
      <c r="F36" s="49"/>
      <c r="G36" s="49"/>
      <c r="H36" s="49"/>
      <c r="I36" s="49"/>
      <c r="J36" s="49"/>
      <c r="K36" s="49"/>
      <c r="L36" s="49"/>
      <c r="M36" s="49"/>
      <c r="N36" s="49"/>
      <c r="O36" s="49"/>
      <c r="P36" s="49"/>
      <c r="Q36" s="49"/>
      <c r="R36" s="49"/>
      <c r="S36" s="49"/>
      <c r="T36" s="49"/>
      <c r="U36" s="49"/>
      <c r="V36" s="49"/>
      <c r="W36" s="49"/>
      <c r="X36" s="49"/>
      <c r="Y36" s="49"/>
    </row>
    <row r="37" spans="1:25" ht="15.75" customHeight="1">
      <c r="A37" s="12"/>
      <c r="B37" s="12"/>
      <c r="C37" s="12"/>
      <c r="D37" s="12"/>
      <c r="E37" s="12"/>
      <c r="F37" s="49"/>
      <c r="G37" s="49"/>
      <c r="H37" s="49"/>
      <c r="I37" s="49"/>
      <c r="J37" s="49"/>
      <c r="K37" s="49"/>
      <c r="L37" s="49"/>
      <c r="M37" s="49"/>
      <c r="N37" s="49"/>
      <c r="O37" s="49"/>
      <c r="P37" s="49"/>
      <c r="Q37" s="49"/>
      <c r="R37" s="49"/>
      <c r="S37" s="49"/>
      <c r="T37" s="49"/>
      <c r="U37" s="49"/>
      <c r="V37" s="49"/>
      <c r="W37" s="49"/>
      <c r="X37" s="49"/>
      <c r="Y37" s="49"/>
    </row>
    <row r="38" spans="1:25" ht="15.75" customHeight="1">
      <c r="A38" s="29" t="s">
        <v>130</v>
      </c>
      <c r="B38" s="71"/>
      <c r="C38" s="72"/>
      <c r="D38" s="32"/>
      <c r="E38" s="32"/>
      <c r="F38" s="73"/>
      <c r="G38" s="49"/>
      <c r="H38" s="49"/>
      <c r="I38" s="49"/>
      <c r="J38" s="49"/>
      <c r="K38" s="49"/>
      <c r="L38" s="49"/>
      <c r="M38" s="49"/>
      <c r="N38" s="49"/>
      <c r="O38" s="49"/>
      <c r="P38" s="49"/>
      <c r="Q38" s="49"/>
      <c r="R38" s="49"/>
      <c r="S38" s="49"/>
      <c r="T38" s="49"/>
      <c r="U38" s="49"/>
      <c r="V38" s="49"/>
      <c r="W38" s="49"/>
      <c r="X38" s="49"/>
      <c r="Y38" s="49"/>
    </row>
    <row r="39" spans="1:25" ht="15.75" customHeight="1">
      <c r="A39" s="74" t="s">
        <v>131</v>
      </c>
      <c r="B39" s="87" t="s">
        <v>132</v>
      </c>
      <c r="C39" s="61"/>
      <c r="D39" s="12"/>
      <c r="E39" s="10"/>
      <c r="F39" s="49"/>
      <c r="G39" s="49"/>
      <c r="H39" s="49"/>
      <c r="I39" s="49"/>
      <c r="J39" s="49"/>
      <c r="K39" s="49"/>
      <c r="L39" s="49"/>
      <c r="M39" s="49"/>
      <c r="N39" s="49"/>
      <c r="O39" s="49"/>
      <c r="P39" s="49"/>
      <c r="Q39" s="49"/>
      <c r="R39" s="49"/>
      <c r="S39" s="49"/>
      <c r="T39" s="49"/>
      <c r="U39" s="49"/>
      <c r="V39" s="49"/>
      <c r="W39" s="49"/>
      <c r="X39" s="49"/>
      <c r="Y39" s="49"/>
    </row>
    <row r="40" spans="1:25" ht="15.75" customHeight="1">
      <c r="A40" s="74" t="s">
        <v>133</v>
      </c>
      <c r="B40" s="75" t="s">
        <v>311</v>
      </c>
      <c r="C40" s="77"/>
      <c r="D40" s="12"/>
      <c r="E40" s="10" t="s">
        <v>135</v>
      </c>
      <c r="F40" s="49"/>
      <c r="G40" s="49"/>
      <c r="H40" s="49"/>
      <c r="I40" s="49"/>
      <c r="J40" s="49"/>
      <c r="K40" s="49"/>
      <c r="L40" s="49"/>
      <c r="M40" s="49"/>
      <c r="N40" s="49"/>
      <c r="O40" s="49"/>
      <c r="P40" s="49"/>
      <c r="Q40" s="49"/>
      <c r="R40" s="49"/>
      <c r="S40" s="49"/>
      <c r="T40" s="49"/>
      <c r="U40" s="49"/>
      <c r="V40" s="49"/>
      <c r="W40" s="49"/>
      <c r="X40" s="49"/>
      <c r="Y40" s="49"/>
    </row>
    <row r="41" spans="1:25" ht="15.75" customHeight="1">
      <c r="A41" s="62" t="s">
        <v>136</v>
      </c>
      <c r="B41" s="88">
        <f>VLOOKUP(B40,'Table 2 - Filtration Info'!$B$3:$H$11,6,0)</f>
        <v>0.63092805000000007</v>
      </c>
      <c r="C41" s="83" t="s">
        <v>137</v>
      </c>
      <c r="D41" s="86"/>
      <c r="E41" s="22" t="s">
        <v>138</v>
      </c>
      <c r="F41" s="49"/>
      <c r="G41" s="49"/>
      <c r="H41" s="49"/>
      <c r="I41" s="49"/>
      <c r="J41" s="49"/>
      <c r="K41" s="49"/>
      <c r="L41" s="49"/>
      <c r="M41" s="49"/>
      <c r="N41" s="49"/>
      <c r="O41" s="49"/>
      <c r="P41" s="49"/>
      <c r="Q41" s="49"/>
      <c r="R41" s="49"/>
      <c r="S41" s="49"/>
      <c r="T41" s="49"/>
      <c r="U41" s="49"/>
      <c r="V41" s="49"/>
      <c r="W41" s="49"/>
      <c r="X41" s="49"/>
      <c r="Y41" s="49"/>
    </row>
    <row r="42" spans="1:25" ht="15.75" customHeight="1">
      <c r="A42" s="62" t="s">
        <v>139</v>
      </c>
      <c r="B42" s="89">
        <v>0.85</v>
      </c>
      <c r="C42" s="83"/>
      <c r="D42" s="86"/>
      <c r="E42" s="10"/>
      <c r="F42" s="49"/>
      <c r="G42" s="49"/>
      <c r="H42" s="49"/>
      <c r="I42" s="49"/>
      <c r="J42" s="49"/>
      <c r="K42" s="49"/>
      <c r="L42" s="49"/>
      <c r="M42" s="49"/>
      <c r="N42" s="49"/>
      <c r="O42" s="49"/>
      <c r="P42" s="49"/>
      <c r="Q42" s="49"/>
      <c r="R42" s="49"/>
      <c r="S42" s="49"/>
      <c r="T42" s="49"/>
      <c r="U42" s="49"/>
      <c r="V42" s="49"/>
      <c r="W42" s="49"/>
      <c r="X42" s="49"/>
      <c r="Y42" s="49"/>
    </row>
    <row r="43" spans="1:25" ht="15.75" customHeight="1">
      <c r="A43" s="62" t="s">
        <v>140</v>
      </c>
      <c r="B43" s="89">
        <v>0.85</v>
      </c>
      <c r="C43" s="83"/>
      <c r="D43" s="86"/>
      <c r="E43" s="10"/>
      <c r="F43" s="49"/>
      <c r="G43" s="49"/>
      <c r="H43" s="49"/>
      <c r="I43" s="49"/>
      <c r="J43" s="49"/>
      <c r="K43" s="49"/>
      <c r="L43" s="49"/>
      <c r="M43" s="49"/>
      <c r="N43" s="49"/>
      <c r="O43" s="49"/>
      <c r="P43" s="49"/>
      <c r="Q43" s="49"/>
      <c r="R43" s="49"/>
      <c r="S43" s="49"/>
      <c r="T43" s="49"/>
      <c r="U43" s="49"/>
      <c r="V43" s="49"/>
      <c r="W43" s="49"/>
      <c r="X43" s="49"/>
      <c r="Y43" s="49"/>
    </row>
    <row r="44" spans="1:25" ht="15.75" customHeight="1">
      <c r="A44" s="62" t="s">
        <v>141</v>
      </c>
      <c r="B44" s="90">
        <v>500</v>
      </c>
      <c r="C44" s="83" t="s">
        <v>142</v>
      </c>
      <c r="D44" s="12"/>
      <c r="E44" s="10" t="s">
        <v>143</v>
      </c>
      <c r="F44" s="49"/>
      <c r="G44" s="49"/>
      <c r="H44" s="49"/>
      <c r="I44" s="49"/>
      <c r="J44" s="49"/>
      <c r="K44" s="49"/>
      <c r="L44" s="49"/>
      <c r="M44" s="49"/>
      <c r="N44" s="49"/>
      <c r="O44" s="49"/>
      <c r="P44" s="49"/>
      <c r="Q44" s="49"/>
      <c r="R44" s="49"/>
      <c r="S44" s="49"/>
      <c r="T44" s="49"/>
      <c r="U44" s="49"/>
      <c r="V44" s="49"/>
      <c r="W44" s="49"/>
      <c r="X44" s="49"/>
      <c r="Y44" s="49"/>
    </row>
    <row r="45" spans="1:25" ht="15.75" customHeight="1">
      <c r="A45" s="78" t="s">
        <v>144</v>
      </c>
      <c r="B45" s="91">
        <f>VLOOKUP(B40,'Table 2 - Filtration Info'!$B$3:$H$11,7,0)</f>
        <v>12</v>
      </c>
      <c r="C45" s="92" t="s">
        <v>145</v>
      </c>
      <c r="D45" s="12"/>
      <c r="E45" s="10"/>
      <c r="F45" s="49"/>
      <c r="G45" s="49"/>
      <c r="H45" s="49"/>
      <c r="I45" s="49"/>
      <c r="J45" s="49"/>
      <c r="K45" s="49"/>
      <c r="L45" s="49"/>
      <c r="M45" s="49"/>
      <c r="N45" s="49"/>
      <c r="O45" s="49"/>
      <c r="P45" s="49"/>
      <c r="Q45" s="49"/>
      <c r="R45" s="49"/>
      <c r="S45" s="49"/>
      <c r="T45" s="49"/>
      <c r="U45" s="49"/>
      <c r="V45" s="49"/>
      <c r="W45" s="49"/>
      <c r="X45" s="49"/>
      <c r="Y45" s="49"/>
    </row>
    <row r="46" spans="1:25" ht="15.75" customHeight="1">
      <c r="A46" s="78" t="s">
        <v>146</v>
      </c>
      <c r="B46" s="91">
        <v>5</v>
      </c>
      <c r="C46" s="92" t="s">
        <v>147</v>
      </c>
      <c r="D46" s="12"/>
      <c r="E46" s="10" t="s">
        <v>148</v>
      </c>
      <c r="F46" s="49"/>
      <c r="G46" s="49"/>
      <c r="H46" s="49"/>
      <c r="I46" s="49"/>
      <c r="J46" s="49"/>
      <c r="K46" s="49"/>
      <c r="L46" s="49"/>
      <c r="M46" s="49"/>
      <c r="N46" s="49"/>
      <c r="O46" s="49"/>
      <c r="P46" s="49"/>
      <c r="Q46" s="49"/>
      <c r="R46" s="49"/>
      <c r="S46" s="49"/>
      <c r="T46" s="49"/>
      <c r="U46" s="49"/>
      <c r="V46" s="49"/>
      <c r="W46" s="49"/>
      <c r="X46" s="49"/>
      <c r="Y46" s="49"/>
    </row>
    <row r="47" spans="1:25" ht="13.5" customHeight="1">
      <c r="A47" s="62" t="s">
        <v>149</v>
      </c>
      <c r="B47" s="79">
        <f>(((B16-B19)/(B13*B14))*60)*VLOOKUP(B40,'Table 2 - Filtration Info'!$B$3:$I$11,8,0)</f>
        <v>3.915151515151515</v>
      </c>
      <c r="C47" s="83" t="s">
        <v>102</v>
      </c>
      <c r="D47" s="84"/>
      <c r="E47" s="10"/>
      <c r="F47" s="49"/>
      <c r="G47" s="49"/>
      <c r="H47" s="49"/>
      <c r="I47" s="49"/>
      <c r="J47" s="49"/>
      <c r="K47" s="49"/>
      <c r="L47" s="49"/>
      <c r="M47" s="49"/>
      <c r="N47" s="49"/>
      <c r="O47" s="49"/>
      <c r="P47" s="49"/>
      <c r="Q47" s="49"/>
      <c r="R47" s="49"/>
      <c r="S47" s="49"/>
      <c r="T47" s="49"/>
      <c r="U47" s="49"/>
      <c r="V47" s="49"/>
      <c r="W47" s="49"/>
      <c r="X47" s="49"/>
      <c r="Y47" s="49"/>
    </row>
    <row r="48" spans="1:25" ht="15.75" customHeight="1">
      <c r="A48" s="12"/>
      <c r="B48" s="68"/>
      <c r="C48" s="38"/>
      <c r="D48" s="12"/>
      <c r="E48" s="12"/>
      <c r="F48" s="49"/>
      <c r="G48" s="49"/>
      <c r="H48" s="49"/>
      <c r="I48" s="49"/>
      <c r="J48" s="49"/>
      <c r="K48" s="49"/>
      <c r="L48" s="49"/>
      <c r="M48" s="49"/>
      <c r="N48" s="49"/>
      <c r="O48" s="49"/>
      <c r="P48" s="49"/>
      <c r="Q48" s="49"/>
      <c r="R48" s="49"/>
      <c r="S48" s="49"/>
      <c r="T48" s="49"/>
      <c r="U48" s="49"/>
      <c r="V48" s="49"/>
      <c r="W48" s="49"/>
      <c r="X48" s="49"/>
      <c r="Y48" s="49"/>
    </row>
    <row r="49" spans="1:25" ht="15.75" customHeight="1">
      <c r="A49" s="29" t="s">
        <v>150</v>
      </c>
      <c r="B49" s="71"/>
      <c r="C49" s="72"/>
      <c r="D49" s="32"/>
      <c r="E49" s="32"/>
      <c r="F49" s="73"/>
      <c r="G49" s="49"/>
      <c r="H49" s="49"/>
      <c r="I49" s="49"/>
      <c r="J49" s="49"/>
      <c r="K49" s="49"/>
      <c r="L49" s="49"/>
      <c r="M49" s="49"/>
      <c r="N49" s="49"/>
      <c r="O49" s="49"/>
      <c r="P49" s="49"/>
      <c r="Q49" s="49"/>
      <c r="R49" s="49"/>
      <c r="S49" s="49"/>
      <c r="T49" s="49"/>
      <c r="U49" s="49"/>
      <c r="V49" s="49"/>
      <c r="W49" s="49"/>
      <c r="X49" s="49"/>
      <c r="Y49" s="49"/>
    </row>
    <row r="50" spans="1:25" ht="15.75" customHeight="1">
      <c r="A50" s="74" t="s">
        <v>151</v>
      </c>
      <c r="B50" s="87" t="s">
        <v>126</v>
      </c>
      <c r="C50" s="61"/>
      <c r="D50" s="12"/>
      <c r="E50" s="10"/>
      <c r="F50" s="49"/>
      <c r="G50" s="49"/>
      <c r="H50" s="49"/>
      <c r="I50" s="49"/>
      <c r="J50" s="49"/>
      <c r="K50" s="49"/>
      <c r="L50" s="49"/>
      <c r="M50" s="49"/>
      <c r="N50" s="49"/>
      <c r="O50" s="49"/>
      <c r="P50" s="49"/>
      <c r="Q50" s="49"/>
      <c r="R50" s="49"/>
      <c r="S50" s="49"/>
      <c r="T50" s="49"/>
      <c r="U50" s="49"/>
      <c r="V50" s="49"/>
      <c r="W50" s="49"/>
      <c r="X50" s="49"/>
      <c r="Y50" s="49"/>
    </row>
    <row r="51" spans="1:25" ht="15.75" customHeight="1">
      <c r="A51" s="74" t="s">
        <v>152</v>
      </c>
      <c r="B51" s="76">
        <f>B13/1000</f>
        <v>5.5</v>
      </c>
      <c r="C51" s="61"/>
      <c r="D51" s="12"/>
      <c r="E51" s="10"/>
      <c r="F51" s="49"/>
      <c r="G51" s="49"/>
      <c r="H51" s="49"/>
      <c r="I51" s="49"/>
      <c r="J51" s="49"/>
      <c r="K51" s="49"/>
      <c r="L51" s="49"/>
      <c r="M51" s="49"/>
      <c r="N51" s="49"/>
      <c r="O51" s="49"/>
      <c r="P51" s="49"/>
      <c r="Q51" s="49"/>
      <c r="R51" s="49"/>
      <c r="S51" s="49"/>
      <c r="T51" s="49"/>
      <c r="U51" s="49"/>
      <c r="V51" s="49"/>
      <c r="W51" s="49"/>
      <c r="X51" s="49"/>
      <c r="Y51" s="49"/>
    </row>
    <row r="52" spans="1:25" ht="15.75" customHeight="1">
      <c r="A52" s="74" t="s">
        <v>153</v>
      </c>
      <c r="B52" s="76">
        <v>200</v>
      </c>
      <c r="C52" s="61" t="s">
        <v>92</v>
      </c>
      <c r="D52" s="12"/>
      <c r="E52" s="10"/>
      <c r="F52" s="49"/>
      <c r="G52" s="49"/>
      <c r="H52" s="49"/>
      <c r="I52" s="49"/>
      <c r="J52" s="49"/>
      <c r="K52" s="49"/>
      <c r="L52" s="49"/>
      <c r="M52" s="49"/>
      <c r="N52" s="49"/>
      <c r="O52" s="49"/>
      <c r="P52" s="49"/>
      <c r="Q52" s="49"/>
      <c r="R52" s="49"/>
      <c r="S52" s="49"/>
      <c r="T52" s="49"/>
      <c r="U52" s="49"/>
      <c r="V52" s="49"/>
      <c r="W52" s="49"/>
      <c r="X52" s="49"/>
      <c r="Y52" s="49"/>
    </row>
    <row r="53" spans="1:25" ht="15.75" customHeight="1">
      <c r="A53" s="74" t="s">
        <v>154</v>
      </c>
      <c r="B53" s="76">
        <v>200</v>
      </c>
      <c r="C53" s="77" t="s">
        <v>92</v>
      </c>
      <c r="D53" s="12"/>
      <c r="E53" s="10" t="s">
        <v>155</v>
      </c>
      <c r="F53" s="49"/>
      <c r="G53" s="49"/>
      <c r="H53" s="49"/>
      <c r="I53" s="49"/>
      <c r="J53" s="49"/>
      <c r="K53" s="49"/>
      <c r="L53" s="49"/>
      <c r="M53" s="49"/>
      <c r="N53" s="49"/>
      <c r="O53" s="49"/>
      <c r="P53" s="49"/>
      <c r="Q53" s="49"/>
      <c r="R53" s="49"/>
      <c r="S53" s="49"/>
      <c r="T53" s="49"/>
      <c r="U53" s="49"/>
      <c r="V53" s="49"/>
      <c r="W53" s="49"/>
      <c r="X53" s="49"/>
      <c r="Y53" s="49"/>
    </row>
    <row r="54" spans="1:25" ht="15.75" customHeight="1">
      <c r="A54" s="62" t="s">
        <v>156</v>
      </c>
      <c r="B54" s="79">
        <f>((B53*B51)/(B13*B14))*60</f>
        <v>1.3333333333333335</v>
      </c>
      <c r="C54" s="83" t="s">
        <v>102</v>
      </c>
      <c r="D54" s="86"/>
      <c r="E54" s="22"/>
      <c r="F54" s="49"/>
      <c r="G54" s="49"/>
      <c r="H54" s="49"/>
      <c r="I54" s="49"/>
      <c r="J54" s="49"/>
      <c r="K54" s="49"/>
      <c r="L54" s="49"/>
      <c r="M54" s="49"/>
      <c r="N54" s="49"/>
      <c r="O54" s="49"/>
      <c r="P54" s="49"/>
      <c r="Q54" s="49"/>
      <c r="R54" s="49"/>
      <c r="S54" s="49"/>
      <c r="T54" s="49"/>
      <c r="U54" s="49"/>
      <c r="V54" s="49"/>
      <c r="W54" s="49"/>
      <c r="X54" s="49"/>
      <c r="Y54" s="49"/>
    </row>
    <row r="55" spans="1:25" ht="15.75" customHeight="1">
      <c r="A55" s="74" t="s">
        <v>157</v>
      </c>
      <c r="B55" s="76">
        <v>2200</v>
      </c>
      <c r="C55" s="61" t="s">
        <v>158</v>
      </c>
      <c r="D55" s="86"/>
      <c r="E55" s="10" t="s">
        <v>159</v>
      </c>
      <c r="F55" s="93"/>
      <c r="G55" s="49"/>
      <c r="H55" s="49"/>
      <c r="I55" s="49"/>
      <c r="J55" s="49"/>
      <c r="K55" s="49"/>
      <c r="L55" s="49"/>
      <c r="M55" s="49"/>
      <c r="N55" s="49"/>
      <c r="O55" s="49"/>
      <c r="P55" s="49"/>
      <c r="Q55" s="49"/>
      <c r="R55" s="49"/>
      <c r="S55" s="49"/>
      <c r="T55" s="49"/>
      <c r="U55" s="49"/>
      <c r="V55" s="49"/>
      <c r="W55" s="49"/>
      <c r="X55" s="49"/>
      <c r="Y55" s="49"/>
    </row>
    <row r="56" spans="1:25" ht="15.75" customHeight="1">
      <c r="A56" s="74" t="s">
        <v>160</v>
      </c>
      <c r="B56" s="75">
        <f>B52*0.0003</f>
        <v>0.06</v>
      </c>
      <c r="C56" s="61" t="s">
        <v>161</v>
      </c>
      <c r="D56" s="86"/>
      <c r="E56" s="10"/>
      <c r="F56" s="49"/>
      <c r="G56" s="49"/>
      <c r="H56" s="49"/>
      <c r="I56" s="49"/>
      <c r="J56" s="49"/>
      <c r="K56" s="49"/>
      <c r="L56" s="49"/>
      <c r="M56" s="49"/>
      <c r="N56" s="49"/>
      <c r="O56" s="49"/>
      <c r="P56" s="49"/>
      <c r="Q56" s="49"/>
      <c r="R56" s="49"/>
      <c r="S56" s="49"/>
      <c r="T56" s="49"/>
      <c r="U56" s="49"/>
      <c r="V56" s="49"/>
      <c r="W56" s="49"/>
      <c r="X56" s="49"/>
      <c r="Y56" s="49"/>
    </row>
    <row r="57" spans="1:25" ht="15.75" customHeight="1">
      <c r="A57" s="74" t="s">
        <v>162</v>
      </c>
      <c r="B57" s="76">
        <v>12</v>
      </c>
      <c r="C57" s="61" t="s">
        <v>145</v>
      </c>
      <c r="D57" s="12"/>
      <c r="E57" s="10" t="s">
        <v>163</v>
      </c>
      <c r="F57" s="49"/>
      <c r="G57" s="49"/>
      <c r="H57" s="49"/>
      <c r="I57" s="49"/>
      <c r="J57" s="49"/>
      <c r="K57" s="49"/>
      <c r="L57" s="49"/>
      <c r="M57" s="49"/>
      <c r="N57" s="49"/>
      <c r="O57" s="49"/>
      <c r="P57" s="49"/>
      <c r="Q57" s="49"/>
      <c r="R57" s="49"/>
      <c r="S57" s="49"/>
      <c r="T57" s="49"/>
      <c r="U57" s="49"/>
      <c r="V57" s="49"/>
      <c r="W57" s="49"/>
      <c r="X57" s="49"/>
      <c r="Y57" s="49"/>
    </row>
    <row r="58" spans="1:25" ht="15.75" customHeight="1">
      <c r="A58" s="74" t="s">
        <v>164</v>
      </c>
      <c r="B58" s="76">
        <v>40</v>
      </c>
      <c r="C58" s="61" t="s">
        <v>165</v>
      </c>
      <c r="D58" s="12"/>
      <c r="E58" s="10" t="s">
        <v>163</v>
      </c>
      <c r="F58" s="49"/>
      <c r="G58" s="49"/>
      <c r="H58" s="49"/>
      <c r="I58" s="49"/>
      <c r="J58" s="49"/>
      <c r="K58" s="49"/>
      <c r="L58" s="49"/>
      <c r="M58" s="49"/>
      <c r="N58" s="49"/>
      <c r="O58" s="49"/>
      <c r="P58" s="49"/>
      <c r="Q58" s="49"/>
      <c r="R58" s="49"/>
      <c r="S58" s="49"/>
      <c r="T58" s="49"/>
      <c r="U58" s="49"/>
      <c r="V58" s="49"/>
      <c r="W58" s="49"/>
      <c r="X58" s="49"/>
      <c r="Y58" s="49"/>
    </row>
    <row r="59" spans="1:25" ht="15.75" customHeight="1">
      <c r="A59" s="74" t="s">
        <v>166</v>
      </c>
      <c r="B59" s="76">
        <v>150</v>
      </c>
      <c r="C59" s="61" t="s">
        <v>165</v>
      </c>
      <c r="D59" s="12"/>
      <c r="E59" s="10" t="s">
        <v>163</v>
      </c>
      <c r="F59" s="49"/>
      <c r="G59" s="49"/>
      <c r="H59" s="49"/>
      <c r="I59" s="49"/>
      <c r="J59" s="49"/>
      <c r="K59" s="49"/>
      <c r="L59" s="49"/>
      <c r="M59" s="49"/>
      <c r="N59" s="49"/>
      <c r="O59" s="49"/>
      <c r="P59" s="49"/>
      <c r="Q59" s="49"/>
      <c r="R59" s="49"/>
      <c r="S59" s="49"/>
      <c r="T59" s="49"/>
      <c r="U59" s="49"/>
      <c r="V59" s="49"/>
      <c r="W59" s="49"/>
      <c r="X59" s="49"/>
      <c r="Y59" s="49"/>
    </row>
    <row r="60" spans="1:25" ht="15.75" customHeight="1">
      <c r="A60" s="12"/>
      <c r="B60" s="68"/>
      <c r="C60" s="38"/>
      <c r="D60" s="12"/>
      <c r="E60" s="12"/>
      <c r="F60" s="49"/>
      <c r="G60" s="49"/>
      <c r="H60" s="49"/>
      <c r="I60" s="49"/>
      <c r="J60" s="49"/>
      <c r="K60" s="49"/>
      <c r="L60" s="49"/>
      <c r="M60" s="49"/>
      <c r="N60" s="49"/>
      <c r="O60" s="49"/>
      <c r="P60" s="49"/>
      <c r="Q60" s="49"/>
      <c r="R60" s="49"/>
      <c r="S60" s="49"/>
      <c r="T60" s="49"/>
      <c r="U60" s="49"/>
      <c r="V60" s="49"/>
      <c r="W60" s="49"/>
      <c r="X60" s="49"/>
      <c r="Y60" s="49"/>
    </row>
    <row r="61" spans="1:25" ht="15.75" customHeight="1">
      <c r="A61" s="29" t="s">
        <v>167</v>
      </c>
      <c r="B61" s="71"/>
      <c r="C61" s="72"/>
      <c r="D61" s="32"/>
      <c r="E61" s="32"/>
      <c r="F61" s="73"/>
      <c r="G61" s="49"/>
      <c r="H61" s="49"/>
      <c r="I61" s="49"/>
      <c r="J61" s="49"/>
      <c r="K61" s="49"/>
      <c r="L61" s="49"/>
      <c r="M61" s="49"/>
      <c r="N61" s="49"/>
      <c r="O61" s="49"/>
      <c r="P61" s="49"/>
      <c r="Q61" s="49"/>
      <c r="R61" s="49"/>
      <c r="S61" s="49"/>
      <c r="T61" s="49"/>
      <c r="U61" s="49"/>
      <c r="V61" s="49"/>
      <c r="W61" s="49"/>
      <c r="X61" s="49"/>
      <c r="Y61" s="49"/>
    </row>
    <row r="62" spans="1:25" ht="15.75" customHeight="1">
      <c r="A62" s="94" t="s">
        <v>168</v>
      </c>
      <c r="B62" s="95">
        <f>IF(B27&lt;168,B19*(((VLOOKUP(B11,'Table 1 - Operational Info'!$B$5:$N$24,3,0))*(IF(B34="Yes",1-B35,1)))/(B28/3))*(B27/72),B19*(((VLOOKUP(B11,'Table 1 - Operational Info'!$B$29:$N$48,3,0))*(IF(B34="Yes",1-B35,1)))/(B28/3))*(B27/168))</f>
        <v>18390.400000000001</v>
      </c>
      <c r="C62" s="67" t="s">
        <v>169</v>
      </c>
      <c r="D62" s="12"/>
      <c r="E62" s="10"/>
      <c r="F62" s="49"/>
      <c r="G62" s="49"/>
      <c r="H62" s="49"/>
      <c r="I62" s="49"/>
      <c r="J62" s="49"/>
      <c r="K62" s="49"/>
      <c r="L62" s="49"/>
      <c r="M62" s="49"/>
      <c r="N62" s="49"/>
      <c r="O62" s="49"/>
      <c r="P62" s="49"/>
      <c r="Q62" s="49"/>
      <c r="R62" s="49"/>
      <c r="S62" s="49"/>
      <c r="T62" s="49"/>
      <c r="U62" s="49"/>
      <c r="V62" s="49"/>
      <c r="W62" s="49"/>
      <c r="X62" s="49"/>
      <c r="Y62" s="49"/>
    </row>
    <row r="63" spans="1:25" ht="15.75" customHeight="1">
      <c r="A63" s="94" t="s">
        <v>170</v>
      </c>
      <c r="B63" s="95">
        <f>B62*B30</f>
        <v>2474.9389311646742</v>
      </c>
      <c r="C63" s="67" t="s">
        <v>171</v>
      </c>
      <c r="D63" s="12"/>
      <c r="E63" s="10"/>
      <c r="F63" s="49"/>
      <c r="G63" s="49"/>
      <c r="H63" s="49"/>
      <c r="I63" s="49"/>
      <c r="J63" s="49"/>
      <c r="K63" s="49"/>
      <c r="L63" s="49"/>
      <c r="M63" s="49"/>
      <c r="N63" s="49"/>
      <c r="O63" s="49"/>
      <c r="P63" s="49"/>
      <c r="Q63" s="49"/>
      <c r="R63" s="49"/>
      <c r="S63" s="49"/>
      <c r="T63" s="49"/>
      <c r="U63" s="49"/>
      <c r="V63" s="49"/>
      <c r="W63" s="49"/>
      <c r="X63" s="49"/>
      <c r="Y63" s="49"/>
    </row>
    <row r="64" spans="1:25" ht="15.75" customHeight="1">
      <c r="A64" s="94" t="s">
        <v>172</v>
      </c>
      <c r="B64" s="96">
        <f>IF(B27&lt;168,(IF(B24="Electricity",((VLOOKUP(B11,'Table 1 - Operational Info'!$B$5:$N$24,7,0))*(IF(B34="Yes",1-B36,1))),IF(B24="Steam",((VLOOKUP(B11,'Table 1 - Operational Info'!$B$5:$N$24,8,0))*(IF(B34="Yes",1-B36,1))),((VLOOKUP(B11,'Table 1 - Operational Info'!$B$5:$N$24,6,0))*(IF(B34="Yes",1-B36,1))))))*(B27/72)*B19/(B29),(IF(B24="Electricity",((VLOOKUP(B11,'Table 1 - Operational Info'!$B$29:$N$48,7,0))*(IF(B34="Yes",1-B36,1))),IF(B24="Steam",((VLOOKUP(B11,'Table 1 - Operational Info'!$B$29:$N$48,8,0))*(IF(B34="Yes",1-B36,1))),((VLOOKUP(B11,'Table 1 - Operational Info'!$B$29:$N$48,6,0))*(IF(B34="Yes",1-B36,1))))))*(B27/168)*B19/(B29))</f>
        <v>213.27503999999999</v>
      </c>
      <c r="C64" s="67" t="str">
        <f>IF($B$24="Electricity","kWh/year",IF($B$24="Steam","mmBTU/year","therm/year"))</f>
        <v>therm/year</v>
      </c>
      <c r="D64" s="12"/>
      <c r="E64" s="10" t="s">
        <v>173</v>
      </c>
      <c r="F64" s="49"/>
      <c r="G64" s="49"/>
      <c r="H64" s="49"/>
      <c r="I64" s="49"/>
      <c r="J64" s="49"/>
      <c r="K64" s="49"/>
      <c r="L64" s="49"/>
      <c r="M64" s="49"/>
      <c r="N64" s="49"/>
      <c r="O64" s="49"/>
      <c r="P64" s="49"/>
      <c r="Q64" s="49"/>
      <c r="R64" s="49"/>
      <c r="S64" s="49"/>
      <c r="T64" s="49"/>
      <c r="U64" s="49"/>
      <c r="V64" s="49"/>
      <c r="W64" s="49"/>
      <c r="X64" s="49"/>
      <c r="Y64" s="49"/>
    </row>
    <row r="65" spans="1:25" ht="15.75" customHeight="1">
      <c r="A65" s="94" t="s">
        <v>174</v>
      </c>
      <c r="B65" s="95">
        <f>B31*B64</f>
        <v>163.08239015990159</v>
      </c>
      <c r="C65" s="67" t="s">
        <v>171</v>
      </c>
      <c r="D65" s="12"/>
      <c r="E65" s="10"/>
      <c r="F65" s="49"/>
      <c r="G65" s="49"/>
      <c r="H65" s="49"/>
      <c r="I65" s="49"/>
      <c r="J65" s="49"/>
      <c r="K65" s="49"/>
      <c r="L65" s="49"/>
      <c r="M65" s="49"/>
      <c r="N65" s="49"/>
      <c r="O65" s="49"/>
      <c r="P65" s="49"/>
      <c r="Q65" s="49"/>
      <c r="R65" s="49"/>
      <c r="S65" s="49"/>
      <c r="T65" s="49"/>
      <c r="U65" s="49"/>
      <c r="V65" s="49"/>
      <c r="W65" s="49"/>
      <c r="X65" s="49"/>
      <c r="Y65" s="49"/>
    </row>
    <row r="66" spans="1:25" ht="15.75" customHeight="1">
      <c r="A66" s="12"/>
      <c r="B66" s="97"/>
      <c r="C66" s="98"/>
      <c r="D66" s="12"/>
      <c r="E66" s="10"/>
      <c r="F66" s="49"/>
      <c r="G66" s="49"/>
      <c r="H66" s="49"/>
      <c r="I66" s="49"/>
      <c r="J66" s="49"/>
      <c r="K66" s="49"/>
      <c r="L66" s="49"/>
      <c r="M66" s="49"/>
      <c r="N66" s="49"/>
      <c r="O66" s="49"/>
      <c r="P66" s="49"/>
      <c r="Q66" s="49"/>
      <c r="R66" s="49"/>
      <c r="S66" s="49"/>
      <c r="T66" s="49"/>
      <c r="U66" s="49"/>
      <c r="V66" s="49"/>
      <c r="W66" s="49"/>
      <c r="X66" s="49"/>
      <c r="Y66" s="49"/>
    </row>
    <row r="67" spans="1:25" ht="15.75" customHeight="1">
      <c r="A67" s="29" t="s">
        <v>175</v>
      </c>
      <c r="B67" s="99"/>
      <c r="C67" s="72"/>
      <c r="D67" s="32"/>
      <c r="E67" s="32"/>
      <c r="F67" s="73"/>
      <c r="G67" s="49"/>
      <c r="H67" s="49"/>
      <c r="I67" s="49"/>
      <c r="J67" s="49"/>
      <c r="K67" s="49"/>
      <c r="L67" s="49"/>
      <c r="M67" s="49"/>
      <c r="N67" s="49"/>
      <c r="O67" s="49"/>
      <c r="P67" s="49"/>
      <c r="Q67" s="49"/>
      <c r="R67" s="49"/>
      <c r="S67" s="49"/>
      <c r="T67" s="49"/>
      <c r="U67" s="49"/>
      <c r="V67" s="49"/>
      <c r="W67" s="49"/>
      <c r="X67" s="49"/>
      <c r="Y67" s="49"/>
    </row>
    <row r="68" spans="1:25" ht="15.75" customHeight="1">
      <c r="A68" s="94" t="s">
        <v>176</v>
      </c>
      <c r="B68" s="100">
        <f>IF(B39="No",0,((((((B16-B19)*1.699)/60)/60)*B41/0.00401865)/(B42*B43))/1000)</f>
        <v>0.34868366013071905</v>
      </c>
      <c r="C68" s="101" t="s">
        <v>177</v>
      </c>
      <c r="D68" s="10"/>
      <c r="E68" s="10" t="s">
        <v>178</v>
      </c>
      <c r="F68" s="102"/>
      <c r="G68" s="49"/>
      <c r="H68" s="49"/>
      <c r="I68" s="49"/>
      <c r="J68" s="49"/>
      <c r="K68" s="49"/>
      <c r="L68" s="49"/>
      <c r="M68" s="49"/>
      <c r="N68" s="49"/>
      <c r="O68" s="49"/>
      <c r="P68" s="49"/>
      <c r="Q68" s="49"/>
      <c r="R68" s="49"/>
      <c r="S68" s="49"/>
      <c r="T68" s="49"/>
      <c r="U68" s="49"/>
      <c r="V68" s="49"/>
      <c r="W68" s="49"/>
      <c r="X68" s="49"/>
      <c r="Y68" s="49"/>
    </row>
    <row r="69" spans="1:25" ht="15.75" customHeight="1">
      <c r="A69" s="94" t="s">
        <v>179</v>
      </c>
      <c r="B69" s="103">
        <f>IF(B39="No",0,B68*B27*52*B30)</f>
        <v>175.68745348680264</v>
      </c>
      <c r="C69" s="101" t="s">
        <v>171</v>
      </c>
      <c r="D69" s="12"/>
      <c r="E69" s="10" t="s">
        <v>180</v>
      </c>
      <c r="F69" s="49"/>
      <c r="G69" s="49"/>
      <c r="H69" s="49"/>
      <c r="I69" s="49"/>
      <c r="J69" s="49"/>
      <c r="K69" s="49"/>
      <c r="L69" s="49"/>
      <c r="M69" s="49"/>
      <c r="N69" s="49"/>
      <c r="O69" s="49"/>
      <c r="P69" s="49"/>
      <c r="Q69" s="49"/>
      <c r="R69" s="49"/>
      <c r="S69" s="49"/>
      <c r="T69" s="49"/>
      <c r="U69" s="49"/>
      <c r="V69" s="49"/>
      <c r="W69" s="49"/>
      <c r="X69" s="49"/>
      <c r="Y69" s="49"/>
    </row>
    <row r="70" spans="1:25" ht="15.75" customHeight="1">
      <c r="A70" s="94" t="s">
        <v>181</v>
      </c>
      <c r="B70" s="103">
        <f>IF(B39="No",0,((12/B45)*VLOOKUP(B40,'Table 2 - Filtration Info'!$B$3:$H$11,3,0))*(ROUNDUP((((((B16-B19)*1.699)/60)/60/(B44/196.85))*10.7639),0)))</f>
        <v>875</v>
      </c>
      <c r="C70" s="104" t="s">
        <v>171</v>
      </c>
      <c r="D70" s="12"/>
      <c r="E70" s="22" t="s">
        <v>182</v>
      </c>
      <c r="F70" s="49"/>
      <c r="G70" s="49"/>
      <c r="H70" s="49"/>
      <c r="I70" s="49"/>
      <c r="J70" s="49"/>
      <c r="K70" s="49"/>
      <c r="L70" s="49"/>
      <c r="M70" s="49"/>
      <c r="N70" s="49"/>
      <c r="O70" s="49"/>
      <c r="P70" s="49"/>
      <c r="Q70" s="49"/>
      <c r="R70" s="49"/>
      <c r="S70" s="49"/>
      <c r="T70" s="49"/>
      <c r="U70" s="49"/>
      <c r="V70" s="49"/>
      <c r="W70" s="49"/>
      <c r="X70" s="49"/>
      <c r="Y70" s="49"/>
    </row>
    <row r="71" spans="1:25" ht="15.75" customHeight="1">
      <c r="A71" s="94" t="s">
        <v>183</v>
      </c>
      <c r="B71" s="103">
        <f>IF(B39="No",0,B46*(12/B45)*(ROUNDUP((((((B16-B19)*1.699)/60)/60/(B44/196.85))*10.7639),0)))</f>
        <v>35</v>
      </c>
      <c r="C71" s="104" t="s">
        <v>171</v>
      </c>
      <c r="D71" s="12"/>
      <c r="E71" s="10" t="s">
        <v>184</v>
      </c>
      <c r="F71" s="49"/>
      <c r="G71" s="49"/>
      <c r="H71" s="49"/>
      <c r="I71" s="49"/>
      <c r="J71" s="49"/>
      <c r="K71" s="49"/>
      <c r="L71" s="49"/>
      <c r="M71" s="49"/>
      <c r="N71" s="49"/>
      <c r="O71" s="49"/>
      <c r="P71" s="49"/>
      <c r="Q71" s="49"/>
      <c r="R71" s="49"/>
      <c r="S71" s="49"/>
      <c r="T71" s="49"/>
      <c r="U71" s="49"/>
      <c r="V71" s="49"/>
      <c r="W71" s="49"/>
      <c r="X71" s="49"/>
      <c r="Y71" s="49"/>
    </row>
    <row r="72" spans="1:25" ht="15.75" customHeight="1">
      <c r="A72" s="94" t="s">
        <v>185</v>
      </c>
      <c r="B72" s="103">
        <f>IF(B39="No",0,B69+B70+B71)</f>
        <v>1085.6874534868027</v>
      </c>
      <c r="C72" s="104" t="s">
        <v>171</v>
      </c>
      <c r="D72" s="12"/>
      <c r="E72" s="10" t="s">
        <v>186</v>
      </c>
      <c r="F72" s="49"/>
      <c r="G72" s="49"/>
      <c r="H72" s="49"/>
      <c r="I72" s="49"/>
      <c r="J72" s="49"/>
      <c r="K72" s="49"/>
      <c r="L72" s="49"/>
      <c r="M72" s="49"/>
      <c r="N72" s="49"/>
      <c r="O72" s="49"/>
      <c r="P72" s="49"/>
      <c r="Q72" s="49"/>
      <c r="R72" s="49"/>
      <c r="S72" s="49"/>
      <c r="T72" s="49"/>
      <c r="U72" s="49"/>
      <c r="V72" s="49"/>
      <c r="W72" s="49"/>
      <c r="X72" s="49"/>
      <c r="Y72" s="49"/>
    </row>
    <row r="73" spans="1:25" ht="15.75" customHeight="1">
      <c r="A73" s="10"/>
      <c r="B73" s="10"/>
      <c r="C73" s="10"/>
      <c r="D73" s="10"/>
      <c r="E73" s="10"/>
      <c r="F73" s="49"/>
      <c r="G73" s="49"/>
      <c r="H73" s="49"/>
      <c r="I73" s="49"/>
      <c r="J73" s="49"/>
      <c r="K73" s="49"/>
      <c r="L73" s="49"/>
      <c r="M73" s="49"/>
      <c r="N73" s="49"/>
      <c r="O73" s="49"/>
      <c r="P73" s="49"/>
      <c r="Q73" s="49"/>
      <c r="R73" s="49"/>
      <c r="S73" s="49"/>
      <c r="T73" s="49"/>
      <c r="U73" s="49"/>
      <c r="V73" s="49"/>
      <c r="W73" s="49"/>
      <c r="X73" s="49"/>
      <c r="Y73" s="49"/>
    </row>
    <row r="74" spans="1:25" ht="15.75" customHeight="1">
      <c r="A74" s="29" t="s">
        <v>187</v>
      </c>
      <c r="B74" s="71"/>
      <c r="C74" s="72"/>
      <c r="D74" s="32"/>
      <c r="E74" s="32"/>
      <c r="F74" s="73"/>
      <c r="G74" s="49"/>
      <c r="H74" s="49"/>
      <c r="I74" s="49"/>
      <c r="J74" s="49"/>
      <c r="K74" s="49"/>
      <c r="L74" s="49"/>
      <c r="M74" s="49"/>
      <c r="N74" s="49"/>
      <c r="O74" s="49"/>
      <c r="P74" s="49"/>
      <c r="Q74" s="49"/>
      <c r="R74" s="49"/>
      <c r="S74" s="49"/>
      <c r="T74" s="49"/>
      <c r="U74" s="49"/>
      <c r="V74" s="49"/>
      <c r="W74" s="49"/>
      <c r="X74" s="49"/>
      <c r="Y74" s="49"/>
    </row>
    <row r="75" spans="1:25" ht="15.75" customHeight="1">
      <c r="A75" s="94" t="s">
        <v>188</v>
      </c>
      <c r="B75" s="95">
        <f>IF(B50="Yes",B56*B27*B51*52,0)</f>
        <v>0</v>
      </c>
      <c r="C75" s="67" t="s">
        <v>169</v>
      </c>
      <c r="D75" s="12"/>
      <c r="E75" s="10"/>
      <c r="F75" s="49"/>
      <c r="G75" s="49"/>
      <c r="H75" s="49"/>
      <c r="I75" s="49"/>
      <c r="J75" s="49"/>
      <c r="K75" s="49"/>
      <c r="L75" s="49"/>
      <c r="M75" s="49"/>
      <c r="N75" s="49"/>
      <c r="O75" s="49"/>
      <c r="P75" s="49"/>
      <c r="Q75" s="49"/>
      <c r="R75" s="49"/>
      <c r="S75" s="49"/>
      <c r="T75" s="49"/>
      <c r="U75" s="49"/>
      <c r="V75" s="49"/>
      <c r="W75" s="49"/>
      <c r="X75" s="49"/>
      <c r="Y75" s="49"/>
    </row>
    <row r="76" spans="1:25" ht="15.75" customHeight="1">
      <c r="A76" s="94" t="s">
        <v>189</v>
      </c>
      <c r="B76" s="95">
        <f>IF(B50="Yes",B75*B30,0)</f>
        <v>0</v>
      </c>
      <c r="C76" s="67" t="s">
        <v>171</v>
      </c>
      <c r="D76" s="12"/>
      <c r="E76" s="10"/>
      <c r="F76" s="49"/>
      <c r="G76" s="49"/>
      <c r="H76" s="49"/>
      <c r="I76" s="49"/>
      <c r="J76" s="49"/>
      <c r="K76" s="49"/>
      <c r="L76" s="49"/>
      <c r="M76" s="49"/>
      <c r="N76" s="49"/>
      <c r="O76" s="49"/>
      <c r="P76" s="49"/>
      <c r="Q76" s="49"/>
      <c r="R76" s="49"/>
      <c r="S76" s="49"/>
      <c r="T76" s="49"/>
      <c r="U76" s="49"/>
      <c r="V76" s="49"/>
      <c r="W76" s="49"/>
      <c r="X76" s="49"/>
      <c r="Y76" s="49"/>
    </row>
    <row r="77" spans="1:25" ht="15.75" customHeight="1">
      <c r="A77" s="94" t="s">
        <v>190</v>
      </c>
      <c r="B77" s="95">
        <f>IF(B50="Yes",(B59*B51)*(12/B57),0)</f>
        <v>0</v>
      </c>
      <c r="C77" s="67" t="s">
        <v>171</v>
      </c>
      <c r="D77" s="12"/>
      <c r="E77" s="10"/>
      <c r="F77" s="49"/>
      <c r="G77" s="49"/>
      <c r="H77" s="49"/>
      <c r="I77" s="49"/>
      <c r="J77" s="49"/>
      <c r="K77" s="49"/>
      <c r="L77" s="49"/>
      <c r="M77" s="49"/>
      <c r="N77" s="49"/>
      <c r="O77" s="49"/>
      <c r="P77" s="49"/>
      <c r="Q77" s="49"/>
      <c r="R77" s="49"/>
      <c r="S77" s="49"/>
      <c r="T77" s="49"/>
      <c r="U77" s="49"/>
      <c r="V77" s="49"/>
      <c r="W77" s="49"/>
      <c r="X77" s="49"/>
      <c r="Y77" s="49"/>
    </row>
    <row r="78" spans="1:25" ht="15.75" customHeight="1">
      <c r="A78" s="94" t="s">
        <v>191</v>
      </c>
      <c r="B78" s="95">
        <f>IF(B50="Yes",B58*(12/B57)*B51,0)</f>
        <v>0</v>
      </c>
      <c r="C78" s="67" t="s">
        <v>171</v>
      </c>
      <c r="D78" s="12"/>
      <c r="E78" s="10" t="s">
        <v>163</v>
      </c>
      <c r="F78" s="49"/>
      <c r="G78" s="49"/>
      <c r="H78" s="49"/>
      <c r="I78" s="49"/>
      <c r="J78" s="49"/>
      <c r="K78" s="49"/>
      <c r="L78" s="49"/>
      <c r="M78" s="49"/>
      <c r="N78" s="49"/>
      <c r="O78" s="49"/>
      <c r="P78" s="49"/>
      <c r="Q78" s="49"/>
      <c r="R78" s="49"/>
      <c r="S78" s="49"/>
      <c r="T78" s="49"/>
      <c r="U78" s="49"/>
      <c r="V78" s="49"/>
      <c r="W78" s="49"/>
      <c r="X78" s="49"/>
      <c r="Y78" s="49"/>
    </row>
    <row r="79" spans="1:25" ht="15.75" customHeight="1">
      <c r="A79" s="94" t="s">
        <v>192</v>
      </c>
      <c r="B79" s="95">
        <f>IF(B50="Yes",B76+B77+B78,0)</f>
        <v>0</v>
      </c>
      <c r="C79" s="67" t="s">
        <v>171</v>
      </c>
      <c r="D79" s="12"/>
      <c r="E79" s="105" t="s">
        <v>193</v>
      </c>
      <c r="F79" s="49"/>
      <c r="G79" s="49"/>
      <c r="H79" s="49"/>
      <c r="I79" s="49"/>
      <c r="J79" s="49"/>
      <c r="K79" s="49"/>
      <c r="L79" s="49"/>
      <c r="M79" s="49"/>
      <c r="N79" s="49"/>
      <c r="O79" s="49"/>
      <c r="P79" s="49"/>
      <c r="Q79" s="49"/>
      <c r="R79" s="49"/>
      <c r="S79" s="49"/>
      <c r="T79" s="49"/>
      <c r="U79" s="49"/>
      <c r="V79" s="49"/>
      <c r="W79" s="49"/>
      <c r="X79" s="49"/>
      <c r="Y79" s="49"/>
    </row>
    <row r="80" spans="1:25" ht="15.75" customHeight="1">
      <c r="A80" s="94" t="s">
        <v>194</v>
      </c>
      <c r="B80" s="95">
        <f>IF(B50="Yes",B55*B51,0)</f>
        <v>0</v>
      </c>
      <c r="C80" s="67" t="s">
        <v>158</v>
      </c>
      <c r="D80" s="12"/>
      <c r="E80" s="10"/>
      <c r="F80" s="49"/>
      <c r="G80" s="49"/>
      <c r="H80" s="49"/>
      <c r="I80" s="49"/>
      <c r="J80" s="49"/>
      <c r="K80" s="49"/>
      <c r="L80" s="49"/>
      <c r="M80" s="49"/>
      <c r="N80" s="49"/>
      <c r="O80" s="49"/>
      <c r="P80" s="49"/>
      <c r="Q80" s="49"/>
      <c r="R80" s="49"/>
      <c r="S80" s="49"/>
      <c r="T80" s="49"/>
      <c r="U80" s="49"/>
      <c r="V80" s="49"/>
      <c r="W80" s="49"/>
      <c r="X80" s="49"/>
      <c r="Y80" s="49"/>
    </row>
    <row r="81" spans="1:25" ht="15.75" customHeight="1">
      <c r="A81" s="12"/>
      <c r="B81" s="68"/>
      <c r="C81" s="38"/>
      <c r="D81" s="12"/>
      <c r="E81" s="12"/>
      <c r="F81" s="49"/>
      <c r="G81" s="49"/>
      <c r="H81" s="49"/>
      <c r="I81" s="49"/>
      <c r="J81" s="49"/>
      <c r="K81" s="49"/>
      <c r="L81" s="49"/>
      <c r="M81" s="49"/>
      <c r="N81" s="49"/>
      <c r="O81" s="49"/>
      <c r="P81" s="49"/>
      <c r="Q81" s="49"/>
      <c r="R81" s="49"/>
      <c r="S81" s="49"/>
      <c r="T81" s="49"/>
      <c r="U81" s="49"/>
      <c r="V81" s="49"/>
      <c r="W81" s="49"/>
      <c r="X81" s="49"/>
      <c r="Y81" s="49"/>
    </row>
    <row r="82" spans="1:25" ht="15.75" customHeight="1">
      <c r="A82" s="29" t="s">
        <v>195</v>
      </c>
      <c r="B82" s="99"/>
      <c r="C82" s="72"/>
      <c r="D82" s="72"/>
      <c r="E82" s="32"/>
      <c r="F82" s="73"/>
      <c r="G82" s="49"/>
      <c r="H82" s="49"/>
      <c r="I82" s="49"/>
      <c r="J82" s="49"/>
      <c r="K82" s="49"/>
      <c r="L82" s="49"/>
      <c r="M82" s="49"/>
      <c r="N82" s="49"/>
      <c r="O82" s="49"/>
      <c r="P82" s="49"/>
      <c r="Q82" s="49"/>
      <c r="R82" s="49"/>
      <c r="S82" s="49"/>
      <c r="T82" s="49"/>
      <c r="U82" s="49"/>
      <c r="V82" s="49"/>
      <c r="W82" s="49"/>
      <c r="X82" s="49"/>
      <c r="Y82" s="49"/>
    </row>
    <row r="83" spans="1:25" ht="15.75" customHeight="1">
      <c r="A83" s="94" t="str">
        <f t="shared" ref="A83:C83" si="0">A20</f>
        <v>Outside air ACH</v>
      </c>
      <c r="B83" s="106">
        <f t="shared" si="0"/>
        <v>1.9393939393939394</v>
      </c>
      <c r="C83" s="107" t="str">
        <f t="shared" si="0"/>
        <v>/h</v>
      </c>
      <c r="D83" s="12"/>
      <c r="E83" s="10"/>
      <c r="F83" s="49"/>
      <c r="G83" s="49"/>
      <c r="H83" s="49"/>
      <c r="I83" s="49"/>
      <c r="J83" s="49"/>
      <c r="K83" s="49"/>
      <c r="L83" s="49"/>
      <c r="M83" s="49"/>
      <c r="N83" s="49"/>
      <c r="O83" s="49"/>
      <c r="P83" s="49"/>
      <c r="Q83" s="49"/>
      <c r="R83" s="49"/>
      <c r="S83" s="49"/>
      <c r="T83" s="49"/>
      <c r="U83" s="49"/>
      <c r="V83" s="49"/>
      <c r="W83" s="49"/>
      <c r="X83" s="49"/>
      <c r="Y83" s="49"/>
    </row>
    <row r="84" spans="1:25" ht="15.75" customHeight="1">
      <c r="A84" s="94" t="str">
        <f>A47</f>
        <v>Filtration ACH</v>
      </c>
      <c r="B84" s="108">
        <f>IF(B39="No",0,B47)</f>
        <v>3.915151515151515</v>
      </c>
      <c r="C84" s="107" t="str">
        <f>C47</f>
        <v>/h</v>
      </c>
      <c r="D84" s="12"/>
      <c r="E84" s="10"/>
      <c r="F84" s="49"/>
      <c r="G84" s="49"/>
      <c r="H84" s="49"/>
      <c r="I84" s="49"/>
      <c r="J84" s="49"/>
      <c r="K84" s="49"/>
      <c r="L84" s="49"/>
      <c r="M84" s="49"/>
      <c r="N84" s="49"/>
      <c r="O84" s="49"/>
      <c r="P84" s="49"/>
      <c r="Q84" s="49"/>
      <c r="R84" s="49"/>
      <c r="S84" s="49"/>
      <c r="T84" s="49"/>
      <c r="U84" s="49"/>
      <c r="V84" s="49"/>
      <c r="W84" s="49"/>
      <c r="X84" s="49"/>
      <c r="Y84" s="49"/>
    </row>
    <row r="85" spans="1:25" ht="15.75" customHeight="1">
      <c r="A85" s="94" t="str">
        <f>A54</f>
        <v>Additional ACH</v>
      </c>
      <c r="B85" s="108">
        <f>IF(B50="Yes",B54,0)</f>
        <v>0</v>
      </c>
      <c r="C85" s="107" t="str">
        <f>C54</f>
        <v>/h</v>
      </c>
      <c r="D85" s="12"/>
      <c r="E85" s="10"/>
      <c r="F85" s="49"/>
      <c r="G85" s="49"/>
      <c r="H85" s="49"/>
      <c r="I85" s="49"/>
      <c r="J85" s="49"/>
      <c r="K85" s="49"/>
      <c r="L85" s="49"/>
      <c r="M85" s="49"/>
      <c r="N85" s="49"/>
      <c r="O85" s="49"/>
      <c r="P85" s="49"/>
      <c r="Q85" s="49"/>
      <c r="R85" s="49"/>
      <c r="S85" s="49"/>
      <c r="T85" s="49"/>
      <c r="U85" s="49"/>
      <c r="V85" s="49"/>
      <c r="W85" s="49"/>
      <c r="X85" s="49"/>
      <c r="Y85" s="49"/>
    </row>
    <row r="86" spans="1:25" ht="13.5" customHeight="1">
      <c r="A86" s="36" t="s">
        <v>196</v>
      </c>
      <c r="B86" s="108">
        <f>SUM(B83:B85)</f>
        <v>5.8545454545454545</v>
      </c>
      <c r="C86" s="109" t="s">
        <v>102</v>
      </c>
      <c r="D86" s="84"/>
      <c r="E86" s="10" t="s">
        <v>197</v>
      </c>
      <c r="F86" s="49"/>
      <c r="G86" s="49"/>
      <c r="H86" s="49"/>
      <c r="I86" s="49"/>
      <c r="J86" s="49"/>
      <c r="K86" s="49"/>
      <c r="L86" s="49"/>
      <c r="M86" s="49"/>
      <c r="N86" s="49"/>
      <c r="O86" s="49"/>
      <c r="P86" s="49"/>
      <c r="Q86" s="49"/>
      <c r="R86" s="49"/>
      <c r="S86" s="49"/>
      <c r="T86" s="49"/>
      <c r="U86" s="49"/>
      <c r="V86" s="49"/>
      <c r="W86" s="49"/>
      <c r="X86" s="49"/>
      <c r="Y86" s="49"/>
    </row>
    <row r="87" spans="1:25" ht="15.75" customHeight="1">
      <c r="A87" s="110"/>
      <c r="B87" s="110"/>
      <c r="C87" s="110"/>
      <c r="D87" s="110"/>
      <c r="E87" s="12"/>
      <c r="F87" s="49"/>
      <c r="G87" s="49"/>
      <c r="H87" s="49"/>
      <c r="I87" s="49"/>
      <c r="J87" s="49"/>
      <c r="K87" s="49"/>
      <c r="L87" s="49"/>
      <c r="M87" s="49"/>
      <c r="N87" s="49"/>
      <c r="O87" s="49"/>
      <c r="P87" s="49"/>
      <c r="Q87" s="49"/>
      <c r="R87" s="49"/>
      <c r="S87" s="49"/>
      <c r="T87" s="49"/>
      <c r="U87" s="49"/>
      <c r="V87" s="49"/>
      <c r="W87" s="49"/>
      <c r="X87" s="49"/>
      <c r="Y87" s="49"/>
    </row>
    <row r="88" spans="1:25" ht="15.75" customHeight="1">
      <c r="A88" s="29" t="s">
        <v>198</v>
      </c>
      <c r="B88" s="99"/>
      <c r="C88" s="72"/>
      <c r="D88" s="72"/>
      <c r="E88" s="32"/>
      <c r="F88" s="73"/>
      <c r="G88" s="49"/>
      <c r="H88" s="49"/>
      <c r="I88" s="49"/>
      <c r="J88" s="49"/>
      <c r="K88" s="49"/>
      <c r="L88" s="49"/>
      <c r="M88" s="49"/>
      <c r="N88" s="49"/>
      <c r="O88" s="49"/>
      <c r="P88" s="49"/>
      <c r="Q88" s="49"/>
      <c r="R88" s="49"/>
      <c r="S88" s="49"/>
      <c r="T88" s="49"/>
      <c r="U88" s="49"/>
      <c r="V88" s="49"/>
      <c r="W88" s="49"/>
      <c r="X88" s="49"/>
      <c r="Y88" s="49"/>
    </row>
    <row r="89" spans="1:25" ht="15.75" customHeight="1">
      <c r="A89" s="94" t="s">
        <v>199</v>
      </c>
      <c r="B89" s="95">
        <f>B65+B63</f>
        <v>2638.0213213245756</v>
      </c>
      <c r="C89" s="67" t="str">
        <f>C65</f>
        <v>$/year</v>
      </c>
      <c r="D89" s="12"/>
      <c r="E89" s="10" t="s">
        <v>200</v>
      </c>
      <c r="F89" s="49"/>
      <c r="G89" s="49"/>
      <c r="H89" s="49"/>
      <c r="I89" s="49"/>
      <c r="J89" s="49"/>
      <c r="K89" s="49"/>
      <c r="L89" s="49"/>
      <c r="M89" s="49"/>
      <c r="N89" s="49"/>
      <c r="O89" s="49"/>
      <c r="P89" s="49"/>
      <c r="Q89" s="49"/>
      <c r="R89" s="49"/>
      <c r="S89" s="49"/>
      <c r="T89" s="49"/>
      <c r="U89" s="49"/>
      <c r="V89" s="49"/>
      <c r="W89" s="49"/>
      <c r="X89" s="49"/>
      <c r="Y89" s="49"/>
    </row>
    <row r="90" spans="1:25" ht="15.75" customHeight="1">
      <c r="A90" s="94" t="s">
        <v>201</v>
      </c>
      <c r="B90" s="103">
        <f t="shared" ref="B90:C90" si="1">B72</f>
        <v>1085.6874534868027</v>
      </c>
      <c r="C90" s="104" t="str">
        <f t="shared" si="1"/>
        <v>$/year</v>
      </c>
      <c r="D90" s="12"/>
      <c r="E90" s="10" t="s">
        <v>202</v>
      </c>
      <c r="F90" s="49"/>
      <c r="G90" s="49"/>
      <c r="H90" s="49"/>
      <c r="I90" s="49"/>
      <c r="J90" s="49"/>
      <c r="K90" s="49"/>
      <c r="L90" s="49"/>
      <c r="M90" s="49"/>
      <c r="N90" s="49"/>
      <c r="O90" s="49"/>
      <c r="P90" s="49"/>
      <c r="Q90" s="49"/>
      <c r="R90" s="49"/>
      <c r="S90" s="49"/>
      <c r="T90" s="49"/>
      <c r="U90" s="49"/>
      <c r="V90" s="49"/>
      <c r="W90" s="49"/>
      <c r="X90" s="49"/>
      <c r="Y90" s="49"/>
    </row>
    <row r="91" spans="1:25" ht="15.75" customHeight="1">
      <c r="A91" s="94" t="s">
        <v>203</v>
      </c>
      <c r="B91" s="95">
        <f>B79</f>
        <v>0</v>
      </c>
      <c r="C91" s="67" t="s">
        <v>171</v>
      </c>
      <c r="D91" s="12"/>
      <c r="E91" s="10" t="s">
        <v>204</v>
      </c>
      <c r="F91" s="49"/>
      <c r="G91" s="49"/>
      <c r="H91" s="49"/>
      <c r="I91" s="49"/>
      <c r="J91" s="49"/>
      <c r="K91" s="49"/>
      <c r="L91" s="49"/>
      <c r="M91" s="49"/>
      <c r="N91" s="49"/>
      <c r="O91" s="49"/>
      <c r="P91" s="49"/>
      <c r="Q91" s="49"/>
      <c r="R91" s="49"/>
      <c r="S91" s="49"/>
      <c r="T91" s="49"/>
      <c r="U91" s="49"/>
      <c r="V91" s="49"/>
      <c r="W91" s="49"/>
      <c r="X91" s="49"/>
      <c r="Y91" s="49"/>
    </row>
    <row r="92" spans="1:25" ht="15.75" customHeight="1">
      <c r="A92" s="94" t="s">
        <v>205</v>
      </c>
      <c r="B92" s="95">
        <f>SUM(B89:B91)</f>
        <v>3723.7087748113781</v>
      </c>
      <c r="C92" s="111" t="s">
        <v>171</v>
      </c>
      <c r="D92" s="12"/>
      <c r="E92" s="10"/>
      <c r="F92" s="49"/>
      <c r="G92" s="49"/>
      <c r="H92" s="49"/>
      <c r="I92" s="49"/>
      <c r="J92" s="49"/>
      <c r="K92" s="49"/>
      <c r="L92" s="49"/>
      <c r="M92" s="49"/>
      <c r="N92" s="49"/>
      <c r="O92" s="49"/>
      <c r="P92" s="49"/>
      <c r="Q92" s="49"/>
      <c r="R92" s="49"/>
      <c r="S92" s="49"/>
      <c r="T92" s="49"/>
      <c r="U92" s="49"/>
      <c r="V92" s="49"/>
      <c r="W92" s="49"/>
      <c r="X92" s="49"/>
      <c r="Y92" s="49"/>
    </row>
    <row r="93" spans="1:25" ht="13.5" customHeight="1">
      <c r="A93" s="10"/>
      <c r="B93" s="10"/>
      <c r="C93" s="10"/>
      <c r="D93" s="10"/>
      <c r="E93" s="10"/>
      <c r="F93" s="49"/>
      <c r="G93" s="49"/>
      <c r="H93" s="49"/>
      <c r="I93" s="49"/>
      <c r="J93" s="49"/>
      <c r="K93" s="49"/>
      <c r="L93" s="49"/>
      <c r="M93" s="49"/>
      <c r="N93" s="49"/>
      <c r="O93" s="49"/>
      <c r="P93" s="49"/>
      <c r="Q93" s="49"/>
      <c r="R93" s="49"/>
      <c r="S93" s="49"/>
      <c r="T93" s="49"/>
      <c r="U93" s="49"/>
      <c r="V93" s="49"/>
      <c r="W93" s="49"/>
      <c r="X93" s="49"/>
      <c r="Y93" s="49"/>
    </row>
    <row r="94" spans="1:25" ht="15.75" customHeight="1">
      <c r="A94" s="29" t="s">
        <v>206</v>
      </c>
      <c r="B94" s="99"/>
      <c r="C94" s="72"/>
      <c r="D94" s="32"/>
      <c r="E94" s="32"/>
      <c r="F94" s="73"/>
      <c r="G94" s="49"/>
      <c r="H94" s="49"/>
      <c r="I94" s="49"/>
      <c r="J94" s="49"/>
      <c r="K94" s="49"/>
      <c r="L94" s="49"/>
      <c r="M94" s="49"/>
      <c r="N94" s="49"/>
      <c r="O94" s="49"/>
      <c r="P94" s="49"/>
      <c r="Q94" s="49"/>
      <c r="R94" s="49"/>
      <c r="S94" s="49"/>
      <c r="T94" s="49"/>
      <c r="U94" s="49"/>
      <c r="V94" s="49"/>
      <c r="W94" s="49"/>
      <c r="X94" s="49"/>
      <c r="Y94" s="49"/>
    </row>
    <row r="95" spans="1:25" ht="15.75" customHeight="1">
      <c r="A95" s="94" t="s">
        <v>207</v>
      </c>
      <c r="B95" s="103">
        <f>B62*(7.07*(10^(-4)))+IF(B24="Electricity",(B64*(7.07*(10^(-4)))),IF(B24="Gas",(B64*0.0053),(B64*0.0549)))</f>
        <v>14.132370512000003</v>
      </c>
      <c r="C95" s="104" t="s">
        <v>208</v>
      </c>
      <c r="D95" s="12"/>
      <c r="E95" s="10" t="s">
        <v>178</v>
      </c>
      <c r="F95" s="49"/>
      <c r="G95" s="49"/>
      <c r="H95" s="49"/>
      <c r="I95" s="49"/>
      <c r="J95" s="49"/>
      <c r="K95" s="49"/>
      <c r="L95" s="49"/>
      <c r="M95" s="49"/>
      <c r="N95" s="49"/>
      <c r="O95" s="49"/>
      <c r="P95" s="49"/>
      <c r="Q95" s="49"/>
      <c r="R95" s="49"/>
      <c r="S95" s="49"/>
      <c r="T95" s="49"/>
      <c r="U95" s="49"/>
      <c r="V95" s="49"/>
      <c r="W95" s="49"/>
      <c r="X95" s="49"/>
      <c r="Y95" s="49"/>
    </row>
    <row r="96" spans="1:25" ht="15.75" customHeight="1">
      <c r="A96" s="94" t="s">
        <v>209</v>
      </c>
      <c r="B96" s="103">
        <f>IF(B39="No",0,B68*B27*52)*(7.07*(10^(-4)))</f>
        <v>0.92296843783529448</v>
      </c>
      <c r="C96" s="104" t="s">
        <v>210</v>
      </c>
      <c r="D96" s="12"/>
      <c r="E96" s="10" t="s">
        <v>178</v>
      </c>
      <c r="F96" s="49"/>
      <c r="G96" s="49"/>
      <c r="H96" s="49"/>
      <c r="I96" s="49"/>
      <c r="J96" s="49"/>
      <c r="K96" s="49"/>
      <c r="L96" s="49"/>
      <c r="M96" s="49"/>
      <c r="N96" s="49"/>
      <c r="O96" s="49"/>
      <c r="P96" s="49"/>
      <c r="Q96" s="49"/>
      <c r="R96" s="49"/>
      <c r="S96" s="49"/>
      <c r="T96" s="49"/>
      <c r="U96" s="49"/>
      <c r="V96" s="49"/>
      <c r="W96" s="49"/>
      <c r="X96" s="49"/>
      <c r="Y96" s="49"/>
    </row>
    <row r="97" spans="1:25" ht="15.75" customHeight="1">
      <c r="A97" s="94" t="s">
        <v>211</v>
      </c>
      <c r="B97" s="103">
        <f>IF(B40="No",0,B75)*(7.07*(10^(-4)))</f>
        <v>0</v>
      </c>
      <c r="C97" s="104" t="s">
        <v>212</v>
      </c>
      <c r="D97" s="12"/>
      <c r="E97" s="10" t="s">
        <v>178</v>
      </c>
      <c r="F97" s="49"/>
      <c r="G97" s="49"/>
      <c r="H97" s="49"/>
      <c r="I97" s="49"/>
      <c r="J97" s="49"/>
      <c r="K97" s="49"/>
      <c r="L97" s="49"/>
      <c r="M97" s="49"/>
      <c r="N97" s="49"/>
      <c r="O97" s="49"/>
      <c r="P97" s="49"/>
      <c r="Q97" s="49"/>
      <c r="R97" s="49"/>
      <c r="S97" s="49"/>
      <c r="T97" s="49"/>
      <c r="U97" s="49"/>
      <c r="V97" s="49"/>
      <c r="W97" s="49"/>
      <c r="X97" s="49"/>
      <c r="Y97" s="49"/>
    </row>
    <row r="98" spans="1:25" ht="15.75" customHeight="1">
      <c r="A98" s="94" t="s">
        <v>213</v>
      </c>
      <c r="B98" s="103">
        <f>B95+B96+B97</f>
        <v>15.055338949835297</v>
      </c>
      <c r="C98" s="104" t="s">
        <v>214</v>
      </c>
      <c r="D98" s="12"/>
      <c r="E98" s="12"/>
      <c r="F98" s="49"/>
      <c r="G98" s="49"/>
      <c r="H98" s="49"/>
      <c r="I98" s="49"/>
      <c r="J98" s="49"/>
      <c r="K98" s="49"/>
      <c r="L98" s="49"/>
      <c r="M98" s="49"/>
      <c r="N98" s="49"/>
      <c r="O98" s="49"/>
      <c r="P98" s="49"/>
      <c r="Q98" s="49"/>
      <c r="R98" s="49"/>
      <c r="S98" s="49"/>
      <c r="T98" s="49"/>
      <c r="U98" s="49"/>
      <c r="V98" s="49"/>
      <c r="W98" s="49"/>
      <c r="X98" s="49"/>
      <c r="Y98" s="49"/>
    </row>
    <row r="99" spans="1:25" ht="15.75" customHeight="1">
      <c r="A99" s="49"/>
      <c r="B99" s="56"/>
      <c r="C99" s="57"/>
      <c r="D99" s="49"/>
      <c r="E99" s="49"/>
      <c r="F99" s="49"/>
      <c r="G99" s="49"/>
      <c r="H99" s="49"/>
      <c r="I99" s="49"/>
      <c r="J99" s="49"/>
      <c r="K99" s="49"/>
      <c r="L99" s="49"/>
      <c r="M99" s="49"/>
      <c r="N99" s="49"/>
      <c r="O99" s="49"/>
      <c r="P99" s="49"/>
      <c r="Q99" s="49"/>
      <c r="R99" s="49"/>
      <c r="S99" s="49"/>
      <c r="T99" s="49"/>
      <c r="U99" s="49"/>
      <c r="V99" s="49"/>
      <c r="W99" s="49"/>
      <c r="X99" s="49"/>
      <c r="Y99" s="49"/>
    </row>
    <row r="100" spans="1:25" ht="15.75" customHeight="1">
      <c r="A100" s="49"/>
      <c r="B100" s="56"/>
      <c r="C100" s="112"/>
      <c r="D100" s="49"/>
      <c r="E100" s="49"/>
      <c r="F100" s="49"/>
      <c r="G100" s="49"/>
      <c r="H100" s="49"/>
      <c r="I100" s="49"/>
      <c r="J100" s="49"/>
      <c r="K100" s="49"/>
      <c r="L100" s="49"/>
      <c r="M100" s="49"/>
      <c r="N100" s="49"/>
      <c r="O100" s="49"/>
      <c r="P100" s="49"/>
      <c r="Q100" s="49"/>
      <c r="R100" s="49"/>
      <c r="S100" s="49"/>
      <c r="T100" s="49"/>
      <c r="U100" s="49"/>
      <c r="V100" s="49"/>
      <c r="W100" s="49"/>
      <c r="X100" s="49"/>
      <c r="Y100" s="49"/>
    </row>
    <row r="101" spans="1:25" ht="15.75" customHeight="1">
      <c r="A101" s="49"/>
      <c r="B101" s="56"/>
      <c r="C101" s="57"/>
      <c r="D101" s="49"/>
      <c r="E101" s="49"/>
      <c r="F101" s="49"/>
      <c r="G101" s="49"/>
      <c r="H101" s="49"/>
      <c r="I101" s="49"/>
      <c r="J101" s="49"/>
      <c r="K101" s="49"/>
      <c r="L101" s="49"/>
      <c r="M101" s="49"/>
      <c r="N101" s="49"/>
      <c r="O101" s="49"/>
      <c r="P101" s="49"/>
      <c r="Q101" s="49"/>
      <c r="R101" s="49"/>
      <c r="S101" s="49"/>
      <c r="T101" s="49"/>
      <c r="U101" s="49"/>
      <c r="V101" s="49"/>
      <c r="W101" s="49"/>
      <c r="X101" s="49"/>
      <c r="Y101" s="49"/>
    </row>
    <row r="102" spans="1:25" ht="15.75" customHeight="1">
      <c r="A102" s="49"/>
      <c r="B102" s="56"/>
      <c r="C102" s="57"/>
      <c r="D102" s="49"/>
      <c r="E102" s="49"/>
      <c r="F102" s="49"/>
      <c r="G102" s="49"/>
      <c r="H102" s="49"/>
      <c r="I102" s="49"/>
      <c r="J102" s="49"/>
      <c r="K102" s="49"/>
      <c r="L102" s="49"/>
      <c r="M102" s="49"/>
      <c r="N102" s="49"/>
      <c r="O102" s="49"/>
      <c r="P102" s="49"/>
      <c r="Q102" s="49"/>
      <c r="R102" s="49"/>
      <c r="S102" s="49"/>
      <c r="T102" s="49"/>
      <c r="U102" s="49"/>
      <c r="V102" s="49"/>
      <c r="W102" s="49"/>
      <c r="X102" s="49"/>
      <c r="Y102" s="49"/>
    </row>
    <row r="103" spans="1:25" ht="15.75" customHeight="1">
      <c r="A103" s="49"/>
      <c r="B103" s="56"/>
      <c r="C103" s="57"/>
      <c r="D103" s="49"/>
      <c r="E103" s="49"/>
      <c r="F103" s="49"/>
      <c r="G103" s="49"/>
      <c r="H103" s="49"/>
      <c r="I103" s="49"/>
      <c r="J103" s="49"/>
      <c r="K103" s="49"/>
      <c r="L103" s="49"/>
      <c r="M103" s="49"/>
      <c r="N103" s="49"/>
      <c r="O103" s="49"/>
      <c r="P103" s="49"/>
      <c r="Q103" s="49"/>
      <c r="R103" s="49"/>
      <c r="S103" s="49"/>
      <c r="T103" s="49"/>
      <c r="U103" s="49"/>
      <c r="V103" s="49"/>
      <c r="W103" s="49"/>
      <c r="X103" s="49"/>
      <c r="Y103" s="49"/>
    </row>
    <row r="104" spans="1:25" ht="15.75" customHeight="1">
      <c r="A104" s="49"/>
      <c r="B104" s="56"/>
      <c r="C104" s="57"/>
      <c r="D104" s="49"/>
      <c r="E104" s="49"/>
      <c r="F104" s="49"/>
      <c r="G104" s="49"/>
      <c r="H104" s="49"/>
      <c r="I104" s="49"/>
      <c r="J104" s="49"/>
      <c r="K104" s="49"/>
      <c r="L104" s="49"/>
      <c r="M104" s="49"/>
      <c r="N104" s="49"/>
      <c r="O104" s="49"/>
      <c r="P104" s="49"/>
      <c r="Q104" s="49"/>
      <c r="R104" s="49"/>
      <c r="S104" s="49"/>
      <c r="T104" s="49"/>
      <c r="U104" s="49"/>
      <c r="V104" s="49"/>
      <c r="W104" s="49"/>
      <c r="X104" s="49"/>
      <c r="Y104" s="49"/>
    </row>
    <row r="105" spans="1:25" ht="15.75" customHeight="1">
      <c r="A105" s="49"/>
      <c r="B105" s="56"/>
      <c r="C105" s="57"/>
      <c r="D105" s="49"/>
      <c r="E105" s="49"/>
      <c r="F105" s="49"/>
      <c r="G105" s="49"/>
      <c r="H105" s="49"/>
      <c r="I105" s="49"/>
      <c r="J105" s="49"/>
      <c r="K105" s="49"/>
      <c r="L105" s="49"/>
      <c r="M105" s="49"/>
      <c r="N105" s="49"/>
      <c r="O105" s="49"/>
      <c r="P105" s="49"/>
      <c r="Q105" s="49"/>
      <c r="R105" s="49"/>
      <c r="S105" s="49"/>
      <c r="T105" s="49"/>
      <c r="U105" s="49"/>
      <c r="V105" s="49"/>
      <c r="W105" s="49"/>
      <c r="X105" s="49"/>
      <c r="Y105" s="49"/>
    </row>
    <row r="106" spans="1:25" ht="15.75" customHeight="1">
      <c r="A106" s="49"/>
      <c r="B106" s="56"/>
      <c r="C106" s="57"/>
      <c r="D106" s="49"/>
      <c r="E106" s="49"/>
      <c r="F106" s="49"/>
      <c r="G106" s="49"/>
      <c r="H106" s="49"/>
      <c r="I106" s="49"/>
      <c r="J106" s="49"/>
      <c r="K106" s="49"/>
      <c r="L106" s="49"/>
      <c r="M106" s="49"/>
      <c r="N106" s="49"/>
      <c r="O106" s="49"/>
      <c r="P106" s="49"/>
      <c r="Q106" s="49"/>
      <c r="R106" s="49"/>
      <c r="S106" s="49"/>
      <c r="T106" s="49"/>
      <c r="U106" s="49"/>
      <c r="V106" s="49"/>
      <c r="W106" s="49"/>
      <c r="X106" s="49"/>
      <c r="Y106" s="49"/>
    </row>
    <row r="107" spans="1:25" ht="15.75" customHeight="1">
      <c r="A107" s="49"/>
      <c r="B107" s="56"/>
      <c r="C107" s="57"/>
      <c r="D107" s="49"/>
      <c r="E107" s="49"/>
      <c r="F107" s="49"/>
      <c r="G107" s="49"/>
      <c r="H107" s="49"/>
      <c r="I107" s="49"/>
      <c r="J107" s="49"/>
      <c r="K107" s="49"/>
      <c r="L107" s="49"/>
      <c r="M107" s="49"/>
      <c r="N107" s="49"/>
      <c r="O107" s="49"/>
      <c r="P107" s="49"/>
      <c r="Q107" s="49"/>
      <c r="R107" s="49"/>
      <c r="S107" s="49"/>
      <c r="T107" s="49"/>
      <c r="U107" s="49"/>
      <c r="V107" s="49"/>
      <c r="W107" s="49"/>
      <c r="X107" s="49"/>
      <c r="Y107" s="49"/>
    </row>
    <row r="108" spans="1:25" ht="15.75" customHeight="1">
      <c r="A108" s="49"/>
      <c r="B108" s="56"/>
      <c r="C108" s="57"/>
      <c r="D108" s="49"/>
      <c r="E108" s="49"/>
      <c r="F108" s="49"/>
      <c r="G108" s="49"/>
      <c r="H108" s="49"/>
      <c r="I108" s="49"/>
      <c r="J108" s="49"/>
      <c r="K108" s="49"/>
      <c r="L108" s="49"/>
      <c r="M108" s="49"/>
      <c r="N108" s="49"/>
      <c r="O108" s="49"/>
      <c r="P108" s="49"/>
      <c r="Q108" s="49"/>
      <c r="R108" s="49"/>
      <c r="S108" s="49"/>
      <c r="T108" s="49"/>
      <c r="U108" s="49"/>
      <c r="V108" s="49"/>
      <c r="W108" s="49"/>
      <c r="X108" s="49"/>
      <c r="Y108" s="49"/>
    </row>
    <row r="109" spans="1:25" ht="15.75" customHeight="1">
      <c r="A109" s="49"/>
      <c r="B109" s="56"/>
      <c r="C109" s="57"/>
      <c r="D109" s="49"/>
      <c r="E109" s="49"/>
      <c r="F109" s="49"/>
      <c r="G109" s="49"/>
      <c r="H109" s="49"/>
      <c r="I109" s="49"/>
      <c r="J109" s="49"/>
      <c r="K109" s="49"/>
      <c r="L109" s="49"/>
      <c r="M109" s="49"/>
      <c r="N109" s="49"/>
      <c r="O109" s="49"/>
      <c r="P109" s="49"/>
      <c r="Q109" s="49"/>
      <c r="R109" s="49"/>
      <c r="S109" s="49"/>
      <c r="T109" s="49"/>
      <c r="U109" s="49"/>
      <c r="V109" s="49"/>
      <c r="W109" s="49"/>
      <c r="X109" s="49"/>
      <c r="Y109" s="49"/>
    </row>
    <row r="110" spans="1:25" ht="15.75" customHeight="1">
      <c r="A110" s="49"/>
      <c r="B110" s="56"/>
      <c r="C110" s="57"/>
      <c r="D110" s="49"/>
      <c r="E110" s="49"/>
      <c r="F110" s="49"/>
      <c r="G110" s="49"/>
      <c r="H110" s="49"/>
      <c r="I110" s="49"/>
      <c r="J110" s="49"/>
      <c r="K110" s="49"/>
      <c r="L110" s="49"/>
      <c r="M110" s="49"/>
      <c r="N110" s="49"/>
      <c r="O110" s="49"/>
      <c r="P110" s="49"/>
      <c r="Q110" s="49"/>
      <c r="R110" s="49"/>
      <c r="S110" s="49"/>
      <c r="T110" s="49"/>
      <c r="U110" s="49"/>
      <c r="V110" s="49"/>
      <c r="W110" s="49"/>
      <c r="X110" s="49"/>
      <c r="Y110" s="49"/>
    </row>
    <row r="111" spans="1:25" ht="15.75" customHeight="1">
      <c r="A111" s="49"/>
      <c r="B111" s="56"/>
      <c r="C111" s="57"/>
      <c r="D111" s="49"/>
      <c r="E111" s="49"/>
      <c r="F111" s="49"/>
      <c r="G111" s="49"/>
      <c r="H111" s="49"/>
      <c r="I111" s="49"/>
      <c r="J111" s="49"/>
      <c r="K111" s="49"/>
      <c r="L111" s="49"/>
      <c r="M111" s="49"/>
      <c r="N111" s="49"/>
      <c r="O111" s="49"/>
      <c r="P111" s="49"/>
      <c r="Q111" s="49"/>
      <c r="R111" s="49"/>
      <c r="S111" s="49"/>
      <c r="T111" s="49"/>
      <c r="U111" s="49"/>
      <c r="V111" s="49"/>
      <c r="W111" s="49"/>
      <c r="X111" s="49"/>
      <c r="Y111" s="49"/>
    </row>
    <row r="112" spans="1:25" ht="15.75" customHeight="1">
      <c r="A112" s="49"/>
      <c r="B112" s="56"/>
      <c r="C112" s="57"/>
      <c r="D112" s="49"/>
      <c r="E112" s="49"/>
      <c r="F112" s="49"/>
      <c r="G112" s="49"/>
      <c r="H112" s="49"/>
      <c r="I112" s="49"/>
      <c r="J112" s="49"/>
      <c r="K112" s="49"/>
      <c r="L112" s="49"/>
      <c r="M112" s="49"/>
      <c r="N112" s="49"/>
      <c r="O112" s="49"/>
      <c r="P112" s="49"/>
      <c r="Q112" s="49"/>
      <c r="R112" s="49"/>
      <c r="S112" s="49"/>
      <c r="T112" s="49"/>
      <c r="U112" s="49"/>
      <c r="V112" s="49"/>
      <c r="W112" s="49"/>
      <c r="X112" s="49"/>
      <c r="Y112" s="49"/>
    </row>
    <row r="113" spans="1:25" ht="15.75" customHeight="1">
      <c r="A113" s="49"/>
      <c r="B113" s="56"/>
      <c r="C113" s="57"/>
      <c r="D113" s="49"/>
      <c r="E113" s="49"/>
      <c r="F113" s="49"/>
      <c r="G113" s="49"/>
      <c r="H113" s="49"/>
      <c r="I113" s="49"/>
      <c r="J113" s="49"/>
      <c r="K113" s="49"/>
      <c r="L113" s="49"/>
      <c r="M113" s="49"/>
      <c r="N113" s="49"/>
      <c r="O113" s="49"/>
      <c r="P113" s="49"/>
      <c r="Q113" s="49"/>
      <c r="R113" s="49"/>
      <c r="S113" s="49"/>
      <c r="T113" s="49"/>
      <c r="U113" s="49"/>
      <c r="V113" s="49"/>
      <c r="W113" s="49"/>
      <c r="X113" s="49"/>
      <c r="Y113" s="49"/>
    </row>
    <row r="114" spans="1:25" ht="15.75" customHeight="1">
      <c r="A114" s="49"/>
      <c r="B114" s="56"/>
      <c r="C114" s="57"/>
      <c r="D114" s="49"/>
      <c r="E114" s="49"/>
      <c r="F114" s="49"/>
      <c r="G114" s="49"/>
      <c r="H114" s="49"/>
      <c r="I114" s="49"/>
      <c r="J114" s="49"/>
      <c r="K114" s="49"/>
      <c r="L114" s="49"/>
      <c r="M114" s="49"/>
      <c r="N114" s="49"/>
      <c r="O114" s="49"/>
      <c r="P114" s="49"/>
      <c r="Q114" s="49"/>
      <c r="R114" s="49"/>
      <c r="S114" s="49"/>
      <c r="T114" s="49"/>
      <c r="U114" s="49"/>
      <c r="V114" s="49"/>
      <c r="W114" s="49"/>
      <c r="X114" s="49"/>
      <c r="Y114" s="49"/>
    </row>
    <row r="115" spans="1:25" ht="15.75" customHeight="1">
      <c r="A115" s="49"/>
      <c r="B115" s="56"/>
      <c r="C115" s="57"/>
      <c r="D115" s="49"/>
      <c r="E115" s="49"/>
      <c r="F115" s="49"/>
      <c r="G115" s="49"/>
      <c r="H115" s="49"/>
      <c r="I115" s="49"/>
      <c r="J115" s="49"/>
      <c r="K115" s="49"/>
      <c r="L115" s="49"/>
      <c r="M115" s="49"/>
      <c r="N115" s="49"/>
      <c r="O115" s="49"/>
      <c r="P115" s="49"/>
      <c r="Q115" s="49"/>
      <c r="R115" s="49"/>
      <c r="S115" s="49"/>
      <c r="T115" s="49"/>
      <c r="U115" s="49"/>
      <c r="V115" s="49"/>
      <c r="W115" s="49"/>
      <c r="X115" s="49"/>
      <c r="Y115" s="49"/>
    </row>
    <row r="116" spans="1:25" ht="15.75" customHeight="1">
      <c r="A116" s="49"/>
      <c r="B116" s="56"/>
      <c r="C116" s="57"/>
      <c r="D116" s="49"/>
      <c r="E116" s="49"/>
      <c r="F116" s="49"/>
      <c r="G116" s="49"/>
      <c r="H116" s="49"/>
      <c r="I116" s="49"/>
      <c r="J116" s="49"/>
      <c r="K116" s="49"/>
      <c r="L116" s="49"/>
      <c r="M116" s="49"/>
      <c r="N116" s="49"/>
      <c r="O116" s="49"/>
      <c r="P116" s="49"/>
      <c r="Q116" s="49"/>
      <c r="R116" s="49"/>
      <c r="S116" s="49"/>
      <c r="T116" s="49"/>
      <c r="U116" s="49"/>
      <c r="V116" s="49"/>
      <c r="W116" s="49"/>
      <c r="X116" s="49"/>
      <c r="Y116" s="49"/>
    </row>
    <row r="117" spans="1:25" ht="15.75" customHeight="1">
      <c r="A117" s="49"/>
      <c r="B117" s="56"/>
      <c r="C117" s="57"/>
      <c r="D117" s="49"/>
      <c r="E117" s="49"/>
      <c r="F117" s="49"/>
      <c r="G117" s="49"/>
      <c r="H117" s="49"/>
      <c r="I117" s="49"/>
      <c r="J117" s="49"/>
      <c r="K117" s="49"/>
      <c r="L117" s="49"/>
      <c r="M117" s="49"/>
      <c r="N117" s="49"/>
      <c r="O117" s="49"/>
      <c r="P117" s="49"/>
      <c r="Q117" s="49"/>
      <c r="R117" s="49"/>
      <c r="S117" s="49"/>
      <c r="T117" s="49"/>
      <c r="U117" s="49"/>
      <c r="V117" s="49"/>
      <c r="W117" s="49"/>
      <c r="X117" s="49"/>
      <c r="Y117" s="49"/>
    </row>
    <row r="118" spans="1:25" ht="15.75" customHeight="1">
      <c r="A118" s="49"/>
      <c r="B118" s="56"/>
      <c r="C118" s="57"/>
      <c r="D118" s="49"/>
      <c r="E118" s="49"/>
      <c r="F118" s="49"/>
      <c r="G118" s="49"/>
      <c r="H118" s="49"/>
      <c r="I118" s="49"/>
      <c r="J118" s="49"/>
      <c r="K118" s="49"/>
      <c r="L118" s="49"/>
      <c r="M118" s="49"/>
      <c r="N118" s="49"/>
      <c r="O118" s="49"/>
      <c r="P118" s="49"/>
      <c r="Q118" s="49"/>
      <c r="R118" s="49"/>
      <c r="S118" s="49"/>
      <c r="T118" s="49"/>
      <c r="U118" s="49"/>
      <c r="V118" s="49"/>
      <c r="W118" s="49"/>
      <c r="X118" s="49"/>
      <c r="Y118" s="49"/>
    </row>
    <row r="119" spans="1:25" ht="15.75" customHeight="1">
      <c r="A119" s="49"/>
      <c r="B119" s="56"/>
      <c r="C119" s="57"/>
      <c r="D119" s="49"/>
      <c r="E119" s="49"/>
      <c r="F119" s="49"/>
      <c r="G119" s="49"/>
      <c r="H119" s="49"/>
      <c r="I119" s="49"/>
      <c r="J119" s="49"/>
      <c r="K119" s="49"/>
      <c r="L119" s="49"/>
      <c r="M119" s="49"/>
      <c r="N119" s="49"/>
      <c r="O119" s="49"/>
      <c r="P119" s="49"/>
      <c r="Q119" s="49"/>
      <c r="R119" s="49"/>
      <c r="S119" s="49"/>
      <c r="T119" s="49"/>
      <c r="U119" s="49"/>
      <c r="V119" s="49"/>
      <c r="W119" s="49"/>
      <c r="X119" s="49"/>
      <c r="Y119" s="49"/>
    </row>
    <row r="120" spans="1:25" ht="15.75" customHeight="1">
      <c r="A120" s="49"/>
      <c r="B120" s="56"/>
      <c r="C120" s="57"/>
      <c r="D120" s="49"/>
      <c r="E120" s="49"/>
      <c r="F120" s="49"/>
      <c r="G120" s="49"/>
      <c r="H120" s="49"/>
      <c r="I120" s="49"/>
      <c r="J120" s="49"/>
      <c r="K120" s="49"/>
      <c r="L120" s="49"/>
      <c r="M120" s="49"/>
      <c r="N120" s="49"/>
      <c r="O120" s="49"/>
      <c r="P120" s="49"/>
      <c r="Q120" s="49"/>
      <c r="R120" s="49"/>
      <c r="S120" s="49"/>
      <c r="T120" s="49"/>
      <c r="U120" s="49"/>
      <c r="V120" s="49"/>
      <c r="W120" s="49"/>
      <c r="X120" s="49"/>
      <c r="Y120" s="49"/>
    </row>
    <row r="121" spans="1:25" ht="15.75" customHeight="1">
      <c r="A121" s="49"/>
      <c r="B121" s="56"/>
      <c r="C121" s="57"/>
      <c r="D121" s="49"/>
      <c r="E121" s="49"/>
      <c r="F121" s="49"/>
      <c r="G121" s="49"/>
      <c r="H121" s="49"/>
      <c r="I121" s="49"/>
      <c r="J121" s="49"/>
      <c r="K121" s="49"/>
      <c r="L121" s="49"/>
      <c r="M121" s="49"/>
      <c r="N121" s="49"/>
      <c r="O121" s="49"/>
      <c r="P121" s="49"/>
      <c r="Q121" s="49"/>
      <c r="R121" s="49"/>
      <c r="S121" s="49"/>
      <c r="T121" s="49"/>
      <c r="U121" s="49"/>
      <c r="V121" s="49"/>
      <c r="W121" s="49"/>
      <c r="X121" s="49"/>
      <c r="Y121" s="49"/>
    </row>
    <row r="122" spans="1:25" ht="15.75" customHeight="1">
      <c r="A122" s="49"/>
      <c r="B122" s="56"/>
      <c r="C122" s="57"/>
      <c r="D122" s="49"/>
      <c r="E122" s="49"/>
      <c r="F122" s="49"/>
      <c r="G122" s="49"/>
      <c r="H122" s="49"/>
      <c r="I122" s="49"/>
      <c r="J122" s="49"/>
      <c r="K122" s="49"/>
      <c r="L122" s="49"/>
      <c r="M122" s="49"/>
      <c r="N122" s="49"/>
      <c r="O122" s="49"/>
      <c r="P122" s="49"/>
      <c r="Q122" s="49"/>
      <c r="R122" s="49"/>
      <c r="S122" s="49"/>
      <c r="T122" s="49"/>
      <c r="U122" s="49"/>
      <c r="V122" s="49"/>
      <c r="W122" s="49"/>
      <c r="X122" s="49"/>
      <c r="Y122" s="49"/>
    </row>
    <row r="123" spans="1:25" ht="15.75" customHeight="1">
      <c r="A123" s="49"/>
      <c r="B123" s="56"/>
      <c r="C123" s="57"/>
      <c r="D123" s="49"/>
      <c r="E123" s="49"/>
      <c r="F123" s="49"/>
      <c r="G123" s="49"/>
      <c r="H123" s="49"/>
      <c r="I123" s="49"/>
      <c r="J123" s="49"/>
      <c r="K123" s="49"/>
      <c r="L123" s="49"/>
      <c r="M123" s="49"/>
      <c r="N123" s="49"/>
      <c r="O123" s="49"/>
      <c r="P123" s="49"/>
      <c r="Q123" s="49"/>
      <c r="R123" s="49"/>
      <c r="S123" s="49"/>
      <c r="T123" s="49"/>
      <c r="U123" s="49"/>
      <c r="V123" s="49"/>
      <c r="W123" s="49"/>
      <c r="X123" s="49"/>
      <c r="Y123" s="49"/>
    </row>
    <row r="124" spans="1:25" ht="15.75" customHeight="1">
      <c r="A124" s="49"/>
      <c r="B124" s="56"/>
      <c r="C124" s="57"/>
      <c r="D124" s="49"/>
      <c r="E124" s="49"/>
      <c r="F124" s="49"/>
      <c r="G124" s="49"/>
      <c r="H124" s="49"/>
      <c r="I124" s="49"/>
      <c r="J124" s="49"/>
      <c r="K124" s="49"/>
      <c r="L124" s="49"/>
      <c r="M124" s="49"/>
      <c r="N124" s="49"/>
      <c r="O124" s="49"/>
      <c r="P124" s="49"/>
      <c r="Q124" s="49"/>
      <c r="R124" s="49"/>
      <c r="S124" s="49"/>
      <c r="T124" s="49"/>
      <c r="U124" s="49"/>
      <c r="V124" s="49"/>
      <c r="W124" s="49"/>
      <c r="X124" s="49"/>
      <c r="Y124" s="49"/>
    </row>
    <row r="125" spans="1:25" ht="15.75" customHeight="1">
      <c r="A125" s="49"/>
      <c r="B125" s="56"/>
      <c r="C125" s="57"/>
      <c r="D125" s="49"/>
      <c r="E125" s="49"/>
      <c r="F125" s="49"/>
      <c r="G125" s="49"/>
      <c r="H125" s="49"/>
      <c r="I125" s="49"/>
      <c r="J125" s="49"/>
      <c r="K125" s="49"/>
      <c r="L125" s="49"/>
      <c r="M125" s="49"/>
      <c r="N125" s="49"/>
      <c r="O125" s="49"/>
      <c r="P125" s="49"/>
      <c r="Q125" s="49"/>
      <c r="R125" s="49"/>
      <c r="S125" s="49"/>
      <c r="T125" s="49"/>
      <c r="U125" s="49"/>
      <c r="V125" s="49"/>
      <c r="W125" s="49"/>
      <c r="X125" s="49"/>
      <c r="Y125" s="49"/>
    </row>
    <row r="126" spans="1:25" ht="15.75" customHeight="1">
      <c r="A126" s="49"/>
      <c r="B126" s="56"/>
      <c r="C126" s="57"/>
      <c r="D126" s="49"/>
      <c r="E126" s="49"/>
      <c r="F126" s="49"/>
      <c r="G126" s="49"/>
      <c r="H126" s="49"/>
      <c r="I126" s="49"/>
      <c r="J126" s="49"/>
      <c r="K126" s="49"/>
      <c r="L126" s="49"/>
      <c r="M126" s="49"/>
      <c r="N126" s="49"/>
      <c r="O126" s="49"/>
      <c r="P126" s="49"/>
      <c r="Q126" s="49"/>
      <c r="R126" s="49"/>
      <c r="S126" s="49"/>
      <c r="T126" s="49"/>
      <c r="U126" s="49"/>
      <c r="V126" s="49"/>
      <c r="W126" s="49"/>
      <c r="X126" s="49"/>
      <c r="Y126" s="49"/>
    </row>
    <row r="127" spans="1:25" ht="15.75" customHeight="1">
      <c r="A127" s="49"/>
      <c r="B127" s="56"/>
      <c r="C127" s="57"/>
      <c r="D127" s="49"/>
      <c r="E127" s="49"/>
      <c r="F127" s="49"/>
      <c r="G127" s="49"/>
      <c r="H127" s="49"/>
      <c r="I127" s="49"/>
      <c r="J127" s="49"/>
      <c r="K127" s="49"/>
      <c r="L127" s="49"/>
      <c r="M127" s="49"/>
      <c r="N127" s="49"/>
      <c r="O127" s="49"/>
      <c r="P127" s="49"/>
      <c r="Q127" s="49"/>
      <c r="R127" s="49"/>
      <c r="S127" s="49"/>
      <c r="T127" s="49"/>
      <c r="U127" s="49"/>
      <c r="V127" s="49"/>
      <c r="W127" s="49"/>
      <c r="X127" s="49"/>
      <c r="Y127" s="49"/>
    </row>
    <row r="128" spans="1:25" ht="15.75" customHeight="1">
      <c r="A128" s="49"/>
      <c r="B128" s="56"/>
      <c r="C128" s="57"/>
      <c r="D128" s="49"/>
      <c r="E128" s="49"/>
      <c r="F128" s="49"/>
      <c r="G128" s="49"/>
      <c r="H128" s="49"/>
      <c r="I128" s="49"/>
      <c r="J128" s="49"/>
      <c r="K128" s="49"/>
      <c r="L128" s="49"/>
      <c r="M128" s="49"/>
      <c r="N128" s="49"/>
      <c r="O128" s="49"/>
      <c r="P128" s="49"/>
      <c r="Q128" s="49"/>
      <c r="R128" s="49"/>
      <c r="S128" s="49"/>
      <c r="T128" s="49"/>
      <c r="U128" s="49"/>
      <c r="V128" s="49"/>
      <c r="W128" s="49"/>
      <c r="X128" s="49"/>
      <c r="Y128" s="49"/>
    </row>
    <row r="129" spans="1:25" ht="15.75" customHeight="1">
      <c r="A129" s="49"/>
      <c r="B129" s="56"/>
      <c r="C129" s="57"/>
      <c r="D129" s="49"/>
      <c r="E129" s="49"/>
      <c r="F129" s="49"/>
      <c r="G129" s="49"/>
      <c r="H129" s="49"/>
      <c r="I129" s="49"/>
      <c r="J129" s="49"/>
      <c r="K129" s="49"/>
      <c r="L129" s="49"/>
      <c r="M129" s="49"/>
      <c r="N129" s="49"/>
      <c r="O129" s="49"/>
      <c r="P129" s="49"/>
      <c r="Q129" s="49"/>
      <c r="R129" s="49"/>
      <c r="S129" s="49"/>
      <c r="T129" s="49"/>
      <c r="U129" s="49"/>
      <c r="V129" s="49"/>
      <c r="W129" s="49"/>
      <c r="X129" s="49"/>
      <c r="Y129" s="49"/>
    </row>
    <row r="130" spans="1:25" ht="15.75" customHeight="1">
      <c r="A130" s="49"/>
      <c r="B130" s="56"/>
      <c r="C130" s="57"/>
      <c r="D130" s="49"/>
      <c r="E130" s="49"/>
      <c r="F130" s="49"/>
      <c r="G130" s="49"/>
      <c r="H130" s="49"/>
      <c r="I130" s="49"/>
      <c r="J130" s="49"/>
      <c r="K130" s="49"/>
      <c r="L130" s="49"/>
      <c r="M130" s="49"/>
      <c r="N130" s="49"/>
      <c r="O130" s="49"/>
      <c r="P130" s="49"/>
      <c r="Q130" s="49"/>
      <c r="R130" s="49"/>
      <c r="S130" s="49"/>
      <c r="T130" s="49"/>
      <c r="U130" s="49"/>
      <c r="V130" s="49"/>
      <c r="W130" s="49"/>
      <c r="X130" s="49"/>
      <c r="Y130" s="49"/>
    </row>
    <row r="131" spans="1:25" ht="15.75" customHeight="1">
      <c r="A131" s="49"/>
      <c r="B131" s="56"/>
      <c r="C131" s="57"/>
      <c r="D131" s="49"/>
      <c r="E131" s="49"/>
      <c r="F131" s="49"/>
      <c r="G131" s="49"/>
      <c r="H131" s="49"/>
      <c r="I131" s="49"/>
      <c r="J131" s="49"/>
      <c r="K131" s="49"/>
      <c r="L131" s="49"/>
      <c r="M131" s="49"/>
      <c r="N131" s="49"/>
      <c r="O131" s="49"/>
      <c r="P131" s="49"/>
      <c r="Q131" s="49"/>
      <c r="R131" s="49"/>
      <c r="S131" s="49"/>
      <c r="T131" s="49"/>
      <c r="U131" s="49"/>
      <c r="V131" s="49"/>
      <c r="W131" s="49"/>
      <c r="X131" s="49"/>
      <c r="Y131" s="49"/>
    </row>
    <row r="132" spans="1:25" ht="15.75" customHeight="1">
      <c r="A132" s="49"/>
      <c r="B132" s="56"/>
      <c r="C132" s="57"/>
      <c r="D132" s="49"/>
      <c r="E132" s="49"/>
      <c r="F132" s="49"/>
      <c r="G132" s="49"/>
      <c r="H132" s="49"/>
      <c r="I132" s="49"/>
      <c r="J132" s="49"/>
      <c r="K132" s="49"/>
      <c r="L132" s="49"/>
      <c r="M132" s="49"/>
      <c r="N132" s="49"/>
      <c r="O132" s="49"/>
      <c r="P132" s="49"/>
      <c r="Q132" s="49"/>
      <c r="R132" s="49"/>
      <c r="S132" s="49"/>
      <c r="T132" s="49"/>
      <c r="U132" s="49"/>
      <c r="V132" s="49"/>
      <c r="W132" s="49"/>
      <c r="X132" s="49"/>
      <c r="Y132" s="49"/>
    </row>
    <row r="133" spans="1:25" ht="15.75" customHeight="1">
      <c r="A133" s="49"/>
      <c r="B133" s="56"/>
      <c r="C133" s="57"/>
      <c r="D133" s="49"/>
      <c r="E133" s="49"/>
      <c r="F133" s="49"/>
      <c r="G133" s="49"/>
      <c r="H133" s="49"/>
      <c r="I133" s="49"/>
      <c r="J133" s="49"/>
      <c r="K133" s="49"/>
      <c r="L133" s="49"/>
      <c r="M133" s="49"/>
      <c r="N133" s="49"/>
      <c r="O133" s="49"/>
      <c r="P133" s="49"/>
      <c r="Q133" s="49"/>
      <c r="R133" s="49"/>
      <c r="S133" s="49"/>
      <c r="T133" s="49"/>
      <c r="U133" s="49"/>
      <c r="V133" s="49"/>
      <c r="W133" s="49"/>
      <c r="X133" s="49"/>
      <c r="Y133" s="49"/>
    </row>
    <row r="134" spans="1:25" ht="15.75" customHeight="1">
      <c r="A134" s="49"/>
      <c r="B134" s="56"/>
      <c r="C134" s="57"/>
      <c r="D134" s="49"/>
      <c r="E134" s="49"/>
      <c r="F134" s="49"/>
      <c r="G134" s="49"/>
      <c r="H134" s="49"/>
      <c r="I134" s="49"/>
      <c r="J134" s="49"/>
      <c r="K134" s="49"/>
      <c r="L134" s="49"/>
      <c r="M134" s="49"/>
      <c r="N134" s="49"/>
      <c r="O134" s="49"/>
      <c r="P134" s="49"/>
      <c r="Q134" s="49"/>
      <c r="R134" s="49"/>
      <c r="S134" s="49"/>
      <c r="T134" s="49"/>
      <c r="U134" s="49"/>
      <c r="V134" s="49"/>
      <c r="W134" s="49"/>
      <c r="X134" s="49"/>
      <c r="Y134" s="49"/>
    </row>
    <row r="135" spans="1:25" ht="15.75" customHeight="1">
      <c r="A135" s="49"/>
      <c r="B135" s="56"/>
      <c r="C135" s="57"/>
      <c r="D135" s="49"/>
      <c r="E135" s="49"/>
      <c r="F135" s="49"/>
      <c r="G135" s="49"/>
      <c r="H135" s="49"/>
      <c r="I135" s="49"/>
      <c r="J135" s="49"/>
      <c r="K135" s="49"/>
      <c r="L135" s="49"/>
      <c r="M135" s="49"/>
      <c r="N135" s="49"/>
      <c r="O135" s="49"/>
      <c r="P135" s="49"/>
      <c r="Q135" s="49"/>
      <c r="R135" s="49"/>
      <c r="S135" s="49"/>
      <c r="T135" s="49"/>
      <c r="U135" s="49"/>
      <c r="V135" s="49"/>
      <c r="W135" s="49"/>
      <c r="X135" s="49"/>
      <c r="Y135" s="49"/>
    </row>
    <row r="136" spans="1:25" ht="15.75" customHeight="1">
      <c r="A136" s="49"/>
      <c r="B136" s="56"/>
      <c r="C136" s="57"/>
      <c r="D136" s="49"/>
      <c r="E136" s="49"/>
      <c r="F136" s="49"/>
      <c r="G136" s="49"/>
      <c r="H136" s="49"/>
      <c r="I136" s="49"/>
      <c r="J136" s="49"/>
      <c r="K136" s="49"/>
      <c r="L136" s="49"/>
      <c r="M136" s="49"/>
      <c r="N136" s="49"/>
      <c r="O136" s="49"/>
      <c r="P136" s="49"/>
      <c r="Q136" s="49"/>
      <c r="R136" s="49"/>
      <c r="S136" s="49"/>
      <c r="T136" s="49"/>
      <c r="U136" s="49"/>
      <c r="V136" s="49"/>
      <c r="W136" s="49"/>
      <c r="X136" s="49"/>
      <c r="Y136" s="49"/>
    </row>
    <row r="137" spans="1:25" ht="15.75" customHeight="1">
      <c r="A137" s="49"/>
      <c r="B137" s="56"/>
      <c r="C137" s="57"/>
      <c r="D137" s="49"/>
      <c r="E137" s="49"/>
      <c r="F137" s="49"/>
      <c r="G137" s="49"/>
      <c r="H137" s="49"/>
      <c r="I137" s="49"/>
      <c r="J137" s="49"/>
      <c r="K137" s="49"/>
      <c r="L137" s="49"/>
      <c r="M137" s="49"/>
      <c r="N137" s="49"/>
      <c r="O137" s="49"/>
      <c r="P137" s="49"/>
      <c r="Q137" s="49"/>
      <c r="R137" s="49"/>
      <c r="S137" s="49"/>
      <c r="T137" s="49"/>
      <c r="U137" s="49"/>
      <c r="V137" s="49"/>
      <c r="W137" s="49"/>
      <c r="X137" s="49"/>
      <c r="Y137" s="49"/>
    </row>
    <row r="138" spans="1:25" ht="15.75" customHeight="1">
      <c r="A138" s="49"/>
      <c r="B138" s="56"/>
      <c r="C138" s="57"/>
      <c r="D138" s="49"/>
      <c r="E138" s="49"/>
      <c r="F138" s="49"/>
      <c r="G138" s="49"/>
      <c r="H138" s="49"/>
      <c r="I138" s="49"/>
      <c r="J138" s="49"/>
      <c r="K138" s="49"/>
      <c r="L138" s="49"/>
      <c r="M138" s="49"/>
      <c r="N138" s="49"/>
      <c r="O138" s="49"/>
      <c r="P138" s="49"/>
      <c r="Q138" s="49"/>
      <c r="R138" s="49"/>
      <c r="S138" s="49"/>
      <c r="T138" s="49"/>
      <c r="U138" s="49"/>
      <c r="V138" s="49"/>
      <c r="W138" s="49"/>
      <c r="X138" s="49"/>
      <c r="Y138" s="49"/>
    </row>
    <row r="139" spans="1:25" ht="15.75" customHeight="1">
      <c r="A139" s="49"/>
      <c r="B139" s="56"/>
      <c r="C139" s="57"/>
      <c r="D139" s="49"/>
      <c r="E139" s="49"/>
      <c r="F139" s="49"/>
      <c r="G139" s="49"/>
      <c r="H139" s="49"/>
      <c r="I139" s="49"/>
      <c r="J139" s="49"/>
      <c r="K139" s="49"/>
      <c r="L139" s="49"/>
      <c r="M139" s="49"/>
      <c r="N139" s="49"/>
      <c r="O139" s="49"/>
      <c r="P139" s="49"/>
      <c r="Q139" s="49"/>
      <c r="R139" s="49"/>
      <c r="S139" s="49"/>
      <c r="T139" s="49"/>
      <c r="U139" s="49"/>
      <c r="V139" s="49"/>
      <c r="W139" s="49"/>
      <c r="X139" s="49"/>
      <c r="Y139" s="49"/>
    </row>
    <row r="140" spans="1:25" ht="15.75" customHeight="1">
      <c r="A140" s="49"/>
      <c r="B140" s="56"/>
      <c r="C140" s="57"/>
      <c r="D140" s="49"/>
      <c r="E140" s="49"/>
      <c r="F140" s="49"/>
      <c r="G140" s="49"/>
      <c r="H140" s="49"/>
      <c r="I140" s="49"/>
      <c r="J140" s="49"/>
      <c r="K140" s="49"/>
      <c r="L140" s="49"/>
      <c r="M140" s="49"/>
      <c r="N140" s="49"/>
      <c r="O140" s="49"/>
      <c r="P140" s="49"/>
      <c r="Q140" s="49"/>
      <c r="R140" s="49"/>
      <c r="S140" s="49"/>
      <c r="T140" s="49"/>
      <c r="U140" s="49"/>
      <c r="V140" s="49"/>
      <c r="W140" s="49"/>
      <c r="X140" s="49"/>
      <c r="Y140" s="49"/>
    </row>
    <row r="141" spans="1:25" ht="15.75" customHeight="1">
      <c r="A141" s="49"/>
      <c r="B141" s="56"/>
      <c r="C141" s="57"/>
      <c r="D141" s="49"/>
      <c r="E141" s="49"/>
      <c r="F141" s="49"/>
      <c r="G141" s="49"/>
      <c r="H141" s="49"/>
      <c r="I141" s="49"/>
      <c r="J141" s="49"/>
      <c r="K141" s="49"/>
      <c r="L141" s="49"/>
      <c r="M141" s="49"/>
      <c r="N141" s="49"/>
      <c r="O141" s="49"/>
      <c r="P141" s="49"/>
      <c r="Q141" s="49"/>
      <c r="R141" s="49"/>
      <c r="S141" s="49"/>
      <c r="T141" s="49"/>
      <c r="U141" s="49"/>
      <c r="V141" s="49"/>
      <c r="W141" s="49"/>
      <c r="X141" s="49"/>
      <c r="Y141" s="49"/>
    </row>
    <row r="142" spans="1:25" ht="15.75" customHeight="1">
      <c r="A142" s="49"/>
      <c r="B142" s="56"/>
      <c r="C142" s="57"/>
      <c r="D142" s="49"/>
      <c r="E142" s="49"/>
      <c r="F142" s="49"/>
      <c r="G142" s="49"/>
      <c r="H142" s="49"/>
      <c r="I142" s="49"/>
      <c r="J142" s="49"/>
      <c r="K142" s="49"/>
      <c r="L142" s="49"/>
      <c r="M142" s="49"/>
      <c r="N142" s="49"/>
      <c r="O142" s="49"/>
      <c r="P142" s="49"/>
      <c r="Q142" s="49"/>
      <c r="R142" s="49"/>
      <c r="S142" s="49"/>
      <c r="T142" s="49"/>
      <c r="U142" s="49"/>
      <c r="V142" s="49"/>
      <c r="W142" s="49"/>
      <c r="X142" s="49"/>
      <c r="Y142" s="49"/>
    </row>
    <row r="143" spans="1:25" ht="15.75" customHeight="1">
      <c r="A143" s="49"/>
      <c r="B143" s="56"/>
      <c r="C143" s="57"/>
      <c r="D143" s="49"/>
      <c r="E143" s="49"/>
      <c r="F143" s="49"/>
      <c r="G143" s="49"/>
      <c r="H143" s="49"/>
      <c r="I143" s="49"/>
      <c r="J143" s="49"/>
      <c r="K143" s="49"/>
      <c r="L143" s="49"/>
      <c r="M143" s="49"/>
      <c r="N143" s="49"/>
      <c r="O143" s="49"/>
      <c r="P143" s="49"/>
      <c r="Q143" s="49"/>
      <c r="R143" s="49"/>
      <c r="S143" s="49"/>
      <c r="T143" s="49"/>
      <c r="U143" s="49"/>
      <c r="V143" s="49"/>
      <c r="W143" s="49"/>
      <c r="X143" s="49"/>
      <c r="Y143" s="49"/>
    </row>
    <row r="144" spans="1:25" ht="15.75" customHeight="1">
      <c r="A144" s="49"/>
      <c r="B144" s="56"/>
      <c r="C144" s="57"/>
      <c r="D144" s="49"/>
      <c r="E144" s="49"/>
      <c r="F144" s="49"/>
      <c r="G144" s="49"/>
      <c r="H144" s="49"/>
      <c r="I144" s="49"/>
      <c r="J144" s="49"/>
      <c r="K144" s="49"/>
      <c r="L144" s="49"/>
      <c r="M144" s="49"/>
      <c r="N144" s="49"/>
      <c r="O144" s="49"/>
      <c r="P144" s="49"/>
      <c r="Q144" s="49"/>
      <c r="R144" s="49"/>
      <c r="S144" s="49"/>
      <c r="T144" s="49"/>
      <c r="U144" s="49"/>
      <c r="V144" s="49"/>
      <c r="W144" s="49"/>
      <c r="X144" s="49"/>
      <c r="Y144" s="49"/>
    </row>
    <row r="145" spans="1:25" ht="15.75" customHeight="1">
      <c r="A145" s="49"/>
      <c r="B145" s="56"/>
      <c r="C145" s="57"/>
      <c r="D145" s="49"/>
      <c r="E145" s="49"/>
      <c r="F145" s="49"/>
      <c r="G145" s="49"/>
      <c r="H145" s="49"/>
      <c r="I145" s="49"/>
      <c r="J145" s="49"/>
      <c r="K145" s="49"/>
      <c r="L145" s="49"/>
      <c r="M145" s="49"/>
      <c r="N145" s="49"/>
      <c r="O145" s="49"/>
      <c r="P145" s="49"/>
      <c r="Q145" s="49"/>
      <c r="R145" s="49"/>
      <c r="S145" s="49"/>
      <c r="T145" s="49"/>
      <c r="U145" s="49"/>
      <c r="V145" s="49"/>
      <c r="W145" s="49"/>
      <c r="X145" s="49"/>
      <c r="Y145" s="49"/>
    </row>
    <row r="146" spans="1:25" ht="15.75" customHeight="1">
      <c r="A146" s="49"/>
      <c r="B146" s="56"/>
      <c r="C146" s="57"/>
      <c r="D146" s="49"/>
      <c r="E146" s="49"/>
      <c r="F146" s="49"/>
      <c r="G146" s="49"/>
      <c r="H146" s="49"/>
      <c r="I146" s="49"/>
      <c r="J146" s="49"/>
      <c r="K146" s="49"/>
      <c r="L146" s="49"/>
      <c r="M146" s="49"/>
      <c r="N146" s="49"/>
      <c r="O146" s="49"/>
      <c r="P146" s="49"/>
      <c r="Q146" s="49"/>
      <c r="R146" s="49"/>
      <c r="S146" s="49"/>
      <c r="T146" s="49"/>
      <c r="U146" s="49"/>
      <c r="V146" s="49"/>
      <c r="W146" s="49"/>
      <c r="X146" s="49"/>
      <c r="Y146" s="49"/>
    </row>
    <row r="147" spans="1:25" ht="15.75" customHeight="1">
      <c r="A147" s="49"/>
      <c r="B147" s="56"/>
      <c r="C147" s="57"/>
      <c r="D147" s="49"/>
      <c r="E147" s="49"/>
      <c r="F147" s="49"/>
      <c r="G147" s="49"/>
      <c r="H147" s="49"/>
      <c r="I147" s="49"/>
      <c r="J147" s="49"/>
      <c r="K147" s="49"/>
      <c r="L147" s="49"/>
      <c r="M147" s="49"/>
      <c r="N147" s="49"/>
      <c r="O147" s="49"/>
      <c r="P147" s="49"/>
      <c r="Q147" s="49"/>
      <c r="R147" s="49"/>
      <c r="S147" s="49"/>
      <c r="T147" s="49"/>
      <c r="U147" s="49"/>
      <c r="V147" s="49"/>
      <c r="W147" s="49"/>
      <c r="X147" s="49"/>
      <c r="Y147" s="49"/>
    </row>
    <row r="148" spans="1:25" ht="15.75" customHeight="1">
      <c r="A148" s="49"/>
      <c r="B148" s="56"/>
      <c r="C148" s="57"/>
      <c r="D148" s="49"/>
      <c r="E148" s="49"/>
      <c r="F148" s="49"/>
      <c r="G148" s="49"/>
      <c r="H148" s="49"/>
      <c r="I148" s="49"/>
      <c r="J148" s="49"/>
      <c r="K148" s="49"/>
      <c r="L148" s="49"/>
      <c r="M148" s="49"/>
      <c r="N148" s="49"/>
      <c r="O148" s="49"/>
      <c r="P148" s="49"/>
      <c r="Q148" s="49"/>
      <c r="R148" s="49"/>
      <c r="S148" s="49"/>
      <c r="T148" s="49"/>
      <c r="U148" s="49"/>
      <c r="V148" s="49"/>
      <c r="W148" s="49"/>
      <c r="X148" s="49"/>
      <c r="Y148" s="49"/>
    </row>
    <row r="149" spans="1:25" ht="15.75" customHeight="1">
      <c r="A149" s="49"/>
      <c r="B149" s="56"/>
      <c r="C149" s="57"/>
      <c r="D149" s="49"/>
      <c r="E149" s="49"/>
      <c r="F149" s="49"/>
      <c r="G149" s="49"/>
      <c r="H149" s="49"/>
      <c r="I149" s="49"/>
      <c r="J149" s="49"/>
      <c r="K149" s="49"/>
      <c r="L149" s="49"/>
      <c r="M149" s="49"/>
      <c r="N149" s="49"/>
      <c r="O149" s="49"/>
      <c r="P149" s="49"/>
      <c r="Q149" s="49"/>
      <c r="R149" s="49"/>
      <c r="S149" s="49"/>
      <c r="T149" s="49"/>
      <c r="U149" s="49"/>
      <c r="V149" s="49"/>
      <c r="W149" s="49"/>
      <c r="X149" s="49"/>
      <c r="Y149" s="49"/>
    </row>
    <row r="150" spans="1:25" ht="15.75" customHeight="1">
      <c r="A150" s="49"/>
      <c r="B150" s="56"/>
      <c r="C150" s="57"/>
      <c r="D150" s="49"/>
      <c r="E150" s="49"/>
      <c r="F150" s="49"/>
      <c r="G150" s="49"/>
      <c r="H150" s="49"/>
      <c r="I150" s="49"/>
      <c r="J150" s="49"/>
      <c r="K150" s="49"/>
      <c r="L150" s="49"/>
      <c r="M150" s="49"/>
      <c r="N150" s="49"/>
      <c r="O150" s="49"/>
      <c r="P150" s="49"/>
      <c r="Q150" s="49"/>
      <c r="R150" s="49"/>
      <c r="S150" s="49"/>
      <c r="T150" s="49"/>
      <c r="U150" s="49"/>
      <c r="V150" s="49"/>
      <c r="W150" s="49"/>
      <c r="X150" s="49"/>
      <c r="Y150" s="49"/>
    </row>
    <row r="151" spans="1:25" ht="15.75" customHeight="1">
      <c r="A151" s="49"/>
      <c r="B151" s="56"/>
      <c r="C151" s="57"/>
      <c r="D151" s="49"/>
      <c r="E151" s="49"/>
      <c r="F151" s="49"/>
      <c r="G151" s="49"/>
      <c r="H151" s="49"/>
      <c r="I151" s="49"/>
      <c r="J151" s="49"/>
      <c r="K151" s="49"/>
      <c r="L151" s="49"/>
      <c r="M151" s="49"/>
      <c r="N151" s="49"/>
      <c r="O151" s="49"/>
      <c r="P151" s="49"/>
      <c r="Q151" s="49"/>
      <c r="R151" s="49"/>
      <c r="S151" s="49"/>
      <c r="T151" s="49"/>
      <c r="U151" s="49"/>
      <c r="V151" s="49"/>
      <c r="W151" s="49"/>
      <c r="X151" s="49"/>
      <c r="Y151" s="49"/>
    </row>
    <row r="152" spans="1:25" ht="15.75" customHeight="1">
      <c r="A152" s="49"/>
      <c r="B152" s="56"/>
      <c r="C152" s="57"/>
      <c r="D152" s="49"/>
      <c r="E152" s="49"/>
      <c r="F152" s="49"/>
      <c r="G152" s="49"/>
      <c r="H152" s="49"/>
      <c r="I152" s="49"/>
      <c r="J152" s="49"/>
      <c r="K152" s="49"/>
      <c r="L152" s="49"/>
      <c r="M152" s="49"/>
      <c r="N152" s="49"/>
      <c r="O152" s="49"/>
      <c r="P152" s="49"/>
      <c r="Q152" s="49"/>
      <c r="R152" s="49"/>
      <c r="S152" s="49"/>
      <c r="T152" s="49"/>
      <c r="U152" s="49"/>
      <c r="V152" s="49"/>
      <c r="W152" s="49"/>
      <c r="X152" s="49"/>
      <c r="Y152" s="49"/>
    </row>
    <row r="153" spans="1:25" ht="15.75" customHeight="1">
      <c r="A153" s="49"/>
      <c r="B153" s="56"/>
      <c r="C153" s="57"/>
      <c r="D153" s="49"/>
      <c r="E153" s="49"/>
      <c r="F153" s="49"/>
      <c r="G153" s="49"/>
      <c r="H153" s="49"/>
      <c r="I153" s="49"/>
      <c r="J153" s="49"/>
      <c r="K153" s="49"/>
      <c r="L153" s="49"/>
      <c r="M153" s="49"/>
      <c r="N153" s="49"/>
      <c r="O153" s="49"/>
      <c r="P153" s="49"/>
      <c r="Q153" s="49"/>
      <c r="R153" s="49"/>
      <c r="S153" s="49"/>
      <c r="T153" s="49"/>
      <c r="U153" s="49"/>
      <c r="V153" s="49"/>
      <c r="W153" s="49"/>
      <c r="X153" s="49"/>
      <c r="Y153" s="49"/>
    </row>
    <row r="154" spans="1:25" ht="15.75" customHeight="1">
      <c r="A154" s="49"/>
      <c r="B154" s="56"/>
      <c r="C154" s="57"/>
      <c r="D154" s="49"/>
      <c r="E154" s="49"/>
      <c r="F154" s="49"/>
      <c r="G154" s="49"/>
      <c r="H154" s="49"/>
      <c r="I154" s="49"/>
      <c r="J154" s="49"/>
      <c r="K154" s="49"/>
      <c r="L154" s="49"/>
      <c r="M154" s="49"/>
      <c r="N154" s="49"/>
      <c r="O154" s="49"/>
      <c r="P154" s="49"/>
      <c r="Q154" s="49"/>
      <c r="R154" s="49"/>
      <c r="S154" s="49"/>
      <c r="T154" s="49"/>
      <c r="U154" s="49"/>
      <c r="V154" s="49"/>
      <c r="W154" s="49"/>
      <c r="X154" s="49"/>
      <c r="Y154" s="49"/>
    </row>
    <row r="155" spans="1:25" ht="15.75" customHeight="1">
      <c r="A155" s="49"/>
      <c r="B155" s="56"/>
      <c r="C155" s="57"/>
      <c r="D155" s="49"/>
      <c r="E155" s="49"/>
      <c r="F155" s="49"/>
      <c r="G155" s="49"/>
      <c r="H155" s="49"/>
      <c r="I155" s="49"/>
      <c r="J155" s="49"/>
      <c r="K155" s="49"/>
      <c r="L155" s="49"/>
      <c r="M155" s="49"/>
      <c r="N155" s="49"/>
      <c r="O155" s="49"/>
      <c r="P155" s="49"/>
      <c r="Q155" s="49"/>
      <c r="R155" s="49"/>
      <c r="S155" s="49"/>
      <c r="T155" s="49"/>
      <c r="U155" s="49"/>
      <c r="V155" s="49"/>
      <c r="W155" s="49"/>
      <c r="X155" s="49"/>
      <c r="Y155" s="49"/>
    </row>
    <row r="156" spans="1:25" ht="15.75" customHeight="1">
      <c r="A156" s="49"/>
      <c r="B156" s="56"/>
      <c r="C156" s="57"/>
      <c r="D156" s="49"/>
      <c r="E156" s="49"/>
      <c r="F156" s="49"/>
      <c r="G156" s="49"/>
      <c r="H156" s="49"/>
      <c r="I156" s="49"/>
      <c r="J156" s="49"/>
      <c r="K156" s="49"/>
      <c r="L156" s="49"/>
      <c r="M156" s="49"/>
      <c r="N156" s="49"/>
      <c r="O156" s="49"/>
      <c r="P156" s="49"/>
      <c r="Q156" s="49"/>
      <c r="R156" s="49"/>
      <c r="S156" s="49"/>
      <c r="T156" s="49"/>
      <c r="U156" s="49"/>
      <c r="V156" s="49"/>
      <c r="W156" s="49"/>
      <c r="X156" s="49"/>
      <c r="Y156" s="49"/>
    </row>
    <row r="157" spans="1:25" ht="15.75" customHeight="1">
      <c r="A157" s="49"/>
      <c r="B157" s="56"/>
      <c r="C157" s="57"/>
      <c r="D157" s="49"/>
      <c r="E157" s="49"/>
      <c r="F157" s="49"/>
      <c r="G157" s="49"/>
      <c r="H157" s="49"/>
      <c r="I157" s="49"/>
      <c r="J157" s="49"/>
      <c r="K157" s="49"/>
      <c r="L157" s="49"/>
      <c r="M157" s="49"/>
      <c r="N157" s="49"/>
      <c r="O157" s="49"/>
      <c r="P157" s="49"/>
      <c r="Q157" s="49"/>
      <c r="R157" s="49"/>
      <c r="S157" s="49"/>
      <c r="T157" s="49"/>
      <c r="U157" s="49"/>
      <c r="V157" s="49"/>
      <c r="W157" s="49"/>
      <c r="X157" s="49"/>
      <c r="Y157" s="49"/>
    </row>
    <row r="158" spans="1:25" ht="15.75" customHeight="1">
      <c r="A158" s="49"/>
      <c r="B158" s="56"/>
      <c r="C158" s="57"/>
      <c r="D158" s="49"/>
      <c r="E158" s="49"/>
      <c r="F158" s="49"/>
      <c r="G158" s="49"/>
      <c r="H158" s="49"/>
      <c r="I158" s="49"/>
      <c r="J158" s="49"/>
      <c r="K158" s="49"/>
      <c r="L158" s="49"/>
      <c r="M158" s="49"/>
      <c r="N158" s="49"/>
      <c r="O158" s="49"/>
      <c r="P158" s="49"/>
      <c r="Q158" s="49"/>
      <c r="R158" s="49"/>
      <c r="S158" s="49"/>
      <c r="T158" s="49"/>
      <c r="U158" s="49"/>
      <c r="V158" s="49"/>
      <c r="W158" s="49"/>
      <c r="X158" s="49"/>
      <c r="Y158" s="49"/>
    </row>
    <row r="159" spans="1:25" ht="15.75" customHeight="1">
      <c r="A159" s="49"/>
      <c r="B159" s="56"/>
      <c r="C159" s="57"/>
      <c r="D159" s="49"/>
      <c r="E159" s="49"/>
      <c r="F159" s="49"/>
      <c r="G159" s="49"/>
      <c r="H159" s="49"/>
      <c r="I159" s="49"/>
      <c r="J159" s="49"/>
      <c r="K159" s="49"/>
      <c r="L159" s="49"/>
      <c r="M159" s="49"/>
      <c r="N159" s="49"/>
      <c r="O159" s="49"/>
      <c r="P159" s="49"/>
      <c r="Q159" s="49"/>
      <c r="R159" s="49"/>
      <c r="S159" s="49"/>
      <c r="T159" s="49"/>
      <c r="U159" s="49"/>
      <c r="V159" s="49"/>
      <c r="W159" s="49"/>
      <c r="X159" s="49"/>
      <c r="Y159" s="49"/>
    </row>
    <row r="160" spans="1:25" ht="15.75" customHeight="1">
      <c r="A160" s="49"/>
      <c r="B160" s="56"/>
      <c r="C160" s="57"/>
      <c r="D160" s="49"/>
      <c r="E160" s="49"/>
      <c r="F160" s="49"/>
      <c r="G160" s="49"/>
      <c r="H160" s="49"/>
      <c r="I160" s="49"/>
      <c r="J160" s="49"/>
      <c r="K160" s="49"/>
      <c r="L160" s="49"/>
      <c r="M160" s="49"/>
      <c r="N160" s="49"/>
      <c r="O160" s="49"/>
      <c r="P160" s="49"/>
      <c r="Q160" s="49"/>
      <c r="R160" s="49"/>
      <c r="S160" s="49"/>
      <c r="T160" s="49"/>
      <c r="U160" s="49"/>
      <c r="V160" s="49"/>
      <c r="W160" s="49"/>
      <c r="X160" s="49"/>
      <c r="Y160" s="49"/>
    </row>
    <row r="161" spans="1:25" ht="15.75" customHeight="1">
      <c r="A161" s="49"/>
      <c r="B161" s="56"/>
      <c r="C161" s="57"/>
      <c r="D161" s="49"/>
      <c r="E161" s="49"/>
      <c r="F161" s="49"/>
      <c r="G161" s="49"/>
      <c r="H161" s="49"/>
      <c r="I161" s="49"/>
      <c r="J161" s="49"/>
      <c r="K161" s="49"/>
      <c r="L161" s="49"/>
      <c r="M161" s="49"/>
      <c r="N161" s="49"/>
      <c r="O161" s="49"/>
      <c r="P161" s="49"/>
      <c r="Q161" s="49"/>
      <c r="R161" s="49"/>
      <c r="S161" s="49"/>
      <c r="T161" s="49"/>
      <c r="U161" s="49"/>
      <c r="V161" s="49"/>
      <c r="W161" s="49"/>
      <c r="X161" s="49"/>
      <c r="Y161" s="49"/>
    </row>
    <row r="162" spans="1:25" ht="15.75" customHeight="1">
      <c r="A162" s="49"/>
      <c r="B162" s="56"/>
      <c r="C162" s="57"/>
      <c r="D162" s="49"/>
      <c r="E162" s="49"/>
      <c r="F162" s="49"/>
      <c r="G162" s="49"/>
      <c r="H162" s="49"/>
      <c r="I162" s="49"/>
      <c r="J162" s="49"/>
      <c r="K162" s="49"/>
      <c r="L162" s="49"/>
      <c r="M162" s="49"/>
      <c r="N162" s="49"/>
      <c r="O162" s="49"/>
      <c r="P162" s="49"/>
      <c r="Q162" s="49"/>
      <c r="R162" s="49"/>
      <c r="S162" s="49"/>
      <c r="T162" s="49"/>
      <c r="U162" s="49"/>
      <c r="V162" s="49"/>
      <c r="W162" s="49"/>
      <c r="X162" s="49"/>
      <c r="Y162" s="49"/>
    </row>
    <row r="163" spans="1:25" ht="15.75" customHeight="1">
      <c r="A163" s="49"/>
      <c r="B163" s="56"/>
      <c r="C163" s="57"/>
      <c r="D163" s="49"/>
      <c r="E163" s="49"/>
      <c r="F163" s="49"/>
      <c r="G163" s="49"/>
      <c r="H163" s="49"/>
      <c r="I163" s="49"/>
      <c r="J163" s="49"/>
      <c r="K163" s="49"/>
      <c r="L163" s="49"/>
      <c r="M163" s="49"/>
      <c r="N163" s="49"/>
      <c r="O163" s="49"/>
      <c r="P163" s="49"/>
      <c r="Q163" s="49"/>
      <c r="R163" s="49"/>
      <c r="S163" s="49"/>
      <c r="T163" s="49"/>
      <c r="U163" s="49"/>
      <c r="V163" s="49"/>
      <c r="W163" s="49"/>
      <c r="X163" s="49"/>
      <c r="Y163" s="49"/>
    </row>
    <row r="164" spans="1:25" ht="15.75" customHeight="1">
      <c r="A164" s="49"/>
      <c r="B164" s="56"/>
      <c r="C164" s="57"/>
      <c r="D164" s="49"/>
      <c r="E164" s="49"/>
      <c r="F164" s="49"/>
      <c r="G164" s="49"/>
      <c r="H164" s="49"/>
      <c r="I164" s="49"/>
      <c r="J164" s="49"/>
      <c r="K164" s="49"/>
      <c r="L164" s="49"/>
      <c r="M164" s="49"/>
      <c r="N164" s="49"/>
      <c r="O164" s="49"/>
      <c r="P164" s="49"/>
      <c r="Q164" s="49"/>
      <c r="R164" s="49"/>
      <c r="S164" s="49"/>
      <c r="T164" s="49"/>
      <c r="U164" s="49"/>
      <c r="V164" s="49"/>
      <c r="W164" s="49"/>
      <c r="X164" s="49"/>
      <c r="Y164" s="49"/>
    </row>
    <row r="165" spans="1:25" ht="15.75" customHeight="1">
      <c r="A165" s="49"/>
      <c r="B165" s="56"/>
      <c r="C165" s="57"/>
      <c r="D165" s="49"/>
      <c r="E165" s="49"/>
      <c r="F165" s="49"/>
      <c r="G165" s="49"/>
      <c r="H165" s="49"/>
      <c r="I165" s="49"/>
      <c r="J165" s="49"/>
      <c r="K165" s="49"/>
      <c r="L165" s="49"/>
      <c r="M165" s="49"/>
      <c r="N165" s="49"/>
      <c r="O165" s="49"/>
      <c r="P165" s="49"/>
      <c r="Q165" s="49"/>
      <c r="R165" s="49"/>
      <c r="S165" s="49"/>
      <c r="T165" s="49"/>
      <c r="U165" s="49"/>
      <c r="V165" s="49"/>
      <c r="W165" s="49"/>
      <c r="X165" s="49"/>
      <c r="Y165" s="49"/>
    </row>
    <row r="166" spans="1:25" ht="15.75" customHeight="1">
      <c r="A166" s="49"/>
      <c r="B166" s="56"/>
      <c r="C166" s="57"/>
      <c r="D166" s="49"/>
      <c r="E166" s="49"/>
      <c r="F166" s="49"/>
      <c r="G166" s="49"/>
      <c r="H166" s="49"/>
      <c r="I166" s="49"/>
      <c r="J166" s="49"/>
      <c r="K166" s="49"/>
      <c r="L166" s="49"/>
      <c r="M166" s="49"/>
      <c r="N166" s="49"/>
      <c r="O166" s="49"/>
      <c r="P166" s="49"/>
      <c r="Q166" s="49"/>
      <c r="R166" s="49"/>
      <c r="S166" s="49"/>
      <c r="T166" s="49"/>
      <c r="U166" s="49"/>
      <c r="V166" s="49"/>
      <c r="W166" s="49"/>
      <c r="X166" s="49"/>
      <c r="Y166" s="49"/>
    </row>
    <row r="167" spans="1:25" ht="15.75" customHeight="1">
      <c r="A167" s="49"/>
      <c r="B167" s="56"/>
      <c r="C167" s="57"/>
      <c r="D167" s="49"/>
      <c r="E167" s="49"/>
      <c r="F167" s="49"/>
      <c r="G167" s="49"/>
      <c r="H167" s="49"/>
      <c r="I167" s="49"/>
      <c r="J167" s="49"/>
      <c r="K167" s="49"/>
      <c r="L167" s="49"/>
      <c r="M167" s="49"/>
      <c r="N167" s="49"/>
      <c r="O167" s="49"/>
      <c r="P167" s="49"/>
      <c r="Q167" s="49"/>
      <c r="R167" s="49"/>
      <c r="S167" s="49"/>
      <c r="T167" s="49"/>
      <c r="U167" s="49"/>
      <c r="V167" s="49"/>
      <c r="W167" s="49"/>
      <c r="X167" s="49"/>
      <c r="Y167" s="49"/>
    </row>
    <row r="168" spans="1:25" ht="15.75" customHeight="1">
      <c r="A168" s="49"/>
      <c r="B168" s="56"/>
      <c r="C168" s="57"/>
      <c r="D168" s="49"/>
      <c r="E168" s="49"/>
      <c r="F168" s="49"/>
      <c r="G168" s="49"/>
      <c r="H168" s="49"/>
      <c r="I168" s="49"/>
      <c r="J168" s="49"/>
      <c r="K168" s="49"/>
      <c r="L168" s="49"/>
      <c r="M168" s="49"/>
      <c r="N168" s="49"/>
      <c r="O168" s="49"/>
      <c r="P168" s="49"/>
      <c r="Q168" s="49"/>
      <c r="R168" s="49"/>
      <c r="S168" s="49"/>
      <c r="T168" s="49"/>
      <c r="U168" s="49"/>
      <c r="V168" s="49"/>
      <c r="W168" s="49"/>
      <c r="X168" s="49"/>
      <c r="Y168" s="49"/>
    </row>
    <row r="169" spans="1:25" ht="15.75" customHeight="1">
      <c r="A169" s="49"/>
      <c r="B169" s="56"/>
      <c r="C169" s="57"/>
      <c r="D169" s="49"/>
      <c r="E169" s="49"/>
      <c r="F169" s="49"/>
      <c r="G169" s="49"/>
      <c r="H169" s="49"/>
      <c r="I169" s="49"/>
      <c r="J169" s="49"/>
      <c r="K169" s="49"/>
      <c r="L169" s="49"/>
      <c r="M169" s="49"/>
      <c r="N169" s="49"/>
      <c r="O169" s="49"/>
      <c r="P169" s="49"/>
      <c r="Q169" s="49"/>
      <c r="R169" s="49"/>
      <c r="S169" s="49"/>
      <c r="T169" s="49"/>
      <c r="U169" s="49"/>
      <c r="V169" s="49"/>
      <c r="W169" s="49"/>
      <c r="X169" s="49"/>
      <c r="Y169" s="49"/>
    </row>
    <row r="170" spans="1:25" ht="15.75" customHeight="1">
      <c r="A170" s="49"/>
      <c r="B170" s="56"/>
      <c r="C170" s="57"/>
      <c r="D170" s="49"/>
      <c r="E170" s="49"/>
      <c r="F170" s="49"/>
      <c r="G170" s="49"/>
      <c r="H170" s="49"/>
      <c r="I170" s="49"/>
      <c r="J170" s="49"/>
      <c r="K170" s="49"/>
      <c r="L170" s="49"/>
      <c r="M170" s="49"/>
      <c r="N170" s="49"/>
      <c r="O170" s="49"/>
      <c r="P170" s="49"/>
      <c r="Q170" s="49"/>
      <c r="R170" s="49"/>
      <c r="S170" s="49"/>
      <c r="T170" s="49"/>
      <c r="U170" s="49"/>
      <c r="V170" s="49"/>
      <c r="W170" s="49"/>
      <c r="X170" s="49"/>
      <c r="Y170" s="49"/>
    </row>
    <row r="171" spans="1:25" ht="15.75" customHeight="1">
      <c r="A171" s="49"/>
      <c r="B171" s="56"/>
      <c r="C171" s="57"/>
      <c r="D171" s="49"/>
      <c r="E171" s="49"/>
      <c r="F171" s="49"/>
      <c r="G171" s="49"/>
      <c r="H171" s="49"/>
      <c r="I171" s="49"/>
      <c r="J171" s="49"/>
      <c r="K171" s="49"/>
      <c r="L171" s="49"/>
      <c r="M171" s="49"/>
      <c r="N171" s="49"/>
      <c r="O171" s="49"/>
      <c r="P171" s="49"/>
      <c r="Q171" s="49"/>
      <c r="R171" s="49"/>
      <c r="S171" s="49"/>
      <c r="T171" s="49"/>
      <c r="U171" s="49"/>
      <c r="V171" s="49"/>
      <c r="W171" s="49"/>
      <c r="X171" s="49"/>
      <c r="Y171" s="49"/>
    </row>
    <row r="172" spans="1:25" ht="15.75" customHeight="1">
      <c r="A172" s="49"/>
      <c r="B172" s="56"/>
      <c r="C172" s="57"/>
      <c r="D172" s="49"/>
      <c r="E172" s="49"/>
      <c r="F172" s="49"/>
      <c r="G172" s="49"/>
      <c r="H172" s="49"/>
      <c r="I172" s="49"/>
      <c r="J172" s="49"/>
      <c r="K172" s="49"/>
      <c r="L172" s="49"/>
      <c r="M172" s="49"/>
      <c r="N172" s="49"/>
      <c r="O172" s="49"/>
      <c r="P172" s="49"/>
      <c r="Q172" s="49"/>
      <c r="R172" s="49"/>
      <c r="S172" s="49"/>
      <c r="T172" s="49"/>
      <c r="U172" s="49"/>
      <c r="V172" s="49"/>
      <c r="W172" s="49"/>
      <c r="X172" s="49"/>
      <c r="Y172" s="49"/>
    </row>
    <row r="173" spans="1:25" ht="15.75" customHeight="1">
      <c r="A173" s="49"/>
      <c r="B173" s="56"/>
      <c r="C173" s="57"/>
      <c r="D173" s="49"/>
      <c r="E173" s="49"/>
      <c r="F173" s="49"/>
      <c r="G173" s="49"/>
      <c r="H173" s="49"/>
      <c r="I173" s="49"/>
      <c r="J173" s="49"/>
      <c r="K173" s="49"/>
      <c r="L173" s="49"/>
      <c r="M173" s="49"/>
      <c r="N173" s="49"/>
      <c r="O173" s="49"/>
      <c r="P173" s="49"/>
      <c r="Q173" s="49"/>
      <c r="R173" s="49"/>
      <c r="S173" s="49"/>
      <c r="T173" s="49"/>
      <c r="U173" s="49"/>
      <c r="V173" s="49"/>
      <c r="W173" s="49"/>
      <c r="X173" s="49"/>
      <c r="Y173" s="49"/>
    </row>
    <row r="174" spans="1:25" ht="15.75" customHeight="1">
      <c r="A174" s="49"/>
      <c r="B174" s="56"/>
      <c r="C174" s="57"/>
      <c r="D174" s="49"/>
      <c r="E174" s="49"/>
      <c r="F174" s="49"/>
      <c r="G174" s="49"/>
      <c r="H174" s="49"/>
      <c r="I174" s="49"/>
      <c r="J174" s="49"/>
      <c r="K174" s="49"/>
      <c r="L174" s="49"/>
      <c r="M174" s="49"/>
      <c r="N174" s="49"/>
      <c r="O174" s="49"/>
      <c r="P174" s="49"/>
      <c r="Q174" s="49"/>
      <c r="R174" s="49"/>
      <c r="S174" s="49"/>
      <c r="T174" s="49"/>
      <c r="U174" s="49"/>
      <c r="V174" s="49"/>
      <c r="W174" s="49"/>
      <c r="X174" s="49"/>
      <c r="Y174" s="49"/>
    </row>
    <row r="175" spans="1:25" ht="15.75" customHeight="1">
      <c r="A175" s="49"/>
      <c r="B175" s="56"/>
      <c r="C175" s="57"/>
      <c r="D175" s="49"/>
      <c r="E175" s="49"/>
      <c r="F175" s="49"/>
      <c r="G175" s="49"/>
      <c r="H175" s="49"/>
      <c r="I175" s="49"/>
      <c r="J175" s="49"/>
      <c r="K175" s="49"/>
      <c r="L175" s="49"/>
      <c r="M175" s="49"/>
      <c r="N175" s="49"/>
      <c r="O175" s="49"/>
      <c r="P175" s="49"/>
      <c r="Q175" s="49"/>
      <c r="R175" s="49"/>
      <c r="S175" s="49"/>
      <c r="T175" s="49"/>
      <c r="U175" s="49"/>
      <c r="V175" s="49"/>
      <c r="W175" s="49"/>
      <c r="X175" s="49"/>
      <c r="Y175" s="49"/>
    </row>
    <row r="176" spans="1:25" ht="15.75" customHeight="1">
      <c r="A176" s="49"/>
      <c r="B176" s="56"/>
      <c r="C176" s="57"/>
      <c r="D176" s="49"/>
      <c r="E176" s="49"/>
      <c r="F176" s="49"/>
      <c r="G176" s="49"/>
      <c r="H176" s="49"/>
      <c r="I176" s="49"/>
      <c r="J176" s="49"/>
      <c r="K176" s="49"/>
      <c r="L176" s="49"/>
      <c r="M176" s="49"/>
      <c r="N176" s="49"/>
      <c r="O176" s="49"/>
      <c r="P176" s="49"/>
      <c r="Q176" s="49"/>
      <c r="R176" s="49"/>
      <c r="S176" s="49"/>
      <c r="T176" s="49"/>
      <c r="U176" s="49"/>
      <c r="V176" s="49"/>
      <c r="W176" s="49"/>
      <c r="X176" s="49"/>
      <c r="Y176" s="49"/>
    </row>
    <row r="177" spans="1:25" ht="15.75" customHeight="1">
      <c r="A177" s="49"/>
      <c r="B177" s="56"/>
      <c r="C177" s="57"/>
      <c r="D177" s="49"/>
      <c r="E177" s="49"/>
      <c r="F177" s="49"/>
      <c r="G177" s="49"/>
      <c r="H177" s="49"/>
      <c r="I177" s="49"/>
      <c r="J177" s="49"/>
      <c r="K177" s="49"/>
      <c r="L177" s="49"/>
      <c r="M177" s="49"/>
      <c r="N177" s="49"/>
      <c r="O177" s="49"/>
      <c r="P177" s="49"/>
      <c r="Q177" s="49"/>
      <c r="R177" s="49"/>
      <c r="S177" s="49"/>
      <c r="T177" s="49"/>
      <c r="U177" s="49"/>
      <c r="V177" s="49"/>
      <c r="W177" s="49"/>
      <c r="X177" s="49"/>
      <c r="Y177" s="49"/>
    </row>
    <row r="178" spans="1:25" ht="15.75" customHeight="1">
      <c r="A178" s="49"/>
      <c r="B178" s="56"/>
      <c r="C178" s="57"/>
      <c r="D178" s="49"/>
      <c r="E178" s="49"/>
      <c r="F178" s="49"/>
      <c r="G178" s="49"/>
      <c r="H178" s="49"/>
      <c r="I178" s="49"/>
      <c r="J178" s="49"/>
      <c r="K178" s="49"/>
      <c r="L178" s="49"/>
      <c r="M178" s="49"/>
      <c r="N178" s="49"/>
      <c r="O178" s="49"/>
      <c r="P178" s="49"/>
      <c r="Q178" s="49"/>
      <c r="R178" s="49"/>
      <c r="S178" s="49"/>
      <c r="T178" s="49"/>
      <c r="U178" s="49"/>
      <c r="V178" s="49"/>
      <c r="W178" s="49"/>
      <c r="X178" s="49"/>
      <c r="Y178" s="49"/>
    </row>
    <row r="179" spans="1:25" ht="15.75" customHeight="1">
      <c r="A179" s="49"/>
      <c r="B179" s="56"/>
      <c r="C179" s="57"/>
      <c r="D179" s="49"/>
      <c r="E179" s="49"/>
      <c r="F179" s="49"/>
      <c r="G179" s="49"/>
      <c r="H179" s="49"/>
      <c r="I179" s="49"/>
      <c r="J179" s="49"/>
      <c r="K179" s="49"/>
      <c r="L179" s="49"/>
      <c r="M179" s="49"/>
      <c r="N179" s="49"/>
      <c r="O179" s="49"/>
      <c r="P179" s="49"/>
      <c r="Q179" s="49"/>
      <c r="R179" s="49"/>
      <c r="S179" s="49"/>
      <c r="T179" s="49"/>
      <c r="U179" s="49"/>
      <c r="V179" s="49"/>
      <c r="W179" s="49"/>
      <c r="X179" s="49"/>
      <c r="Y179" s="49"/>
    </row>
    <row r="180" spans="1:25" ht="15.75" customHeight="1">
      <c r="A180" s="49"/>
      <c r="B180" s="56"/>
      <c r="C180" s="57"/>
      <c r="D180" s="49"/>
      <c r="E180" s="49"/>
      <c r="F180" s="49"/>
      <c r="G180" s="49"/>
      <c r="H180" s="49"/>
      <c r="I180" s="49"/>
      <c r="J180" s="49"/>
      <c r="K180" s="49"/>
      <c r="L180" s="49"/>
      <c r="M180" s="49"/>
      <c r="N180" s="49"/>
      <c r="O180" s="49"/>
      <c r="P180" s="49"/>
      <c r="Q180" s="49"/>
      <c r="R180" s="49"/>
      <c r="S180" s="49"/>
      <c r="T180" s="49"/>
      <c r="U180" s="49"/>
      <c r="V180" s="49"/>
      <c r="W180" s="49"/>
      <c r="X180" s="49"/>
      <c r="Y180" s="49"/>
    </row>
    <row r="181" spans="1:25" ht="15.75" customHeight="1">
      <c r="A181" s="49"/>
      <c r="B181" s="56"/>
      <c r="C181" s="57"/>
      <c r="D181" s="49"/>
      <c r="E181" s="49"/>
      <c r="F181" s="49"/>
      <c r="G181" s="49"/>
      <c r="H181" s="49"/>
      <c r="I181" s="49"/>
      <c r="J181" s="49"/>
      <c r="K181" s="49"/>
      <c r="L181" s="49"/>
      <c r="M181" s="49"/>
      <c r="N181" s="49"/>
      <c r="O181" s="49"/>
      <c r="P181" s="49"/>
      <c r="Q181" s="49"/>
      <c r="R181" s="49"/>
      <c r="S181" s="49"/>
      <c r="T181" s="49"/>
      <c r="U181" s="49"/>
      <c r="V181" s="49"/>
      <c r="W181" s="49"/>
      <c r="X181" s="49"/>
      <c r="Y181" s="49"/>
    </row>
    <row r="182" spans="1:25" ht="15.75" customHeight="1">
      <c r="A182" s="49"/>
      <c r="B182" s="56"/>
      <c r="C182" s="57"/>
      <c r="D182" s="49"/>
      <c r="E182" s="49"/>
      <c r="F182" s="49"/>
      <c r="G182" s="49"/>
      <c r="H182" s="49"/>
      <c r="I182" s="49"/>
      <c r="J182" s="49"/>
      <c r="K182" s="49"/>
      <c r="L182" s="49"/>
      <c r="M182" s="49"/>
      <c r="N182" s="49"/>
      <c r="O182" s="49"/>
      <c r="P182" s="49"/>
      <c r="Q182" s="49"/>
      <c r="R182" s="49"/>
      <c r="S182" s="49"/>
      <c r="T182" s="49"/>
      <c r="U182" s="49"/>
      <c r="V182" s="49"/>
      <c r="W182" s="49"/>
      <c r="X182" s="49"/>
      <c r="Y182" s="49"/>
    </row>
    <row r="183" spans="1:25" ht="15.75" customHeight="1">
      <c r="A183" s="49"/>
      <c r="B183" s="56"/>
      <c r="C183" s="57"/>
      <c r="D183" s="49"/>
      <c r="E183" s="49"/>
      <c r="F183" s="49"/>
      <c r="G183" s="49"/>
      <c r="H183" s="49"/>
      <c r="I183" s="49"/>
      <c r="J183" s="49"/>
      <c r="K183" s="49"/>
      <c r="L183" s="49"/>
      <c r="M183" s="49"/>
      <c r="N183" s="49"/>
      <c r="O183" s="49"/>
      <c r="P183" s="49"/>
      <c r="Q183" s="49"/>
      <c r="R183" s="49"/>
      <c r="S183" s="49"/>
      <c r="T183" s="49"/>
      <c r="U183" s="49"/>
      <c r="V183" s="49"/>
      <c r="W183" s="49"/>
      <c r="X183" s="49"/>
      <c r="Y183" s="49"/>
    </row>
    <row r="184" spans="1:25" ht="15.75" customHeight="1">
      <c r="A184" s="49"/>
      <c r="B184" s="56"/>
      <c r="C184" s="57"/>
      <c r="D184" s="49"/>
      <c r="E184" s="49"/>
      <c r="F184" s="49"/>
      <c r="G184" s="49"/>
      <c r="H184" s="49"/>
      <c r="I184" s="49"/>
      <c r="J184" s="49"/>
      <c r="K184" s="49"/>
      <c r="L184" s="49"/>
      <c r="M184" s="49"/>
      <c r="N184" s="49"/>
      <c r="O184" s="49"/>
      <c r="P184" s="49"/>
      <c r="Q184" s="49"/>
      <c r="R184" s="49"/>
      <c r="S184" s="49"/>
      <c r="T184" s="49"/>
      <c r="U184" s="49"/>
      <c r="V184" s="49"/>
      <c r="W184" s="49"/>
      <c r="X184" s="49"/>
      <c r="Y184" s="49"/>
    </row>
    <row r="185" spans="1:25" ht="15.75" customHeight="1">
      <c r="A185" s="49"/>
      <c r="B185" s="56"/>
      <c r="C185" s="57"/>
      <c r="D185" s="49"/>
      <c r="E185" s="49"/>
      <c r="F185" s="49"/>
      <c r="G185" s="49"/>
      <c r="H185" s="49"/>
      <c r="I185" s="49"/>
      <c r="J185" s="49"/>
      <c r="K185" s="49"/>
      <c r="L185" s="49"/>
      <c r="M185" s="49"/>
      <c r="N185" s="49"/>
      <c r="O185" s="49"/>
      <c r="P185" s="49"/>
      <c r="Q185" s="49"/>
      <c r="R185" s="49"/>
      <c r="S185" s="49"/>
      <c r="T185" s="49"/>
      <c r="U185" s="49"/>
      <c r="V185" s="49"/>
      <c r="W185" s="49"/>
      <c r="X185" s="49"/>
      <c r="Y185" s="49"/>
    </row>
    <row r="186" spans="1:25" ht="15.75" customHeight="1">
      <c r="A186" s="49"/>
      <c r="B186" s="56"/>
      <c r="C186" s="57"/>
      <c r="D186" s="49"/>
      <c r="E186" s="49"/>
      <c r="F186" s="49"/>
      <c r="G186" s="49"/>
      <c r="H186" s="49"/>
      <c r="I186" s="49"/>
      <c r="J186" s="49"/>
      <c r="K186" s="49"/>
      <c r="L186" s="49"/>
      <c r="M186" s="49"/>
      <c r="N186" s="49"/>
      <c r="O186" s="49"/>
      <c r="P186" s="49"/>
      <c r="Q186" s="49"/>
      <c r="R186" s="49"/>
      <c r="S186" s="49"/>
      <c r="T186" s="49"/>
      <c r="U186" s="49"/>
      <c r="V186" s="49"/>
      <c r="W186" s="49"/>
      <c r="X186" s="49"/>
      <c r="Y186" s="49"/>
    </row>
    <row r="187" spans="1:25" ht="15.75" customHeight="1">
      <c r="A187" s="49"/>
      <c r="B187" s="56"/>
      <c r="C187" s="57"/>
      <c r="D187" s="49"/>
      <c r="E187" s="49"/>
      <c r="F187" s="49"/>
      <c r="G187" s="49"/>
      <c r="H187" s="49"/>
      <c r="I187" s="49"/>
      <c r="J187" s="49"/>
      <c r="K187" s="49"/>
      <c r="L187" s="49"/>
      <c r="M187" s="49"/>
      <c r="N187" s="49"/>
      <c r="O187" s="49"/>
      <c r="P187" s="49"/>
      <c r="Q187" s="49"/>
      <c r="R187" s="49"/>
      <c r="S187" s="49"/>
      <c r="T187" s="49"/>
      <c r="U187" s="49"/>
      <c r="V187" s="49"/>
      <c r="W187" s="49"/>
      <c r="X187" s="49"/>
      <c r="Y187" s="49"/>
    </row>
    <row r="188" spans="1:25" ht="15.75" customHeight="1">
      <c r="A188" s="49"/>
      <c r="B188" s="56"/>
      <c r="C188" s="57"/>
      <c r="D188" s="49"/>
      <c r="E188" s="49"/>
      <c r="F188" s="49"/>
      <c r="G188" s="49"/>
      <c r="H188" s="49"/>
      <c r="I188" s="49"/>
      <c r="J188" s="49"/>
      <c r="K188" s="49"/>
      <c r="L188" s="49"/>
      <c r="M188" s="49"/>
      <c r="N188" s="49"/>
      <c r="O188" s="49"/>
      <c r="P188" s="49"/>
      <c r="Q188" s="49"/>
      <c r="R188" s="49"/>
      <c r="S188" s="49"/>
      <c r="T188" s="49"/>
      <c r="U188" s="49"/>
      <c r="V188" s="49"/>
      <c r="W188" s="49"/>
      <c r="X188" s="49"/>
      <c r="Y188" s="49"/>
    </row>
    <row r="189" spans="1:25" ht="15.75" customHeight="1">
      <c r="A189" s="49"/>
      <c r="B189" s="56"/>
      <c r="C189" s="57"/>
      <c r="D189" s="49"/>
      <c r="E189" s="49"/>
      <c r="F189" s="49"/>
      <c r="G189" s="49"/>
      <c r="H189" s="49"/>
      <c r="I189" s="49"/>
      <c r="J189" s="49"/>
      <c r="K189" s="49"/>
      <c r="L189" s="49"/>
      <c r="M189" s="49"/>
      <c r="N189" s="49"/>
      <c r="O189" s="49"/>
      <c r="P189" s="49"/>
      <c r="Q189" s="49"/>
      <c r="R189" s="49"/>
      <c r="S189" s="49"/>
      <c r="T189" s="49"/>
      <c r="U189" s="49"/>
      <c r="V189" s="49"/>
      <c r="W189" s="49"/>
      <c r="X189" s="49"/>
      <c r="Y189" s="49"/>
    </row>
    <row r="190" spans="1:25" ht="15.75" customHeight="1">
      <c r="A190" s="49"/>
      <c r="B190" s="56"/>
      <c r="C190" s="57"/>
      <c r="D190" s="49"/>
      <c r="E190" s="49"/>
      <c r="F190" s="49"/>
      <c r="G190" s="49"/>
      <c r="H190" s="49"/>
      <c r="I190" s="49"/>
      <c r="J190" s="49"/>
      <c r="K190" s="49"/>
      <c r="L190" s="49"/>
      <c r="M190" s="49"/>
      <c r="N190" s="49"/>
      <c r="O190" s="49"/>
      <c r="P190" s="49"/>
      <c r="Q190" s="49"/>
      <c r="R190" s="49"/>
      <c r="S190" s="49"/>
      <c r="T190" s="49"/>
      <c r="U190" s="49"/>
      <c r="V190" s="49"/>
      <c r="W190" s="49"/>
      <c r="X190" s="49"/>
      <c r="Y190" s="49"/>
    </row>
    <row r="191" spans="1:25" ht="15.75" customHeight="1">
      <c r="A191" s="49"/>
      <c r="B191" s="56"/>
      <c r="C191" s="57"/>
      <c r="D191" s="49"/>
      <c r="E191" s="49"/>
      <c r="F191" s="49"/>
      <c r="G191" s="49"/>
      <c r="H191" s="49"/>
      <c r="I191" s="49"/>
      <c r="J191" s="49"/>
      <c r="K191" s="49"/>
      <c r="L191" s="49"/>
      <c r="M191" s="49"/>
      <c r="N191" s="49"/>
      <c r="O191" s="49"/>
      <c r="P191" s="49"/>
      <c r="Q191" s="49"/>
      <c r="R191" s="49"/>
      <c r="S191" s="49"/>
      <c r="T191" s="49"/>
      <c r="U191" s="49"/>
      <c r="V191" s="49"/>
      <c r="W191" s="49"/>
      <c r="X191" s="49"/>
      <c r="Y191" s="49"/>
    </row>
    <row r="192" spans="1:25" ht="15.75" customHeight="1">
      <c r="A192" s="49"/>
      <c r="B192" s="56"/>
      <c r="C192" s="57"/>
      <c r="D192" s="49"/>
      <c r="E192" s="49"/>
      <c r="F192" s="49"/>
      <c r="G192" s="49"/>
      <c r="H192" s="49"/>
      <c r="I192" s="49"/>
      <c r="J192" s="49"/>
      <c r="K192" s="49"/>
      <c r="L192" s="49"/>
      <c r="M192" s="49"/>
      <c r="N192" s="49"/>
      <c r="O192" s="49"/>
      <c r="P192" s="49"/>
      <c r="Q192" s="49"/>
      <c r="R192" s="49"/>
      <c r="S192" s="49"/>
      <c r="T192" s="49"/>
      <c r="U192" s="49"/>
      <c r="V192" s="49"/>
      <c r="W192" s="49"/>
      <c r="X192" s="49"/>
      <c r="Y192" s="49"/>
    </row>
    <row r="193" spans="1:25" ht="15.75" customHeight="1">
      <c r="A193" s="49"/>
      <c r="B193" s="56"/>
      <c r="C193" s="57"/>
      <c r="D193" s="49"/>
      <c r="E193" s="49"/>
      <c r="F193" s="49"/>
      <c r="G193" s="49"/>
      <c r="H193" s="49"/>
      <c r="I193" s="49"/>
      <c r="J193" s="49"/>
      <c r="K193" s="49"/>
      <c r="L193" s="49"/>
      <c r="M193" s="49"/>
      <c r="N193" s="49"/>
      <c r="O193" s="49"/>
      <c r="P193" s="49"/>
      <c r="Q193" s="49"/>
      <c r="R193" s="49"/>
      <c r="S193" s="49"/>
      <c r="T193" s="49"/>
      <c r="U193" s="49"/>
      <c r="V193" s="49"/>
      <c r="W193" s="49"/>
      <c r="X193" s="49"/>
      <c r="Y193" s="49"/>
    </row>
    <row r="194" spans="1:25" ht="15.75" customHeight="1">
      <c r="A194" s="49"/>
      <c r="B194" s="56"/>
      <c r="C194" s="57"/>
      <c r="D194" s="49"/>
      <c r="E194" s="49"/>
      <c r="F194" s="49"/>
      <c r="G194" s="49"/>
      <c r="H194" s="49"/>
      <c r="I194" s="49"/>
      <c r="J194" s="49"/>
      <c r="K194" s="49"/>
      <c r="L194" s="49"/>
      <c r="M194" s="49"/>
      <c r="N194" s="49"/>
      <c r="O194" s="49"/>
      <c r="P194" s="49"/>
      <c r="Q194" s="49"/>
      <c r="R194" s="49"/>
      <c r="S194" s="49"/>
      <c r="T194" s="49"/>
      <c r="U194" s="49"/>
      <c r="V194" s="49"/>
      <c r="W194" s="49"/>
      <c r="X194" s="49"/>
      <c r="Y194" s="49"/>
    </row>
    <row r="195" spans="1:25" ht="15.75" customHeight="1">
      <c r="A195" s="49"/>
      <c r="B195" s="56"/>
      <c r="C195" s="57"/>
      <c r="D195" s="49"/>
      <c r="E195" s="49"/>
      <c r="F195" s="49"/>
      <c r="G195" s="49"/>
      <c r="H195" s="49"/>
      <c r="I195" s="49"/>
      <c r="J195" s="49"/>
      <c r="K195" s="49"/>
      <c r="L195" s="49"/>
      <c r="M195" s="49"/>
      <c r="N195" s="49"/>
      <c r="O195" s="49"/>
      <c r="P195" s="49"/>
      <c r="Q195" s="49"/>
      <c r="R195" s="49"/>
      <c r="S195" s="49"/>
      <c r="T195" s="49"/>
      <c r="U195" s="49"/>
      <c r="V195" s="49"/>
      <c r="W195" s="49"/>
      <c r="X195" s="49"/>
      <c r="Y195" s="49"/>
    </row>
    <row r="196" spans="1:25" ht="15.75" customHeight="1">
      <c r="A196" s="49"/>
      <c r="B196" s="56"/>
      <c r="C196" s="57"/>
      <c r="D196" s="49"/>
      <c r="E196" s="49"/>
      <c r="F196" s="49"/>
      <c r="G196" s="49"/>
      <c r="H196" s="49"/>
      <c r="I196" s="49"/>
      <c r="J196" s="49"/>
      <c r="K196" s="49"/>
      <c r="L196" s="49"/>
      <c r="M196" s="49"/>
      <c r="N196" s="49"/>
      <c r="O196" s="49"/>
      <c r="P196" s="49"/>
      <c r="Q196" s="49"/>
      <c r="R196" s="49"/>
      <c r="S196" s="49"/>
      <c r="T196" s="49"/>
      <c r="U196" s="49"/>
      <c r="V196" s="49"/>
      <c r="W196" s="49"/>
      <c r="X196" s="49"/>
      <c r="Y196" s="49"/>
    </row>
    <row r="197" spans="1:25" ht="15.75" customHeight="1">
      <c r="A197" s="49"/>
      <c r="B197" s="56"/>
      <c r="C197" s="57"/>
      <c r="D197" s="49"/>
      <c r="E197" s="49"/>
      <c r="F197" s="49"/>
      <c r="G197" s="49"/>
      <c r="H197" s="49"/>
      <c r="I197" s="49"/>
      <c r="J197" s="49"/>
      <c r="K197" s="49"/>
      <c r="L197" s="49"/>
      <c r="M197" s="49"/>
      <c r="N197" s="49"/>
      <c r="O197" s="49"/>
      <c r="P197" s="49"/>
      <c r="Q197" s="49"/>
      <c r="R197" s="49"/>
      <c r="S197" s="49"/>
      <c r="T197" s="49"/>
      <c r="U197" s="49"/>
      <c r="V197" s="49"/>
      <c r="W197" s="49"/>
      <c r="X197" s="49"/>
      <c r="Y197" s="49"/>
    </row>
    <row r="198" spans="1:25" ht="15.75" customHeight="1">
      <c r="A198" s="49"/>
      <c r="B198" s="56"/>
      <c r="C198" s="57"/>
      <c r="D198" s="49"/>
      <c r="E198" s="49"/>
      <c r="F198" s="49"/>
      <c r="G198" s="49"/>
      <c r="H198" s="49"/>
      <c r="I198" s="49"/>
      <c r="J198" s="49"/>
      <c r="K198" s="49"/>
      <c r="L198" s="49"/>
      <c r="M198" s="49"/>
      <c r="N198" s="49"/>
      <c r="O198" s="49"/>
      <c r="P198" s="49"/>
      <c r="Q198" s="49"/>
      <c r="R198" s="49"/>
      <c r="S198" s="49"/>
      <c r="T198" s="49"/>
      <c r="U198" s="49"/>
      <c r="V198" s="49"/>
      <c r="W198" s="49"/>
      <c r="X198" s="49"/>
      <c r="Y198" s="49"/>
    </row>
    <row r="199" spans="1:25" ht="15.75" customHeight="1">
      <c r="A199" s="49"/>
      <c r="B199" s="56"/>
      <c r="C199" s="57"/>
      <c r="D199" s="49"/>
      <c r="E199" s="49"/>
      <c r="F199" s="49"/>
      <c r="G199" s="49"/>
      <c r="H199" s="49"/>
      <c r="I199" s="49"/>
      <c r="J199" s="49"/>
      <c r="K199" s="49"/>
      <c r="L199" s="49"/>
      <c r="M199" s="49"/>
      <c r="N199" s="49"/>
      <c r="O199" s="49"/>
      <c r="P199" s="49"/>
      <c r="Q199" s="49"/>
      <c r="R199" s="49"/>
      <c r="S199" s="49"/>
      <c r="T199" s="49"/>
      <c r="U199" s="49"/>
      <c r="V199" s="49"/>
      <c r="W199" s="49"/>
      <c r="X199" s="49"/>
      <c r="Y199" s="49"/>
    </row>
    <row r="200" spans="1:25" ht="15.75" customHeight="1">
      <c r="A200" s="49"/>
      <c r="B200" s="56"/>
      <c r="C200" s="57"/>
      <c r="D200" s="49"/>
      <c r="E200" s="49"/>
      <c r="F200" s="49"/>
      <c r="G200" s="49"/>
      <c r="H200" s="49"/>
      <c r="I200" s="49"/>
      <c r="J200" s="49"/>
      <c r="K200" s="49"/>
      <c r="L200" s="49"/>
      <c r="M200" s="49"/>
      <c r="N200" s="49"/>
      <c r="O200" s="49"/>
      <c r="P200" s="49"/>
      <c r="Q200" s="49"/>
      <c r="R200" s="49"/>
      <c r="S200" s="49"/>
      <c r="T200" s="49"/>
      <c r="U200" s="49"/>
      <c r="V200" s="49"/>
      <c r="W200" s="49"/>
      <c r="X200" s="49"/>
      <c r="Y200" s="49"/>
    </row>
    <row r="201" spans="1:25" ht="15.75" customHeight="1">
      <c r="A201" s="49"/>
      <c r="B201" s="56"/>
      <c r="C201" s="57"/>
      <c r="D201" s="49"/>
      <c r="E201" s="49"/>
      <c r="F201" s="49"/>
      <c r="G201" s="49"/>
      <c r="H201" s="49"/>
      <c r="I201" s="49"/>
      <c r="J201" s="49"/>
      <c r="K201" s="49"/>
      <c r="L201" s="49"/>
      <c r="M201" s="49"/>
      <c r="N201" s="49"/>
      <c r="O201" s="49"/>
      <c r="P201" s="49"/>
      <c r="Q201" s="49"/>
      <c r="R201" s="49"/>
      <c r="S201" s="49"/>
      <c r="T201" s="49"/>
      <c r="U201" s="49"/>
      <c r="V201" s="49"/>
      <c r="W201" s="49"/>
      <c r="X201" s="49"/>
      <c r="Y201" s="49"/>
    </row>
    <row r="202" spans="1:25" ht="15.75" customHeight="1">
      <c r="A202" s="49"/>
      <c r="B202" s="56"/>
      <c r="C202" s="57"/>
      <c r="D202" s="49"/>
      <c r="E202" s="49"/>
      <c r="F202" s="49"/>
      <c r="G202" s="49"/>
      <c r="H202" s="49"/>
      <c r="I202" s="49"/>
      <c r="J202" s="49"/>
      <c r="K202" s="49"/>
      <c r="L202" s="49"/>
      <c r="M202" s="49"/>
      <c r="N202" s="49"/>
      <c r="O202" s="49"/>
      <c r="P202" s="49"/>
      <c r="Q202" s="49"/>
      <c r="R202" s="49"/>
      <c r="S202" s="49"/>
      <c r="T202" s="49"/>
      <c r="U202" s="49"/>
      <c r="V202" s="49"/>
      <c r="W202" s="49"/>
      <c r="X202" s="49"/>
      <c r="Y202" s="49"/>
    </row>
    <row r="203" spans="1:25" ht="15.75" customHeight="1">
      <c r="A203" s="49"/>
      <c r="B203" s="56"/>
      <c r="C203" s="57"/>
      <c r="D203" s="49"/>
      <c r="E203" s="49"/>
      <c r="F203" s="49"/>
      <c r="G203" s="49"/>
      <c r="H203" s="49"/>
      <c r="I203" s="49"/>
      <c r="J203" s="49"/>
      <c r="K203" s="49"/>
      <c r="L203" s="49"/>
      <c r="M203" s="49"/>
      <c r="N203" s="49"/>
      <c r="O203" s="49"/>
      <c r="P203" s="49"/>
      <c r="Q203" s="49"/>
      <c r="R203" s="49"/>
      <c r="S203" s="49"/>
      <c r="T203" s="49"/>
      <c r="U203" s="49"/>
      <c r="V203" s="49"/>
      <c r="W203" s="49"/>
      <c r="X203" s="49"/>
      <c r="Y203" s="49"/>
    </row>
    <row r="204" spans="1:25" ht="15.75" customHeight="1">
      <c r="A204" s="49"/>
      <c r="B204" s="56"/>
      <c r="C204" s="57"/>
      <c r="D204" s="49"/>
      <c r="E204" s="49"/>
      <c r="F204" s="49"/>
      <c r="G204" s="49"/>
      <c r="H204" s="49"/>
      <c r="I204" s="49"/>
      <c r="J204" s="49"/>
      <c r="K204" s="49"/>
      <c r="L204" s="49"/>
      <c r="M204" s="49"/>
      <c r="N204" s="49"/>
      <c r="O204" s="49"/>
      <c r="P204" s="49"/>
      <c r="Q204" s="49"/>
      <c r="R204" s="49"/>
      <c r="S204" s="49"/>
      <c r="T204" s="49"/>
      <c r="U204" s="49"/>
      <c r="V204" s="49"/>
      <c r="W204" s="49"/>
      <c r="X204" s="49"/>
      <c r="Y204" s="49"/>
    </row>
    <row r="205" spans="1:25" ht="15.75" customHeight="1">
      <c r="A205" s="49"/>
      <c r="B205" s="56"/>
      <c r="C205" s="57"/>
      <c r="D205" s="49"/>
      <c r="E205" s="49"/>
      <c r="F205" s="49"/>
      <c r="G205" s="49"/>
      <c r="H205" s="49"/>
      <c r="I205" s="49"/>
      <c r="J205" s="49"/>
      <c r="K205" s="49"/>
      <c r="L205" s="49"/>
      <c r="M205" s="49"/>
      <c r="N205" s="49"/>
      <c r="O205" s="49"/>
      <c r="P205" s="49"/>
      <c r="Q205" s="49"/>
      <c r="R205" s="49"/>
      <c r="S205" s="49"/>
      <c r="T205" s="49"/>
      <c r="U205" s="49"/>
      <c r="V205" s="49"/>
      <c r="W205" s="49"/>
      <c r="X205" s="49"/>
      <c r="Y205" s="49"/>
    </row>
    <row r="206" spans="1:25" ht="15.75" customHeight="1">
      <c r="A206" s="49"/>
      <c r="B206" s="56"/>
      <c r="C206" s="57"/>
      <c r="D206" s="49"/>
      <c r="E206" s="49"/>
      <c r="F206" s="49"/>
      <c r="G206" s="49"/>
      <c r="H206" s="49"/>
      <c r="I206" s="49"/>
      <c r="J206" s="49"/>
      <c r="K206" s="49"/>
      <c r="L206" s="49"/>
      <c r="M206" s="49"/>
      <c r="N206" s="49"/>
      <c r="O206" s="49"/>
      <c r="P206" s="49"/>
      <c r="Q206" s="49"/>
      <c r="R206" s="49"/>
      <c r="S206" s="49"/>
      <c r="T206" s="49"/>
      <c r="U206" s="49"/>
      <c r="V206" s="49"/>
      <c r="W206" s="49"/>
      <c r="X206" s="49"/>
      <c r="Y206" s="49"/>
    </row>
    <row r="207" spans="1:25" ht="15.75" customHeight="1">
      <c r="A207" s="49"/>
      <c r="B207" s="56"/>
      <c r="C207" s="57"/>
      <c r="D207" s="49"/>
      <c r="E207" s="49"/>
      <c r="F207" s="49"/>
      <c r="G207" s="49"/>
      <c r="H207" s="49"/>
      <c r="I207" s="49"/>
      <c r="J207" s="49"/>
      <c r="K207" s="49"/>
      <c r="L207" s="49"/>
      <c r="M207" s="49"/>
      <c r="N207" s="49"/>
      <c r="O207" s="49"/>
      <c r="P207" s="49"/>
      <c r="Q207" s="49"/>
      <c r="R207" s="49"/>
      <c r="S207" s="49"/>
      <c r="T207" s="49"/>
      <c r="U207" s="49"/>
      <c r="V207" s="49"/>
      <c r="W207" s="49"/>
      <c r="X207" s="49"/>
      <c r="Y207" s="49"/>
    </row>
    <row r="208" spans="1:25" ht="15.75" customHeight="1">
      <c r="A208" s="49"/>
      <c r="B208" s="56"/>
      <c r="C208" s="57"/>
      <c r="D208" s="49"/>
      <c r="E208" s="49"/>
      <c r="F208" s="49"/>
      <c r="G208" s="49"/>
      <c r="H208" s="49"/>
      <c r="I208" s="49"/>
      <c r="J208" s="49"/>
      <c r="K208" s="49"/>
      <c r="L208" s="49"/>
      <c r="M208" s="49"/>
      <c r="N208" s="49"/>
      <c r="O208" s="49"/>
      <c r="P208" s="49"/>
      <c r="Q208" s="49"/>
      <c r="R208" s="49"/>
      <c r="S208" s="49"/>
      <c r="T208" s="49"/>
      <c r="U208" s="49"/>
      <c r="V208" s="49"/>
      <c r="W208" s="49"/>
      <c r="X208" s="49"/>
      <c r="Y208" s="49"/>
    </row>
    <row r="209" spans="1:25" ht="15.75" customHeight="1">
      <c r="A209" s="49"/>
      <c r="B209" s="56"/>
      <c r="C209" s="57"/>
      <c r="D209" s="49"/>
      <c r="E209" s="49"/>
      <c r="F209" s="49"/>
      <c r="G209" s="49"/>
      <c r="H209" s="49"/>
      <c r="I209" s="49"/>
      <c r="J209" s="49"/>
      <c r="K209" s="49"/>
      <c r="L209" s="49"/>
      <c r="M209" s="49"/>
      <c r="N209" s="49"/>
      <c r="O209" s="49"/>
      <c r="P209" s="49"/>
      <c r="Q209" s="49"/>
      <c r="R209" s="49"/>
      <c r="S209" s="49"/>
      <c r="T209" s="49"/>
      <c r="U209" s="49"/>
      <c r="V209" s="49"/>
      <c r="W209" s="49"/>
      <c r="X209" s="49"/>
      <c r="Y209" s="49"/>
    </row>
    <row r="210" spans="1:25" ht="15.75" customHeight="1">
      <c r="A210" s="49"/>
      <c r="B210" s="56"/>
      <c r="C210" s="57"/>
      <c r="D210" s="49"/>
      <c r="E210" s="49"/>
      <c r="F210" s="49"/>
      <c r="G210" s="49"/>
      <c r="H210" s="49"/>
      <c r="I210" s="49"/>
      <c r="J210" s="49"/>
      <c r="K210" s="49"/>
      <c r="L210" s="49"/>
      <c r="M210" s="49"/>
      <c r="N210" s="49"/>
      <c r="O210" s="49"/>
      <c r="P210" s="49"/>
      <c r="Q210" s="49"/>
      <c r="R210" s="49"/>
      <c r="S210" s="49"/>
      <c r="T210" s="49"/>
      <c r="U210" s="49"/>
      <c r="V210" s="49"/>
      <c r="W210" s="49"/>
      <c r="X210" s="49"/>
      <c r="Y210" s="49"/>
    </row>
    <row r="211" spans="1:25" ht="15.75" customHeight="1">
      <c r="A211" s="49"/>
      <c r="B211" s="56"/>
      <c r="C211" s="57"/>
      <c r="D211" s="49"/>
      <c r="E211" s="49"/>
      <c r="F211" s="49"/>
      <c r="G211" s="49"/>
      <c r="H211" s="49"/>
      <c r="I211" s="49"/>
      <c r="J211" s="49"/>
      <c r="K211" s="49"/>
      <c r="L211" s="49"/>
      <c r="M211" s="49"/>
      <c r="N211" s="49"/>
      <c r="O211" s="49"/>
      <c r="P211" s="49"/>
      <c r="Q211" s="49"/>
      <c r="R211" s="49"/>
      <c r="S211" s="49"/>
      <c r="T211" s="49"/>
      <c r="U211" s="49"/>
      <c r="V211" s="49"/>
      <c r="W211" s="49"/>
      <c r="X211" s="49"/>
      <c r="Y211" s="49"/>
    </row>
    <row r="212" spans="1:25" ht="15.75" customHeight="1">
      <c r="A212" s="49"/>
      <c r="B212" s="56"/>
      <c r="C212" s="57"/>
      <c r="D212" s="49"/>
      <c r="E212" s="49"/>
      <c r="F212" s="49"/>
      <c r="G212" s="49"/>
      <c r="H212" s="49"/>
      <c r="I212" s="49"/>
      <c r="J212" s="49"/>
      <c r="K212" s="49"/>
      <c r="L212" s="49"/>
      <c r="M212" s="49"/>
      <c r="N212" s="49"/>
      <c r="O212" s="49"/>
      <c r="P212" s="49"/>
      <c r="Q212" s="49"/>
      <c r="R212" s="49"/>
      <c r="S212" s="49"/>
      <c r="T212" s="49"/>
      <c r="U212" s="49"/>
      <c r="V212" s="49"/>
      <c r="W212" s="49"/>
      <c r="X212" s="49"/>
      <c r="Y212" s="49"/>
    </row>
    <row r="213" spans="1:25" ht="15.75" customHeight="1">
      <c r="A213" s="49"/>
      <c r="B213" s="56"/>
      <c r="C213" s="57"/>
      <c r="D213" s="49"/>
      <c r="E213" s="49"/>
      <c r="F213" s="49"/>
      <c r="G213" s="49"/>
      <c r="H213" s="49"/>
      <c r="I213" s="49"/>
      <c r="J213" s="49"/>
      <c r="K213" s="49"/>
      <c r="L213" s="49"/>
      <c r="M213" s="49"/>
      <c r="N213" s="49"/>
      <c r="O213" s="49"/>
      <c r="P213" s="49"/>
      <c r="Q213" s="49"/>
      <c r="R213" s="49"/>
      <c r="S213" s="49"/>
      <c r="T213" s="49"/>
      <c r="U213" s="49"/>
      <c r="V213" s="49"/>
      <c r="W213" s="49"/>
      <c r="X213" s="49"/>
      <c r="Y213" s="49"/>
    </row>
    <row r="214" spans="1:25" ht="15.75" customHeight="1">
      <c r="A214" s="49"/>
      <c r="B214" s="56"/>
      <c r="C214" s="57"/>
      <c r="D214" s="49"/>
      <c r="E214" s="49"/>
      <c r="F214" s="49"/>
      <c r="G214" s="49"/>
      <c r="H214" s="49"/>
      <c r="I214" s="49"/>
      <c r="J214" s="49"/>
      <c r="K214" s="49"/>
      <c r="L214" s="49"/>
      <c r="M214" s="49"/>
      <c r="N214" s="49"/>
      <c r="O214" s="49"/>
      <c r="P214" s="49"/>
      <c r="Q214" s="49"/>
      <c r="R214" s="49"/>
      <c r="S214" s="49"/>
      <c r="T214" s="49"/>
      <c r="U214" s="49"/>
      <c r="V214" s="49"/>
      <c r="W214" s="49"/>
      <c r="X214" s="49"/>
      <c r="Y214" s="49"/>
    </row>
    <row r="215" spans="1:25" ht="15.75" customHeight="1">
      <c r="A215" s="49"/>
      <c r="B215" s="56"/>
      <c r="C215" s="57"/>
      <c r="D215" s="49"/>
      <c r="E215" s="49"/>
      <c r="F215" s="49"/>
      <c r="G215" s="49"/>
      <c r="H215" s="49"/>
      <c r="I215" s="49"/>
      <c r="J215" s="49"/>
      <c r="K215" s="49"/>
      <c r="L215" s="49"/>
      <c r="M215" s="49"/>
      <c r="N215" s="49"/>
      <c r="O215" s="49"/>
      <c r="P215" s="49"/>
      <c r="Q215" s="49"/>
      <c r="R215" s="49"/>
      <c r="S215" s="49"/>
      <c r="T215" s="49"/>
      <c r="U215" s="49"/>
      <c r="V215" s="49"/>
      <c r="W215" s="49"/>
      <c r="X215" s="49"/>
      <c r="Y215" s="49"/>
    </row>
    <row r="216" spans="1:25" ht="15.75" customHeight="1">
      <c r="A216" s="49"/>
      <c r="B216" s="56"/>
      <c r="C216" s="57"/>
      <c r="D216" s="49"/>
      <c r="E216" s="49"/>
      <c r="F216" s="49"/>
      <c r="G216" s="49"/>
      <c r="H216" s="49"/>
      <c r="I216" s="49"/>
      <c r="J216" s="49"/>
      <c r="K216" s="49"/>
      <c r="L216" s="49"/>
      <c r="M216" s="49"/>
      <c r="N216" s="49"/>
      <c r="O216" s="49"/>
      <c r="P216" s="49"/>
      <c r="Q216" s="49"/>
      <c r="R216" s="49"/>
      <c r="S216" s="49"/>
      <c r="T216" s="49"/>
      <c r="U216" s="49"/>
      <c r="V216" s="49"/>
      <c r="W216" s="49"/>
      <c r="X216" s="49"/>
      <c r="Y216" s="49"/>
    </row>
    <row r="217" spans="1:25" ht="15.75" customHeight="1">
      <c r="A217" s="49"/>
      <c r="B217" s="56"/>
      <c r="C217" s="57"/>
      <c r="D217" s="49"/>
      <c r="E217" s="49"/>
      <c r="F217" s="49"/>
      <c r="G217" s="49"/>
      <c r="H217" s="49"/>
      <c r="I217" s="49"/>
      <c r="J217" s="49"/>
      <c r="K217" s="49"/>
      <c r="L217" s="49"/>
      <c r="M217" s="49"/>
      <c r="N217" s="49"/>
      <c r="O217" s="49"/>
      <c r="P217" s="49"/>
      <c r="Q217" s="49"/>
      <c r="R217" s="49"/>
      <c r="S217" s="49"/>
      <c r="T217" s="49"/>
      <c r="U217" s="49"/>
      <c r="V217" s="49"/>
      <c r="W217" s="49"/>
      <c r="X217" s="49"/>
      <c r="Y217" s="49"/>
    </row>
    <row r="218" spans="1:25" ht="15.75" customHeight="1">
      <c r="A218" s="49"/>
      <c r="B218" s="56"/>
      <c r="C218" s="57"/>
      <c r="D218" s="49"/>
      <c r="E218" s="49"/>
      <c r="F218" s="49"/>
      <c r="G218" s="49"/>
      <c r="H218" s="49"/>
      <c r="I218" s="49"/>
      <c r="J218" s="49"/>
      <c r="K218" s="49"/>
      <c r="L218" s="49"/>
      <c r="M218" s="49"/>
      <c r="N218" s="49"/>
      <c r="O218" s="49"/>
      <c r="P218" s="49"/>
      <c r="Q218" s="49"/>
      <c r="R218" s="49"/>
      <c r="S218" s="49"/>
      <c r="T218" s="49"/>
      <c r="U218" s="49"/>
      <c r="V218" s="49"/>
      <c r="W218" s="49"/>
      <c r="X218" s="49"/>
      <c r="Y218" s="49"/>
    </row>
    <row r="219" spans="1:25" ht="15.75" customHeight="1">
      <c r="A219" s="49"/>
      <c r="B219" s="56"/>
      <c r="C219" s="57"/>
      <c r="D219" s="49"/>
      <c r="E219" s="49"/>
      <c r="F219" s="49"/>
      <c r="G219" s="49"/>
      <c r="H219" s="49"/>
      <c r="I219" s="49"/>
      <c r="J219" s="49"/>
      <c r="K219" s="49"/>
      <c r="L219" s="49"/>
      <c r="M219" s="49"/>
      <c r="N219" s="49"/>
      <c r="O219" s="49"/>
      <c r="P219" s="49"/>
      <c r="Q219" s="49"/>
      <c r="R219" s="49"/>
      <c r="S219" s="49"/>
      <c r="T219" s="49"/>
      <c r="U219" s="49"/>
      <c r="V219" s="49"/>
      <c r="W219" s="49"/>
      <c r="X219" s="49"/>
      <c r="Y219" s="49"/>
    </row>
    <row r="220" spans="1:25" ht="15.75" customHeight="1">
      <c r="A220" s="49"/>
      <c r="B220" s="56"/>
      <c r="C220" s="57"/>
      <c r="D220" s="49"/>
      <c r="E220" s="49"/>
      <c r="F220" s="49"/>
      <c r="G220" s="49"/>
      <c r="H220" s="49"/>
      <c r="I220" s="49"/>
      <c r="J220" s="49"/>
      <c r="K220" s="49"/>
      <c r="L220" s="49"/>
      <c r="M220" s="49"/>
      <c r="N220" s="49"/>
      <c r="O220" s="49"/>
      <c r="P220" s="49"/>
      <c r="Q220" s="49"/>
      <c r="R220" s="49"/>
      <c r="S220" s="49"/>
      <c r="T220" s="49"/>
      <c r="U220" s="49"/>
      <c r="V220" s="49"/>
      <c r="W220" s="49"/>
      <c r="X220" s="49"/>
      <c r="Y220" s="49"/>
    </row>
    <row r="221" spans="1:25" ht="15.75" customHeight="1">
      <c r="A221" s="49"/>
      <c r="B221" s="56"/>
      <c r="C221" s="57"/>
      <c r="D221" s="49"/>
      <c r="E221" s="49"/>
      <c r="F221" s="49"/>
      <c r="G221" s="49"/>
      <c r="H221" s="49"/>
      <c r="I221" s="49"/>
      <c r="J221" s="49"/>
      <c r="K221" s="49"/>
      <c r="L221" s="49"/>
      <c r="M221" s="49"/>
      <c r="N221" s="49"/>
      <c r="O221" s="49"/>
      <c r="P221" s="49"/>
      <c r="Q221" s="49"/>
      <c r="R221" s="49"/>
      <c r="S221" s="49"/>
      <c r="T221" s="49"/>
      <c r="U221" s="49"/>
      <c r="V221" s="49"/>
      <c r="W221" s="49"/>
      <c r="X221" s="49"/>
      <c r="Y221" s="49"/>
    </row>
    <row r="222" spans="1:25" ht="15.75" customHeight="1">
      <c r="A222" s="49"/>
      <c r="B222" s="56"/>
      <c r="C222" s="57"/>
      <c r="D222" s="49"/>
      <c r="E222" s="49"/>
      <c r="F222" s="49"/>
      <c r="G222" s="49"/>
      <c r="H222" s="49"/>
      <c r="I222" s="49"/>
      <c r="J222" s="49"/>
      <c r="K222" s="49"/>
      <c r="L222" s="49"/>
      <c r="M222" s="49"/>
      <c r="N222" s="49"/>
      <c r="O222" s="49"/>
      <c r="P222" s="49"/>
      <c r="Q222" s="49"/>
      <c r="R222" s="49"/>
      <c r="S222" s="49"/>
      <c r="T222" s="49"/>
      <c r="U222" s="49"/>
      <c r="V222" s="49"/>
      <c r="W222" s="49"/>
      <c r="X222" s="49"/>
      <c r="Y222" s="49"/>
    </row>
    <row r="223" spans="1:25" ht="15.75" customHeight="1">
      <c r="A223" s="49"/>
      <c r="B223" s="56"/>
      <c r="C223" s="57"/>
      <c r="D223" s="49"/>
      <c r="E223" s="49"/>
      <c r="F223" s="49"/>
      <c r="G223" s="49"/>
      <c r="H223" s="49"/>
      <c r="I223" s="49"/>
      <c r="J223" s="49"/>
      <c r="K223" s="49"/>
      <c r="L223" s="49"/>
      <c r="M223" s="49"/>
      <c r="N223" s="49"/>
      <c r="O223" s="49"/>
      <c r="P223" s="49"/>
      <c r="Q223" s="49"/>
      <c r="R223" s="49"/>
      <c r="S223" s="49"/>
      <c r="T223" s="49"/>
      <c r="U223" s="49"/>
      <c r="V223" s="49"/>
      <c r="W223" s="49"/>
      <c r="X223" s="49"/>
      <c r="Y223" s="49"/>
    </row>
    <row r="224" spans="1:25" ht="15.75" customHeight="1">
      <c r="A224" s="49"/>
      <c r="B224" s="56"/>
      <c r="C224" s="57"/>
      <c r="D224" s="49"/>
      <c r="E224" s="49"/>
      <c r="F224" s="49"/>
      <c r="G224" s="49"/>
      <c r="H224" s="49"/>
      <c r="I224" s="49"/>
      <c r="J224" s="49"/>
      <c r="K224" s="49"/>
      <c r="L224" s="49"/>
      <c r="M224" s="49"/>
      <c r="N224" s="49"/>
      <c r="O224" s="49"/>
      <c r="P224" s="49"/>
      <c r="Q224" s="49"/>
      <c r="R224" s="49"/>
      <c r="S224" s="49"/>
      <c r="T224" s="49"/>
      <c r="U224" s="49"/>
      <c r="V224" s="49"/>
      <c r="W224" s="49"/>
      <c r="X224" s="49"/>
      <c r="Y224" s="49"/>
    </row>
    <row r="225" spans="1:25" ht="15.75" customHeight="1">
      <c r="A225" s="49"/>
      <c r="B225" s="56"/>
      <c r="C225" s="57"/>
      <c r="D225" s="49"/>
      <c r="E225" s="49"/>
      <c r="F225" s="49"/>
      <c r="G225" s="49"/>
      <c r="H225" s="49"/>
      <c r="I225" s="49"/>
      <c r="J225" s="49"/>
      <c r="K225" s="49"/>
      <c r="L225" s="49"/>
      <c r="M225" s="49"/>
      <c r="N225" s="49"/>
      <c r="O225" s="49"/>
      <c r="P225" s="49"/>
      <c r="Q225" s="49"/>
      <c r="R225" s="49"/>
      <c r="S225" s="49"/>
      <c r="T225" s="49"/>
      <c r="U225" s="49"/>
      <c r="V225" s="49"/>
      <c r="W225" s="49"/>
      <c r="X225" s="49"/>
      <c r="Y225" s="49"/>
    </row>
    <row r="226" spans="1:25" ht="15.75" customHeight="1">
      <c r="A226" s="49"/>
      <c r="B226" s="56"/>
      <c r="C226" s="57"/>
      <c r="D226" s="49"/>
      <c r="E226" s="49"/>
      <c r="F226" s="49"/>
      <c r="G226" s="49"/>
      <c r="H226" s="49"/>
      <c r="I226" s="49"/>
      <c r="J226" s="49"/>
      <c r="K226" s="49"/>
      <c r="L226" s="49"/>
      <c r="M226" s="49"/>
      <c r="N226" s="49"/>
      <c r="O226" s="49"/>
      <c r="P226" s="49"/>
      <c r="Q226" s="49"/>
      <c r="R226" s="49"/>
      <c r="S226" s="49"/>
      <c r="T226" s="49"/>
      <c r="U226" s="49"/>
      <c r="V226" s="49"/>
      <c r="W226" s="49"/>
      <c r="X226" s="49"/>
      <c r="Y226" s="49"/>
    </row>
    <row r="227" spans="1:25" ht="15.75" customHeight="1">
      <c r="A227" s="49"/>
      <c r="B227" s="56"/>
      <c r="C227" s="57"/>
      <c r="D227" s="49"/>
      <c r="E227" s="49"/>
      <c r="F227" s="49"/>
      <c r="G227" s="49"/>
      <c r="H227" s="49"/>
      <c r="I227" s="49"/>
      <c r="J227" s="49"/>
      <c r="K227" s="49"/>
      <c r="L227" s="49"/>
      <c r="M227" s="49"/>
      <c r="N227" s="49"/>
      <c r="O227" s="49"/>
      <c r="P227" s="49"/>
      <c r="Q227" s="49"/>
      <c r="R227" s="49"/>
      <c r="S227" s="49"/>
      <c r="T227" s="49"/>
      <c r="U227" s="49"/>
      <c r="V227" s="49"/>
      <c r="W227" s="49"/>
      <c r="X227" s="49"/>
      <c r="Y227" s="49"/>
    </row>
    <row r="228" spans="1:25" ht="15.75" customHeight="1">
      <c r="A228" s="49"/>
      <c r="B228" s="56"/>
      <c r="C228" s="57"/>
      <c r="D228" s="49"/>
      <c r="E228" s="49"/>
      <c r="F228" s="49"/>
      <c r="G228" s="49"/>
      <c r="H228" s="49"/>
      <c r="I228" s="49"/>
      <c r="J228" s="49"/>
      <c r="K228" s="49"/>
      <c r="L228" s="49"/>
      <c r="M228" s="49"/>
      <c r="N228" s="49"/>
      <c r="O228" s="49"/>
      <c r="P228" s="49"/>
      <c r="Q228" s="49"/>
      <c r="R228" s="49"/>
      <c r="S228" s="49"/>
      <c r="T228" s="49"/>
      <c r="U228" s="49"/>
      <c r="V228" s="49"/>
      <c r="W228" s="49"/>
      <c r="X228" s="49"/>
      <c r="Y228" s="49"/>
    </row>
    <row r="229" spans="1:25" ht="15.75" customHeight="1">
      <c r="A229" s="49"/>
      <c r="B229" s="56"/>
      <c r="C229" s="57"/>
      <c r="D229" s="49"/>
      <c r="E229" s="49"/>
      <c r="F229" s="49"/>
      <c r="G229" s="49"/>
      <c r="H229" s="49"/>
      <c r="I229" s="49"/>
      <c r="J229" s="49"/>
      <c r="K229" s="49"/>
      <c r="L229" s="49"/>
      <c r="M229" s="49"/>
      <c r="N229" s="49"/>
      <c r="O229" s="49"/>
      <c r="P229" s="49"/>
      <c r="Q229" s="49"/>
      <c r="R229" s="49"/>
      <c r="S229" s="49"/>
      <c r="T229" s="49"/>
      <c r="U229" s="49"/>
      <c r="V229" s="49"/>
      <c r="W229" s="49"/>
      <c r="X229" s="49"/>
      <c r="Y229" s="49"/>
    </row>
    <row r="230" spans="1:25" ht="15.75" customHeight="1">
      <c r="A230" s="49"/>
      <c r="B230" s="56"/>
      <c r="C230" s="57"/>
      <c r="D230" s="49"/>
      <c r="E230" s="49"/>
      <c r="F230" s="49"/>
      <c r="G230" s="49"/>
      <c r="H230" s="49"/>
      <c r="I230" s="49"/>
      <c r="J230" s="49"/>
      <c r="K230" s="49"/>
      <c r="L230" s="49"/>
      <c r="M230" s="49"/>
      <c r="N230" s="49"/>
      <c r="O230" s="49"/>
      <c r="P230" s="49"/>
      <c r="Q230" s="49"/>
      <c r="R230" s="49"/>
      <c r="S230" s="49"/>
      <c r="T230" s="49"/>
      <c r="U230" s="49"/>
      <c r="V230" s="49"/>
      <c r="W230" s="49"/>
      <c r="X230" s="49"/>
      <c r="Y230" s="49"/>
    </row>
    <row r="231" spans="1:25" ht="15.75" customHeight="1">
      <c r="A231" s="49"/>
      <c r="B231" s="56"/>
      <c r="C231" s="57"/>
      <c r="D231" s="49"/>
      <c r="E231" s="49"/>
      <c r="F231" s="49"/>
      <c r="G231" s="49"/>
      <c r="H231" s="49"/>
      <c r="I231" s="49"/>
      <c r="J231" s="49"/>
      <c r="K231" s="49"/>
      <c r="L231" s="49"/>
      <c r="M231" s="49"/>
      <c r="N231" s="49"/>
      <c r="O231" s="49"/>
      <c r="P231" s="49"/>
      <c r="Q231" s="49"/>
      <c r="R231" s="49"/>
      <c r="S231" s="49"/>
      <c r="T231" s="49"/>
      <c r="U231" s="49"/>
      <c r="V231" s="49"/>
      <c r="W231" s="49"/>
      <c r="X231" s="49"/>
      <c r="Y231" s="49"/>
    </row>
    <row r="232" spans="1:25" ht="15.75" customHeight="1">
      <c r="A232" s="49"/>
      <c r="B232" s="56"/>
      <c r="C232" s="57"/>
      <c r="D232" s="49"/>
      <c r="E232" s="49"/>
      <c r="F232" s="49"/>
      <c r="G232" s="49"/>
      <c r="H232" s="49"/>
      <c r="I232" s="49"/>
      <c r="J232" s="49"/>
      <c r="K232" s="49"/>
      <c r="L232" s="49"/>
      <c r="M232" s="49"/>
      <c r="N232" s="49"/>
      <c r="O232" s="49"/>
      <c r="P232" s="49"/>
      <c r="Q232" s="49"/>
      <c r="R232" s="49"/>
      <c r="S232" s="49"/>
      <c r="T232" s="49"/>
      <c r="U232" s="49"/>
      <c r="V232" s="49"/>
      <c r="W232" s="49"/>
      <c r="X232" s="49"/>
      <c r="Y232" s="49"/>
    </row>
    <row r="233" spans="1:25" ht="15.75" customHeight="1">
      <c r="A233" s="49"/>
      <c r="B233" s="56"/>
      <c r="C233" s="57"/>
      <c r="D233" s="49"/>
      <c r="E233" s="49"/>
      <c r="F233" s="49"/>
      <c r="G233" s="49"/>
      <c r="H233" s="49"/>
      <c r="I233" s="49"/>
      <c r="J233" s="49"/>
      <c r="K233" s="49"/>
      <c r="L233" s="49"/>
      <c r="M233" s="49"/>
      <c r="N233" s="49"/>
      <c r="O233" s="49"/>
      <c r="P233" s="49"/>
      <c r="Q233" s="49"/>
      <c r="R233" s="49"/>
      <c r="S233" s="49"/>
      <c r="T233" s="49"/>
      <c r="U233" s="49"/>
      <c r="V233" s="49"/>
      <c r="W233" s="49"/>
      <c r="X233" s="49"/>
      <c r="Y233" s="49"/>
    </row>
    <row r="234" spans="1:25" ht="15.75" customHeight="1">
      <c r="A234" s="49"/>
      <c r="B234" s="56"/>
      <c r="C234" s="57"/>
      <c r="D234" s="49"/>
      <c r="E234" s="49"/>
      <c r="F234" s="49"/>
      <c r="G234" s="49"/>
      <c r="H234" s="49"/>
      <c r="I234" s="49"/>
      <c r="J234" s="49"/>
      <c r="K234" s="49"/>
      <c r="L234" s="49"/>
      <c r="M234" s="49"/>
      <c r="N234" s="49"/>
      <c r="O234" s="49"/>
      <c r="P234" s="49"/>
      <c r="Q234" s="49"/>
      <c r="R234" s="49"/>
      <c r="S234" s="49"/>
      <c r="T234" s="49"/>
      <c r="U234" s="49"/>
      <c r="V234" s="49"/>
      <c r="W234" s="49"/>
      <c r="X234" s="49"/>
      <c r="Y234" s="49"/>
    </row>
    <row r="235" spans="1:25" ht="15.75" customHeight="1">
      <c r="A235" s="49"/>
      <c r="B235" s="56"/>
      <c r="C235" s="57"/>
      <c r="D235" s="49"/>
      <c r="E235" s="49"/>
      <c r="F235" s="49"/>
      <c r="G235" s="49"/>
      <c r="H235" s="49"/>
      <c r="I235" s="49"/>
      <c r="J235" s="49"/>
      <c r="K235" s="49"/>
      <c r="L235" s="49"/>
      <c r="M235" s="49"/>
      <c r="N235" s="49"/>
      <c r="O235" s="49"/>
      <c r="P235" s="49"/>
      <c r="Q235" s="49"/>
      <c r="R235" s="49"/>
      <c r="S235" s="49"/>
      <c r="T235" s="49"/>
      <c r="U235" s="49"/>
      <c r="V235" s="49"/>
      <c r="W235" s="49"/>
      <c r="X235" s="49"/>
      <c r="Y235" s="49"/>
    </row>
    <row r="236" spans="1:25" ht="15.75" customHeight="1">
      <c r="A236" s="49"/>
      <c r="B236" s="56"/>
      <c r="C236" s="57"/>
      <c r="D236" s="49"/>
      <c r="E236" s="49"/>
      <c r="F236" s="49"/>
      <c r="G236" s="49"/>
      <c r="H236" s="49"/>
      <c r="I236" s="49"/>
      <c r="J236" s="49"/>
      <c r="K236" s="49"/>
      <c r="L236" s="49"/>
      <c r="M236" s="49"/>
      <c r="N236" s="49"/>
      <c r="O236" s="49"/>
      <c r="P236" s="49"/>
      <c r="Q236" s="49"/>
      <c r="R236" s="49"/>
      <c r="S236" s="49"/>
      <c r="T236" s="49"/>
      <c r="U236" s="49"/>
      <c r="V236" s="49"/>
      <c r="W236" s="49"/>
      <c r="X236" s="49"/>
      <c r="Y236" s="49"/>
    </row>
    <row r="237" spans="1:25" ht="15.75" customHeight="1">
      <c r="A237" s="49"/>
      <c r="B237" s="56"/>
      <c r="C237" s="57"/>
      <c r="D237" s="49"/>
      <c r="E237" s="49"/>
      <c r="F237" s="49"/>
      <c r="G237" s="49"/>
      <c r="H237" s="49"/>
      <c r="I237" s="49"/>
      <c r="J237" s="49"/>
      <c r="K237" s="49"/>
      <c r="L237" s="49"/>
      <c r="M237" s="49"/>
      <c r="N237" s="49"/>
      <c r="O237" s="49"/>
      <c r="P237" s="49"/>
      <c r="Q237" s="49"/>
      <c r="R237" s="49"/>
      <c r="S237" s="49"/>
      <c r="T237" s="49"/>
      <c r="U237" s="49"/>
      <c r="V237" s="49"/>
      <c r="W237" s="49"/>
      <c r="X237" s="49"/>
      <c r="Y237" s="49"/>
    </row>
    <row r="238" spans="1:25" ht="15.75" customHeight="1">
      <c r="A238" s="49"/>
      <c r="B238" s="56"/>
      <c r="C238" s="57"/>
      <c r="D238" s="49"/>
      <c r="E238" s="49"/>
      <c r="F238" s="49"/>
      <c r="G238" s="49"/>
      <c r="H238" s="49"/>
      <c r="I238" s="49"/>
      <c r="J238" s="49"/>
      <c r="K238" s="49"/>
      <c r="L238" s="49"/>
      <c r="M238" s="49"/>
      <c r="N238" s="49"/>
      <c r="O238" s="49"/>
      <c r="P238" s="49"/>
      <c r="Q238" s="49"/>
      <c r="R238" s="49"/>
      <c r="S238" s="49"/>
      <c r="T238" s="49"/>
      <c r="U238" s="49"/>
      <c r="V238" s="49"/>
      <c r="W238" s="49"/>
      <c r="X238" s="49"/>
      <c r="Y238" s="49"/>
    </row>
    <row r="239" spans="1:25" ht="15.75" customHeight="1">
      <c r="A239" s="49"/>
      <c r="B239" s="56"/>
      <c r="C239" s="57"/>
      <c r="D239" s="49"/>
      <c r="E239" s="49"/>
      <c r="F239" s="49"/>
      <c r="G239" s="49"/>
      <c r="H239" s="49"/>
      <c r="I239" s="49"/>
      <c r="J239" s="49"/>
      <c r="K239" s="49"/>
      <c r="L239" s="49"/>
      <c r="M239" s="49"/>
      <c r="N239" s="49"/>
      <c r="O239" s="49"/>
      <c r="P239" s="49"/>
      <c r="Q239" s="49"/>
      <c r="R239" s="49"/>
      <c r="S239" s="49"/>
      <c r="T239" s="49"/>
      <c r="U239" s="49"/>
      <c r="V239" s="49"/>
      <c r="W239" s="49"/>
      <c r="X239" s="49"/>
      <c r="Y239" s="49"/>
    </row>
    <row r="240" spans="1:25" ht="15.75" customHeight="1">
      <c r="A240" s="49"/>
      <c r="B240" s="56"/>
      <c r="C240" s="57"/>
      <c r="D240" s="49"/>
      <c r="E240" s="49"/>
      <c r="F240" s="49"/>
      <c r="G240" s="49"/>
      <c r="H240" s="49"/>
      <c r="I240" s="49"/>
      <c r="J240" s="49"/>
      <c r="K240" s="49"/>
      <c r="L240" s="49"/>
      <c r="M240" s="49"/>
      <c r="N240" s="49"/>
      <c r="O240" s="49"/>
      <c r="P240" s="49"/>
      <c r="Q240" s="49"/>
      <c r="R240" s="49"/>
      <c r="S240" s="49"/>
      <c r="T240" s="49"/>
      <c r="U240" s="49"/>
      <c r="V240" s="49"/>
      <c r="W240" s="49"/>
      <c r="X240" s="49"/>
      <c r="Y240" s="49"/>
    </row>
    <row r="241" spans="1:25" ht="15.75" customHeight="1">
      <c r="A241" s="49"/>
      <c r="B241" s="56"/>
      <c r="C241" s="57"/>
      <c r="D241" s="49"/>
      <c r="E241" s="49"/>
      <c r="F241" s="49"/>
      <c r="G241" s="49"/>
      <c r="H241" s="49"/>
      <c r="I241" s="49"/>
      <c r="J241" s="49"/>
      <c r="K241" s="49"/>
      <c r="L241" s="49"/>
      <c r="M241" s="49"/>
      <c r="N241" s="49"/>
      <c r="O241" s="49"/>
      <c r="P241" s="49"/>
      <c r="Q241" s="49"/>
      <c r="R241" s="49"/>
      <c r="S241" s="49"/>
      <c r="T241" s="49"/>
      <c r="U241" s="49"/>
      <c r="V241" s="49"/>
      <c r="W241" s="49"/>
      <c r="X241" s="49"/>
      <c r="Y241" s="49"/>
    </row>
    <row r="242" spans="1:25" ht="15.75" customHeight="1">
      <c r="A242" s="49"/>
      <c r="B242" s="56"/>
      <c r="C242" s="57"/>
      <c r="D242" s="49"/>
      <c r="E242" s="49"/>
      <c r="F242" s="49"/>
      <c r="G242" s="49"/>
      <c r="H242" s="49"/>
      <c r="I242" s="49"/>
      <c r="J242" s="49"/>
      <c r="K242" s="49"/>
      <c r="L242" s="49"/>
      <c r="M242" s="49"/>
      <c r="N242" s="49"/>
      <c r="O242" s="49"/>
      <c r="P242" s="49"/>
      <c r="Q242" s="49"/>
      <c r="R242" s="49"/>
      <c r="S242" s="49"/>
      <c r="T242" s="49"/>
      <c r="U242" s="49"/>
      <c r="V242" s="49"/>
      <c r="W242" s="49"/>
      <c r="X242" s="49"/>
      <c r="Y242" s="49"/>
    </row>
    <row r="243" spans="1:25" ht="15.75" customHeight="1">
      <c r="A243" s="49"/>
      <c r="B243" s="56"/>
      <c r="C243" s="57"/>
      <c r="D243" s="49"/>
      <c r="E243" s="49"/>
      <c r="F243" s="49"/>
      <c r="G243" s="49"/>
      <c r="H243" s="49"/>
      <c r="I243" s="49"/>
      <c r="J243" s="49"/>
      <c r="K243" s="49"/>
      <c r="L243" s="49"/>
      <c r="M243" s="49"/>
      <c r="N243" s="49"/>
      <c r="O243" s="49"/>
      <c r="P243" s="49"/>
      <c r="Q243" s="49"/>
      <c r="R243" s="49"/>
      <c r="S243" s="49"/>
      <c r="T243" s="49"/>
      <c r="U243" s="49"/>
      <c r="V243" s="49"/>
      <c r="W243" s="49"/>
      <c r="X243" s="49"/>
      <c r="Y243" s="49"/>
    </row>
    <row r="244" spans="1:25" ht="15.75" customHeight="1">
      <c r="A244" s="49"/>
      <c r="B244" s="56"/>
      <c r="C244" s="57"/>
      <c r="D244" s="49"/>
      <c r="E244" s="49"/>
      <c r="F244" s="49"/>
      <c r="G244" s="49"/>
      <c r="H244" s="49"/>
      <c r="I244" s="49"/>
      <c r="J244" s="49"/>
      <c r="K244" s="49"/>
      <c r="L244" s="49"/>
      <c r="M244" s="49"/>
      <c r="N244" s="49"/>
      <c r="O244" s="49"/>
      <c r="P244" s="49"/>
      <c r="Q244" s="49"/>
      <c r="R244" s="49"/>
      <c r="S244" s="49"/>
      <c r="T244" s="49"/>
      <c r="U244" s="49"/>
      <c r="V244" s="49"/>
      <c r="W244" s="49"/>
      <c r="X244" s="49"/>
      <c r="Y244" s="49"/>
    </row>
    <row r="245" spans="1:25" ht="15.75" customHeight="1">
      <c r="A245" s="49"/>
      <c r="B245" s="56"/>
      <c r="C245" s="57"/>
      <c r="D245" s="49"/>
      <c r="E245" s="49"/>
      <c r="F245" s="49"/>
      <c r="G245" s="49"/>
      <c r="H245" s="49"/>
      <c r="I245" s="49"/>
      <c r="J245" s="49"/>
      <c r="K245" s="49"/>
      <c r="L245" s="49"/>
      <c r="M245" s="49"/>
      <c r="N245" s="49"/>
      <c r="O245" s="49"/>
      <c r="P245" s="49"/>
      <c r="Q245" s="49"/>
      <c r="R245" s="49"/>
      <c r="S245" s="49"/>
      <c r="T245" s="49"/>
      <c r="U245" s="49"/>
      <c r="V245" s="49"/>
      <c r="W245" s="49"/>
      <c r="X245" s="49"/>
      <c r="Y245" s="49"/>
    </row>
    <row r="246" spans="1:25" ht="15.75" customHeight="1">
      <c r="A246" s="49"/>
      <c r="B246" s="56"/>
      <c r="C246" s="57"/>
      <c r="D246" s="49"/>
      <c r="E246" s="49"/>
      <c r="F246" s="49"/>
      <c r="G246" s="49"/>
      <c r="H246" s="49"/>
      <c r="I246" s="49"/>
      <c r="J246" s="49"/>
      <c r="K246" s="49"/>
      <c r="L246" s="49"/>
      <c r="M246" s="49"/>
      <c r="N246" s="49"/>
      <c r="O246" s="49"/>
      <c r="P246" s="49"/>
      <c r="Q246" s="49"/>
      <c r="R246" s="49"/>
      <c r="S246" s="49"/>
      <c r="T246" s="49"/>
      <c r="U246" s="49"/>
      <c r="V246" s="49"/>
      <c r="W246" s="49"/>
      <c r="X246" s="49"/>
      <c r="Y246" s="49"/>
    </row>
    <row r="247" spans="1:25" ht="15.75" customHeight="1">
      <c r="A247" s="49"/>
      <c r="B247" s="56"/>
      <c r="C247" s="57"/>
      <c r="D247" s="49"/>
      <c r="E247" s="49"/>
      <c r="F247" s="49"/>
      <c r="G247" s="49"/>
      <c r="H247" s="49"/>
      <c r="I247" s="49"/>
      <c r="J247" s="49"/>
      <c r="K247" s="49"/>
      <c r="L247" s="49"/>
      <c r="M247" s="49"/>
      <c r="N247" s="49"/>
      <c r="O247" s="49"/>
      <c r="P247" s="49"/>
      <c r="Q247" s="49"/>
      <c r="R247" s="49"/>
      <c r="S247" s="49"/>
      <c r="T247" s="49"/>
      <c r="U247" s="49"/>
      <c r="V247" s="49"/>
      <c r="W247" s="49"/>
      <c r="X247" s="49"/>
      <c r="Y247" s="49"/>
    </row>
    <row r="248" spans="1:25" ht="15.75" customHeight="1">
      <c r="A248" s="49"/>
      <c r="B248" s="56"/>
      <c r="C248" s="57"/>
      <c r="D248" s="49"/>
      <c r="E248" s="49"/>
      <c r="F248" s="49"/>
      <c r="G248" s="49"/>
      <c r="H248" s="49"/>
      <c r="I248" s="49"/>
      <c r="J248" s="49"/>
      <c r="K248" s="49"/>
      <c r="L248" s="49"/>
      <c r="M248" s="49"/>
      <c r="N248" s="49"/>
      <c r="O248" s="49"/>
      <c r="P248" s="49"/>
      <c r="Q248" s="49"/>
      <c r="R248" s="49"/>
      <c r="S248" s="49"/>
      <c r="T248" s="49"/>
      <c r="U248" s="49"/>
      <c r="V248" s="49"/>
      <c r="W248" s="49"/>
      <c r="X248" s="49"/>
      <c r="Y248" s="49"/>
    </row>
    <row r="249" spans="1:25" ht="15.75" customHeight="1">
      <c r="A249" s="49"/>
      <c r="B249" s="56"/>
      <c r="C249" s="57"/>
      <c r="D249" s="49"/>
      <c r="E249" s="49"/>
      <c r="F249" s="49"/>
      <c r="G249" s="49"/>
      <c r="H249" s="49"/>
      <c r="I249" s="49"/>
      <c r="J249" s="49"/>
      <c r="K249" s="49"/>
      <c r="L249" s="49"/>
      <c r="M249" s="49"/>
      <c r="N249" s="49"/>
      <c r="O249" s="49"/>
      <c r="P249" s="49"/>
      <c r="Q249" s="49"/>
      <c r="R249" s="49"/>
      <c r="S249" s="49"/>
      <c r="T249" s="49"/>
      <c r="U249" s="49"/>
      <c r="V249" s="49"/>
      <c r="W249" s="49"/>
      <c r="X249" s="49"/>
      <c r="Y249" s="49"/>
    </row>
    <row r="250" spans="1:25" ht="15.75" customHeight="1">
      <c r="A250" s="49"/>
      <c r="B250" s="56"/>
      <c r="C250" s="57"/>
      <c r="D250" s="49"/>
      <c r="E250" s="49"/>
      <c r="F250" s="49"/>
      <c r="G250" s="49"/>
      <c r="H250" s="49"/>
      <c r="I250" s="49"/>
      <c r="J250" s="49"/>
      <c r="K250" s="49"/>
      <c r="L250" s="49"/>
      <c r="M250" s="49"/>
      <c r="N250" s="49"/>
      <c r="O250" s="49"/>
      <c r="P250" s="49"/>
      <c r="Q250" s="49"/>
      <c r="R250" s="49"/>
      <c r="S250" s="49"/>
      <c r="T250" s="49"/>
      <c r="U250" s="49"/>
      <c r="V250" s="49"/>
      <c r="W250" s="49"/>
      <c r="X250" s="49"/>
      <c r="Y250" s="49"/>
    </row>
    <row r="251" spans="1:25" ht="15.75" customHeight="1">
      <c r="A251" s="49"/>
      <c r="B251" s="56"/>
      <c r="C251" s="57"/>
      <c r="D251" s="49"/>
      <c r="E251" s="49"/>
      <c r="F251" s="49"/>
      <c r="G251" s="49"/>
      <c r="H251" s="49"/>
      <c r="I251" s="49"/>
      <c r="J251" s="49"/>
      <c r="K251" s="49"/>
      <c r="L251" s="49"/>
      <c r="M251" s="49"/>
      <c r="N251" s="49"/>
      <c r="O251" s="49"/>
      <c r="P251" s="49"/>
      <c r="Q251" s="49"/>
      <c r="R251" s="49"/>
      <c r="S251" s="49"/>
      <c r="T251" s="49"/>
      <c r="U251" s="49"/>
      <c r="V251" s="49"/>
      <c r="W251" s="49"/>
      <c r="X251" s="49"/>
      <c r="Y251" s="49"/>
    </row>
    <row r="252" spans="1:25" ht="15.75" customHeight="1">
      <c r="A252" s="49"/>
      <c r="B252" s="56"/>
      <c r="C252" s="57"/>
      <c r="D252" s="49"/>
      <c r="E252" s="49"/>
      <c r="F252" s="49"/>
      <c r="G252" s="49"/>
      <c r="H252" s="49"/>
      <c r="I252" s="49"/>
      <c r="J252" s="49"/>
      <c r="K252" s="49"/>
      <c r="L252" s="49"/>
      <c r="M252" s="49"/>
      <c r="N252" s="49"/>
      <c r="O252" s="49"/>
      <c r="P252" s="49"/>
      <c r="Q252" s="49"/>
      <c r="R252" s="49"/>
      <c r="S252" s="49"/>
      <c r="T252" s="49"/>
      <c r="U252" s="49"/>
      <c r="V252" s="49"/>
      <c r="W252" s="49"/>
      <c r="X252" s="49"/>
      <c r="Y252" s="49"/>
    </row>
    <row r="253" spans="1:25" ht="15.75" customHeight="1">
      <c r="A253" s="49"/>
      <c r="B253" s="56"/>
      <c r="C253" s="57"/>
      <c r="D253" s="49"/>
      <c r="E253" s="49"/>
      <c r="F253" s="49"/>
      <c r="G253" s="49"/>
      <c r="H253" s="49"/>
      <c r="I253" s="49"/>
      <c r="J253" s="49"/>
      <c r="K253" s="49"/>
      <c r="L253" s="49"/>
      <c r="M253" s="49"/>
      <c r="N253" s="49"/>
      <c r="O253" s="49"/>
      <c r="P253" s="49"/>
      <c r="Q253" s="49"/>
      <c r="R253" s="49"/>
      <c r="S253" s="49"/>
      <c r="T253" s="49"/>
      <c r="U253" s="49"/>
      <c r="V253" s="49"/>
      <c r="W253" s="49"/>
      <c r="X253" s="49"/>
      <c r="Y253" s="49"/>
    </row>
    <row r="254" spans="1:25" ht="15.75" customHeight="1">
      <c r="A254" s="49"/>
      <c r="B254" s="56"/>
      <c r="C254" s="57"/>
      <c r="D254" s="49"/>
      <c r="E254" s="49"/>
      <c r="F254" s="49"/>
      <c r="G254" s="49"/>
      <c r="H254" s="49"/>
      <c r="I254" s="49"/>
      <c r="J254" s="49"/>
      <c r="K254" s="49"/>
      <c r="L254" s="49"/>
      <c r="M254" s="49"/>
      <c r="N254" s="49"/>
      <c r="O254" s="49"/>
      <c r="P254" s="49"/>
      <c r="Q254" s="49"/>
      <c r="R254" s="49"/>
      <c r="S254" s="49"/>
      <c r="T254" s="49"/>
      <c r="U254" s="49"/>
      <c r="V254" s="49"/>
      <c r="W254" s="49"/>
      <c r="X254" s="49"/>
      <c r="Y254" s="49"/>
    </row>
    <row r="255" spans="1:25" ht="15.75" customHeight="1">
      <c r="A255" s="49"/>
      <c r="B255" s="56"/>
      <c r="C255" s="57"/>
      <c r="D255" s="49"/>
      <c r="E255" s="49"/>
      <c r="F255" s="49"/>
      <c r="G255" s="49"/>
      <c r="H255" s="49"/>
      <c r="I255" s="49"/>
      <c r="J255" s="49"/>
      <c r="K255" s="49"/>
      <c r="L255" s="49"/>
      <c r="M255" s="49"/>
      <c r="N255" s="49"/>
      <c r="O255" s="49"/>
      <c r="P255" s="49"/>
      <c r="Q255" s="49"/>
      <c r="R255" s="49"/>
      <c r="S255" s="49"/>
      <c r="T255" s="49"/>
      <c r="U255" s="49"/>
      <c r="V255" s="49"/>
      <c r="W255" s="49"/>
      <c r="X255" s="49"/>
      <c r="Y255" s="49"/>
    </row>
    <row r="256" spans="1:25" ht="15.75" customHeight="1">
      <c r="A256" s="49"/>
      <c r="B256" s="56"/>
      <c r="C256" s="57"/>
      <c r="D256" s="49"/>
      <c r="E256" s="49"/>
      <c r="F256" s="49"/>
      <c r="G256" s="49"/>
      <c r="H256" s="49"/>
      <c r="I256" s="49"/>
      <c r="J256" s="49"/>
      <c r="K256" s="49"/>
      <c r="L256" s="49"/>
      <c r="M256" s="49"/>
      <c r="N256" s="49"/>
      <c r="O256" s="49"/>
      <c r="P256" s="49"/>
      <c r="Q256" s="49"/>
      <c r="R256" s="49"/>
      <c r="S256" s="49"/>
      <c r="T256" s="49"/>
      <c r="U256" s="49"/>
      <c r="V256" s="49"/>
      <c r="W256" s="49"/>
      <c r="X256" s="49"/>
      <c r="Y256" s="49"/>
    </row>
    <row r="257" spans="1:25" ht="15.75" customHeight="1">
      <c r="A257" s="49"/>
      <c r="B257" s="56"/>
      <c r="C257" s="57"/>
      <c r="D257" s="49"/>
      <c r="E257" s="49"/>
      <c r="F257" s="49"/>
      <c r="G257" s="49"/>
      <c r="H257" s="49"/>
      <c r="I257" s="49"/>
      <c r="J257" s="49"/>
      <c r="K257" s="49"/>
      <c r="L257" s="49"/>
      <c r="M257" s="49"/>
      <c r="N257" s="49"/>
      <c r="O257" s="49"/>
      <c r="P257" s="49"/>
      <c r="Q257" s="49"/>
      <c r="R257" s="49"/>
      <c r="S257" s="49"/>
      <c r="T257" s="49"/>
      <c r="U257" s="49"/>
      <c r="V257" s="49"/>
      <c r="W257" s="49"/>
      <c r="X257" s="49"/>
      <c r="Y257" s="49"/>
    </row>
    <row r="258" spans="1:25" ht="15.75" customHeight="1">
      <c r="A258" s="49"/>
      <c r="B258" s="56"/>
      <c r="C258" s="57"/>
      <c r="D258" s="49"/>
      <c r="E258" s="49"/>
      <c r="F258" s="49"/>
      <c r="G258" s="49"/>
      <c r="H258" s="49"/>
      <c r="I258" s="49"/>
      <c r="J258" s="49"/>
      <c r="K258" s="49"/>
      <c r="L258" s="49"/>
      <c r="M258" s="49"/>
      <c r="N258" s="49"/>
      <c r="O258" s="49"/>
      <c r="P258" s="49"/>
      <c r="Q258" s="49"/>
      <c r="R258" s="49"/>
      <c r="S258" s="49"/>
      <c r="T258" s="49"/>
      <c r="U258" s="49"/>
      <c r="V258" s="49"/>
      <c r="W258" s="49"/>
      <c r="X258" s="49"/>
      <c r="Y258" s="49"/>
    </row>
    <row r="259" spans="1:25" ht="15.75" customHeight="1">
      <c r="A259" s="49"/>
      <c r="B259" s="56"/>
      <c r="C259" s="57"/>
      <c r="D259" s="49"/>
      <c r="E259" s="49"/>
      <c r="F259" s="49"/>
      <c r="G259" s="49"/>
      <c r="H259" s="49"/>
      <c r="I259" s="49"/>
      <c r="J259" s="49"/>
      <c r="K259" s="49"/>
      <c r="L259" s="49"/>
      <c r="M259" s="49"/>
      <c r="N259" s="49"/>
      <c r="O259" s="49"/>
      <c r="P259" s="49"/>
      <c r="Q259" s="49"/>
      <c r="R259" s="49"/>
      <c r="S259" s="49"/>
      <c r="T259" s="49"/>
      <c r="U259" s="49"/>
      <c r="V259" s="49"/>
      <c r="W259" s="49"/>
      <c r="X259" s="49"/>
      <c r="Y259" s="49"/>
    </row>
    <row r="260" spans="1:25" ht="15.75" customHeight="1">
      <c r="A260" s="49"/>
      <c r="B260" s="56"/>
      <c r="C260" s="57"/>
      <c r="D260" s="49"/>
      <c r="E260" s="49"/>
      <c r="F260" s="49"/>
      <c r="G260" s="49"/>
      <c r="H260" s="49"/>
      <c r="I260" s="49"/>
      <c r="J260" s="49"/>
      <c r="K260" s="49"/>
      <c r="L260" s="49"/>
      <c r="M260" s="49"/>
      <c r="N260" s="49"/>
      <c r="O260" s="49"/>
      <c r="P260" s="49"/>
      <c r="Q260" s="49"/>
      <c r="R260" s="49"/>
      <c r="S260" s="49"/>
      <c r="T260" s="49"/>
      <c r="U260" s="49"/>
      <c r="V260" s="49"/>
      <c r="W260" s="49"/>
      <c r="X260" s="49"/>
      <c r="Y260" s="49"/>
    </row>
    <row r="261" spans="1:25" ht="15.75" customHeight="1">
      <c r="A261" s="49"/>
      <c r="B261" s="56"/>
      <c r="C261" s="57"/>
      <c r="D261" s="49"/>
      <c r="E261" s="49"/>
      <c r="F261" s="49"/>
      <c r="G261" s="49"/>
      <c r="H261" s="49"/>
      <c r="I261" s="49"/>
      <c r="J261" s="49"/>
      <c r="K261" s="49"/>
      <c r="L261" s="49"/>
      <c r="M261" s="49"/>
      <c r="N261" s="49"/>
      <c r="O261" s="49"/>
      <c r="P261" s="49"/>
      <c r="Q261" s="49"/>
      <c r="R261" s="49"/>
      <c r="S261" s="49"/>
      <c r="T261" s="49"/>
      <c r="U261" s="49"/>
      <c r="V261" s="49"/>
      <c r="W261" s="49"/>
      <c r="X261" s="49"/>
      <c r="Y261" s="49"/>
    </row>
    <row r="262" spans="1:25" ht="15.75" customHeight="1">
      <c r="A262" s="49"/>
      <c r="B262" s="56"/>
      <c r="C262" s="57"/>
      <c r="D262" s="49"/>
      <c r="E262" s="49"/>
      <c r="F262" s="49"/>
      <c r="G262" s="49"/>
      <c r="H262" s="49"/>
      <c r="I262" s="49"/>
      <c r="J262" s="49"/>
      <c r="K262" s="49"/>
      <c r="L262" s="49"/>
      <c r="M262" s="49"/>
      <c r="N262" s="49"/>
      <c r="O262" s="49"/>
      <c r="P262" s="49"/>
      <c r="Q262" s="49"/>
      <c r="R262" s="49"/>
      <c r="S262" s="49"/>
      <c r="T262" s="49"/>
      <c r="U262" s="49"/>
      <c r="V262" s="49"/>
      <c r="W262" s="49"/>
      <c r="X262" s="49"/>
      <c r="Y262" s="49"/>
    </row>
    <row r="263" spans="1:25" ht="15.75" customHeight="1">
      <c r="A263" s="49"/>
      <c r="B263" s="56"/>
      <c r="C263" s="57"/>
      <c r="D263" s="49"/>
      <c r="E263" s="49"/>
      <c r="F263" s="49"/>
      <c r="G263" s="49"/>
      <c r="H263" s="49"/>
      <c r="I263" s="49"/>
      <c r="J263" s="49"/>
      <c r="K263" s="49"/>
      <c r="L263" s="49"/>
      <c r="M263" s="49"/>
      <c r="N263" s="49"/>
      <c r="O263" s="49"/>
      <c r="P263" s="49"/>
      <c r="Q263" s="49"/>
      <c r="R263" s="49"/>
      <c r="S263" s="49"/>
      <c r="T263" s="49"/>
      <c r="U263" s="49"/>
      <c r="V263" s="49"/>
      <c r="W263" s="49"/>
      <c r="X263" s="49"/>
      <c r="Y263" s="49"/>
    </row>
    <row r="264" spans="1:25" ht="15.75" customHeight="1">
      <c r="A264" s="49"/>
      <c r="B264" s="56"/>
      <c r="C264" s="57"/>
      <c r="D264" s="49"/>
      <c r="E264" s="49"/>
      <c r="F264" s="49"/>
      <c r="G264" s="49"/>
      <c r="H264" s="49"/>
      <c r="I264" s="49"/>
      <c r="J264" s="49"/>
      <c r="K264" s="49"/>
      <c r="L264" s="49"/>
      <c r="M264" s="49"/>
      <c r="N264" s="49"/>
      <c r="O264" s="49"/>
      <c r="P264" s="49"/>
      <c r="Q264" s="49"/>
      <c r="R264" s="49"/>
      <c r="S264" s="49"/>
      <c r="T264" s="49"/>
      <c r="U264" s="49"/>
      <c r="V264" s="49"/>
      <c r="W264" s="49"/>
      <c r="X264" s="49"/>
      <c r="Y264" s="49"/>
    </row>
    <row r="265" spans="1:25" ht="15.75" customHeight="1">
      <c r="A265" s="49"/>
      <c r="B265" s="56"/>
      <c r="C265" s="57"/>
      <c r="D265" s="49"/>
      <c r="E265" s="49"/>
      <c r="F265" s="49"/>
      <c r="G265" s="49"/>
      <c r="H265" s="49"/>
      <c r="I265" s="49"/>
      <c r="J265" s="49"/>
      <c r="K265" s="49"/>
      <c r="L265" s="49"/>
      <c r="M265" s="49"/>
      <c r="N265" s="49"/>
      <c r="O265" s="49"/>
      <c r="P265" s="49"/>
      <c r="Q265" s="49"/>
      <c r="R265" s="49"/>
      <c r="S265" s="49"/>
      <c r="T265" s="49"/>
      <c r="U265" s="49"/>
      <c r="V265" s="49"/>
      <c r="W265" s="49"/>
      <c r="X265" s="49"/>
      <c r="Y265" s="49"/>
    </row>
    <row r="266" spans="1:25" ht="15.75" customHeight="1">
      <c r="A266" s="49"/>
      <c r="B266" s="56"/>
      <c r="C266" s="57"/>
      <c r="D266" s="49"/>
      <c r="E266" s="49"/>
      <c r="F266" s="49"/>
      <c r="G266" s="49"/>
      <c r="H266" s="49"/>
      <c r="I266" s="49"/>
      <c r="J266" s="49"/>
      <c r="K266" s="49"/>
      <c r="L266" s="49"/>
      <c r="M266" s="49"/>
      <c r="N266" s="49"/>
      <c r="O266" s="49"/>
      <c r="P266" s="49"/>
      <c r="Q266" s="49"/>
      <c r="R266" s="49"/>
      <c r="S266" s="49"/>
      <c r="T266" s="49"/>
      <c r="U266" s="49"/>
      <c r="V266" s="49"/>
      <c r="W266" s="49"/>
      <c r="X266" s="49"/>
      <c r="Y266" s="49"/>
    </row>
    <row r="267" spans="1:25" ht="15.75" customHeight="1">
      <c r="A267" s="49"/>
      <c r="B267" s="56"/>
      <c r="C267" s="57"/>
      <c r="D267" s="49"/>
      <c r="E267" s="49"/>
      <c r="F267" s="49"/>
      <c r="G267" s="49"/>
      <c r="H267" s="49"/>
      <c r="I267" s="49"/>
      <c r="J267" s="49"/>
      <c r="K267" s="49"/>
      <c r="L267" s="49"/>
      <c r="M267" s="49"/>
      <c r="N267" s="49"/>
      <c r="O267" s="49"/>
      <c r="P267" s="49"/>
      <c r="Q267" s="49"/>
      <c r="R267" s="49"/>
      <c r="S267" s="49"/>
      <c r="T267" s="49"/>
      <c r="U267" s="49"/>
      <c r="V267" s="49"/>
      <c r="W267" s="49"/>
      <c r="X267" s="49"/>
      <c r="Y267" s="49"/>
    </row>
    <row r="268" spans="1:25" ht="15.75" customHeight="1">
      <c r="A268" s="49"/>
      <c r="B268" s="56"/>
      <c r="C268" s="57"/>
      <c r="D268" s="49"/>
      <c r="E268" s="49"/>
      <c r="F268" s="49"/>
      <c r="G268" s="49"/>
      <c r="H268" s="49"/>
      <c r="I268" s="49"/>
      <c r="J268" s="49"/>
      <c r="K268" s="49"/>
      <c r="L268" s="49"/>
      <c r="M268" s="49"/>
      <c r="N268" s="49"/>
      <c r="O268" s="49"/>
      <c r="P268" s="49"/>
      <c r="Q268" s="49"/>
      <c r="R268" s="49"/>
      <c r="S268" s="49"/>
      <c r="T268" s="49"/>
      <c r="U268" s="49"/>
      <c r="V268" s="49"/>
      <c r="W268" s="49"/>
      <c r="X268" s="49"/>
      <c r="Y268" s="49"/>
    </row>
    <row r="269" spans="1:25" ht="15.75" customHeight="1">
      <c r="A269" s="49"/>
      <c r="B269" s="56"/>
      <c r="C269" s="57"/>
      <c r="D269" s="49"/>
      <c r="E269" s="49"/>
      <c r="F269" s="49"/>
      <c r="G269" s="49"/>
      <c r="H269" s="49"/>
      <c r="I269" s="49"/>
      <c r="J269" s="49"/>
      <c r="K269" s="49"/>
      <c r="L269" s="49"/>
      <c r="M269" s="49"/>
      <c r="N269" s="49"/>
      <c r="O269" s="49"/>
      <c r="P269" s="49"/>
      <c r="Q269" s="49"/>
      <c r="R269" s="49"/>
      <c r="S269" s="49"/>
      <c r="T269" s="49"/>
      <c r="U269" s="49"/>
      <c r="V269" s="49"/>
      <c r="W269" s="49"/>
      <c r="X269" s="49"/>
      <c r="Y269" s="49"/>
    </row>
    <row r="270" spans="1:25" ht="15.75" customHeight="1">
      <c r="A270" s="49"/>
      <c r="B270" s="56"/>
      <c r="C270" s="57"/>
      <c r="D270" s="49"/>
      <c r="E270" s="49"/>
      <c r="F270" s="49"/>
      <c r="G270" s="49"/>
      <c r="H270" s="49"/>
      <c r="I270" s="49"/>
      <c r="J270" s="49"/>
      <c r="K270" s="49"/>
      <c r="L270" s="49"/>
      <c r="M270" s="49"/>
      <c r="N270" s="49"/>
      <c r="O270" s="49"/>
      <c r="P270" s="49"/>
      <c r="Q270" s="49"/>
      <c r="R270" s="49"/>
      <c r="S270" s="49"/>
      <c r="T270" s="49"/>
      <c r="U270" s="49"/>
      <c r="V270" s="49"/>
      <c r="W270" s="49"/>
      <c r="X270" s="49"/>
      <c r="Y270" s="49"/>
    </row>
    <row r="271" spans="1:25" ht="15.75" customHeight="1">
      <c r="A271" s="49"/>
      <c r="B271" s="56"/>
      <c r="C271" s="57"/>
      <c r="D271" s="49"/>
      <c r="E271" s="49"/>
      <c r="F271" s="49"/>
      <c r="G271" s="49"/>
      <c r="H271" s="49"/>
      <c r="I271" s="49"/>
      <c r="J271" s="49"/>
      <c r="K271" s="49"/>
      <c r="L271" s="49"/>
      <c r="M271" s="49"/>
      <c r="N271" s="49"/>
      <c r="O271" s="49"/>
      <c r="P271" s="49"/>
      <c r="Q271" s="49"/>
      <c r="R271" s="49"/>
      <c r="S271" s="49"/>
      <c r="T271" s="49"/>
      <c r="U271" s="49"/>
      <c r="V271" s="49"/>
      <c r="W271" s="49"/>
      <c r="X271" s="49"/>
      <c r="Y271" s="49"/>
    </row>
    <row r="272" spans="1:25" ht="15.75" customHeight="1">
      <c r="A272" s="49"/>
      <c r="B272" s="56"/>
      <c r="C272" s="57"/>
      <c r="D272" s="49"/>
      <c r="E272" s="49"/>
      <c r="F272" s="49"/>
      <c r="G272" s="49"/>
      <c r="H272" s="49"/>
      <c r="I272" s="49"/>
      <c r="J272" s="49"/>
      <c r="K272" s="49"/>
      <c r="L272" s="49"/>
      <c r="M272" s="49"/>
      <c r="N272" s="49"/>
      <c r="O272" s="49"/>
      <c r="P272" s="49"/>
      <c r="Q272" s="49"/>
      <c r="R272" s="49"/>
      <c r="S272" s="49"/>
      <c r="T272" s="49"/>
      <c r="U272" s="49"/>
      <c r="V272" s="49"/>
      <c r="W272" s="49"/>
      <c r="X272" s="49"/>
      <c r="Y272" s="49"/>
    </row>
    <row r="273" spans="1:25" ht="15.75" customHeight="1">
      <c r="A273" s="49"/>
      <c r="B273" s="56"/>
      <c r="C273" s="57"/>
      <c r="D273" s="49"/>
      <c r="E273" s="49"/>
      <c r="F273" s="49"/>
      <c r="G273" s="49"/>
      <c r="H273" s="49"/>
      <c r="I273" s="49"/>
      <c r="J273" s="49"/>
      <c r="K273" s="49"/>
      <c r="L273" s="49"/>
      <c r="M273" s="49"/>
      <c r="N273" s="49"/>
      <c r="O273" s="49"/>
      <c r="P273" s="49"/>
      <c r="Q273" s="49"/>
      <c r="R273" s="49"/>
      <c r="S273" s="49"/>
      <c r="T273" s="49"/>
      <c r="U273" s="49"/>
      <c r="V273" s="49"/>
      <c r="W273" s="49"/>
      <c r="X273" s="49"/>
      <c r="Y273" s="49"/>
    </row>
    <row r="274" spans="1:25" ht="15.75" customHeight="1">
      <c r="A274" s="49"/>
      <c r="B274" s="56"/>
      <c r="C274" s="57"/>
      <c r="D274" s="49"/>
      <c r="E274" s="49"/>
      <c r="F274" s="49"/>
      <c r="G274" s="49"/>
      <c r="H274" s="49"/>
      <c r="I274" s="49"/>
      <c r="J274" s="49"/>
      <c r="K274" s="49"/>
      <c r="L274" s="49"/>
      <c r="M274" s="49"/>
      <c r="N274" s="49"/>
      <c r="O274" s="49"/>
      <c r="P274" s="49"/>
      <c r="Q274" s="49"/>
      <c r="R274" s="49"/>
      <c r="S274" s="49"/>
      <c r="T274" s="49"/>
      <c r="U274" s="49"/>
      <c r="V274" s="49"/>
      <c r="W274" s="49"/>
      <c r="X274" s="49"/>
      <c r="Y274" s="49"/>
    </row>
    <row r="275" spans="1:25" ht="15.75" customHeight="1">
      <c r="A275" s="49"/>
      <c r="B275" s="56"/>
      <c r="C275" s="57"/>
      <c r="D275" s="49"/>
      <c r="E275" s="49"/>
      <c r="F275" s="49"/>
      <c r="G275" s="49"/>
      <c r="H275" s="49"/>
      <c r="I275" s="49"/>
      <c r="J275" s="49"/>
      <c r="K275" s="49"/>
      <c r="L275" s="49"/>
      <c r="M275" s="49"/>
      <c r="N275" s="49"/>
      <c r="O275" s="49"/>
      <c r="P275" s="49"/>
      <c r="Q275" s="49"/>
      <c r="R275" s="49"/>
      <c r="S275" s="49"/>
      <c r="T275" s="49"/>
      <c r="U275" s="49"/>
      <c r="V275" s="49"/>
      <c r="W275" s="49"/>
      <c r="X275" s="49"/>
      <c r="Y275" s="49"/>
    </row>
    <row r="276" spans="1:25" ht="15.75" customHeight="1">
      <c r="A276" s="49"/>
      <c r="B276" s="56"/>
      <c r="C276" s="57"/>
      <c r="D276" s="49"/>
      <c r="E276" s="49"/>
      <c r="F276" s="49"/>
      <c r="G276" s="49"/>
      <c r="H276" s="49"/>
      <c r="I276" s="49"/>
      <c r="J276" s="49"/>
      <c r="K276" s="49"/>
      <c r="L276" s="49"/>
      <c r="M276" s="49"/>
      <c r="N276" s="49"/>
      <c r="O276" s="49"/>
      <c r="P276" s="49"/>
      <c r="Q276" s="49"/>
      <c r="R276" s="49"/>
      <c r="S276" s="49"/>
      <c r="T276" s="49"/>
      <c r="U276" s="49"/>
      <c r="V276" s="49"/>
      <c r="W276" s="49"/>
      <c r="X276" s="49"/>
      <c r="Y276" s="49"/>
    </row>
    <row r="277" spans="1:25" ht="15.75" customHeight="1">
      <c r="A277" s="49"/>
      <c r="B277" s="56"/>
      <c r="C277" s="57"/>
      <c r="D277" s="49"/>
      <c r="E277" s="49"/>
      <c r="F277" s="49"/>
      <c r="G277" s="49"/>
      <c r="H277" s="49"/>
      <c r="I277" s="49"/>
      <c r="J277" s="49"/>
      <c r="K277" s="49"/>
      <c r="L277" s="49"/>
      <c r="M277" s="49"/>
      <c r="N277" s="49"/>
      <c r="O277" s="49"/>
      <c r="P277" s="49"/>
      <c r="Q277" s="49"/>
      <c r="R277" s="49"/>
      <c r="S277" s="49"/>
      <c r="T277" s="49"/>
      <c r="U277" s="49"/>
      <c r="V277" s="49"/>
      <c r="W277" s="49"/>
      <c r="X277" s="49"/>
      <c r="Y277" s="49"/>
    </row>
    <row r="278" spans="1:25" ht="15.75" customHeight="1">
      <c r="A278" s="49"/>
      <c r="B278" s="56"/>
      <c r="C278" s="57"/>
      <c r="D278" s="49"/>
      <c r="E278" s="49"/>
      <c r="F278" s="49"/>
      <c r="G278" s="49"/>
      <c r="H278" s="49"/>
      <c r="I278" s="49"/>
      <c r="J278" s="49"/>
      <c r="K278" s="49"/>
      <c r="L278" s="49"/>
      <c r="M278" s="49"/>
      <c r="N278" s="49"/>
      <c r="O278" s="49"/>
      <c r="P278" s="49"/>
      <c r="Q278" s="49"/>
      <c r="R278" s="49"/>
      <c r="S278" s="49"/>
      <c r="T278" s="49"/>
      <c r="U278" s="49"/>
      <c r="V278" s="49"/>
      <c r="W278" s="49"/>
      <c r="X278" s="49"/>
      <c r="Y278" s="49"/>
    </row>
    <row r="279" spans="1:25" ht="15.75" customHeight="1">
      <c r="A279" s="49"/>
      <c r="B279" s="56"/>
      <c r="C279" s="57"/>
      <c r="D279" s="49"/>
      <c r="E279" s="49"/>
      <c r="F279" s="49"/>
      <c r="G279" s="49"/>
      <c r="H279" s="49"/>
      <c r="I279" s="49"/>
      <c r="J279" s="49"/>
      <c r="K279" s="49"/>
      <c r="L279" s="49"/>
      <c r="M279" s="49"/>
      <c r="N279" s="49"/>
      <c r="O279" s="49"/>
      <c r="P279" s="49"/>
      <c r="Q279" s="49"/>
      <c r="R279" s="49"/>
      <c r="S279" s="49"/>
      <c r="T279" s="49"/>
      <c r="U279" s="49"/>
      <c r="V279" s="49"/>
      <c r="W279" s="49"/>
      <c r="X279" s="49"/>
      <c r="Y279" s="49"/>
    </row>
    <row r="280" spans="1:25" ht="15.75" customHeight="1">
      <c r="A280" s="49"/>
      <c r="B280" s="56"/>
      <c r="C280" s="57"/>
      <c r="D280" s="49"/>
      <c r="E280" s="49"/>
      <c r="F280" s="49"/>
      <c r="G280" s="49"/>
      <c r="H280" s="49"/>
      <c r="I280" s="49"/>
      <c r="J280" s="49"/>
      <c r="K280" s="49"/>
      <c r="L280" s="49"/>
      <c r="M280" s="49"/>
      <c r="N280" s="49"/>
      <c r="O280" s="49"/>
      <c r="P280" s="49"/>
      <c r="Q280" s="49"/>
      <c r="R280" s="49"/>
      <c r="S280" s="49"/>
      <c r="T280" s="49"/>
      <c r="U280" s="49"/>
      <c r="V280" s="49"/>
      <c r="W280" s="49"/>
      <c r="X280" s="49"/>
      <c r="Y280" s="49"/>
    </row>
    <row r="281" spans="1:25" ht="15.75" customHeight="1">
      <c r="A281" s="49"/>
      <c r="B281" s="56"/>
      <c r="C281" s="57"/>
      <c r="D281" s="49"/>
      <c r="E281" s="49"/>
      <c r="F281" s="49"/>
      <c r="G281" s="49"/>
      <c r="H281" s="49"/>
      <c r="I281" s="49"/>
      <c r="J281" s="49"/>
      <c r="K281" s="49"/>
      <c r="L281" s="49"/>
      <c r="M281" s="49"/>
      <c r="N281" s="49"/>
      <c r="O281" s="49"/>
      <c r="P281" s="49"/>
      <c r="Q281" s="49"/>
      <c r="R281" s="49"/>
      <c r="S281" s="49"/>
      <c r="T281" s="49"/>
      <c r="U281" s="49"/>
      <c r="V281" s="49"/>
      <c r="W281" s="49"/>
      <c r="X281" s="49"/>
      <c r="Y281" s="49"/>
    </row>
    <row r="282" spans="1:25" ht="15.75" customHeight="1">
      <c r="A282" s="49"/>
      <c r="B282" s="56"/>
      <c r="C282" s="57"/>
      <c r="D282" s="49"/>
      <c r="E282" s="49"/>
      <c r="F282" s="49"/>
      <c r="G282" s="49"/>
      <c r="H282" s="49"/>
      <c r="I282" s="49"/>
      <c r="J282" s="49"/>
      <c r="K282" s="49"/>
      <c r="L282" s="49"/>
      <c r="M282" s="49"/>
      <c r="N282" s="49"/>
      <c r="O282" s="49"/>
      <c r="P282" s="49"/>
      <c r="Q282" s="49"/>
      <c r="R282" s="49"/>
      <c r="S282" s="49"/>
      <c r="T282" s="49"/>
      <c r="U282" s="49"/>
      <c r="V282" s="49"/>
      <c r="W282" s="49"/>
      <c r="X282" s="49"/>
      <c r="Y282" s="49"/>
    </row>
    <row r="283" spans="1:25" ht="15.75" customHeight="1">
      <c r="A283" s="49"/>
      <c r="B283" s="56"/>
      <c r="C283" s="57"/>
      <c r="D283" s="49"/>
      <c r="E283" s="49"/>
      <c r="F283" s="49"/>
      <c r="G283" s="49"/>
      <c r="H283" s="49"/>
      <c r="I283" s="49"/>
      <c r="J283" s="49"/>
      <c r="K283" s="49"/>
      <c r="L283" s="49"/>
      <c r="M283" s="49"/>
      <c r="N283" s="49"/>
      <c r="O283" s="49"/>
      <c r="P283" s="49"/>
      <c r="Q283" s="49"/>
      <c r="R283" s="49"/>
      <c r="S283" s="49"/>
      <c r="T283" s="49"/>
      <c r="U283" s="49"/>
      <c r="V283" s="49"/>
      <c r="W283" s="49"/>
      <c r="X283" s="49"/>
      <c r="Y283" s="49"/>
    </row>
    <row r="284" spans="1:25" ht="15.75" customHeight="1">
      <c r="A284" s="49"/>
      <c r="B284" s="56"/>
      <c r="C284" s="57"/>
      <c r="D284" s="49"/>
      <c r="E284" s="49"/>
      <c r="F284" s="49"/>
      <c r="G284" s="49"/>
      <c r="H284" s="49"/>
      <c r="I284" s="49"/>
      <c r="J284" s="49"/>
      <c r="K284" s="49"/>
      <c r="L284" s="49"/>
      <c r="M284" s="49"/>
      <c r="N284" s="49"/>
      <c r="O284" s="49"/>
      <c r="P284" s="49"/>
      <c r="Q284" s="49"/>
      <c r="R284" s="49"/>
      <c r="S284" s="49"/>
      <c r="T284" s="49"/>
      <c r="U284" s="49"/>
      <c r="V284" s="49"/>
      <c r="W284" s="49"/>
      <c r="X284" s="49"/>
      <c r="Y284" s="49"/>
    </row>
    <row r="285" spans="1:25" ht="15.75" customHeight="1">
      <c r="A285" s="49"/>
      <c r="B285" s="56"/>
      <c r="C285" s="57"/>
      <c r="D285" s="49"/>
      <c r="E285" s="49"/>
      <c r="F285" s="49"/>
      <c r="G285" s="49"/>
      <c r="H285" s="49"/>
      <c r="I285" s="49"/>
      <c r="J285" s="49"/>
      <c r="K285" s="49"/>
      <c r="L285" s="49"/>
      <c r="M285" s="49"/>
      <c r="N285" s="49"/>
      <c r="O285" s="49"/>
      <c r="P285" s="49"/>
      <c r="Q285" s="49"/>
      <c r="R285" s="49"/>
      <c r="S285" s="49"/>
      <c r="T285" s="49"/>
      <c r="U285" s="49"/>
      <c r="V285" s="49"/>
      <c r="W285" s="49"/>
      <c r="X285" s="49"/>
      <c r="Y285" s="49"/>
    </row>
    <row r="286" spans="1:25" ht="15.75" customHeight="1">
      <c r="A286" s="49"/>
      <c r="B286" s="56"/>
      <c r="C286" s="57"/>
      <c r="D286" s="49"/>
      <c r="E286" s="49"/>
      <c r="F286" s="49"/>
      <c r="G286" s="49"/>
      <c r="H286" s="49"/>
      <c r="I286" s="49"/>
      <c r="J286" s="49"/>
      <c r="K286" s="49"/>
      <c r="L286" s="49"/>
      <c r="M286" s="49"/>
      <c r="N286" s="49"/>
      <c r="O286" s="49"/>
      <c r="P286" s="49"/>
      <c r="Q286" s="49"/>
      <c r="R286" s="49"/>
      <c r="S286" s="49"/>
      <c r="T286" s="49"/>
      <c r="U286" s="49"/>
      <c r="V286" s="49"/>
      <c r="W286" s="49"/>
      <c r="X286" s="49"/>
      <c r="Y286" s="49"/>
    </row>
    <row r="287" spans="1:25" ht="15.75" customHeight="1">
      <c r="A287" s="49"/>
      <c r="B287" s="56"/>
      <c r="C287" s="57"/>
      <c r="D287" s="49"/>
      <c r="E287" s="49"/>
      <c r="F287" s="49"/>
      <c r="G287" s="49"/>
      <c r="H287" s="49"/>
      <c r="I287" s="49"/>
      <c r="J287" s="49"/>
      <c r="K287" s="49"/>
      <c r="L287" s="49"/>
      <c r="M287" s="49"/>
      <c r="N287" s="49"/>
      <c r="O287" s="49"/>
      <c r="P287" s="49"/>
      <c r="Q287" s="49"/>
      <c r="R287" s="49"/>
      <c r="S287" s="49"/>
      <c r="T287" s="49"/>
      <c r="U287" s="49"/>
      <c r="V287" s="49"/>
      <c r="W287" s="49"/>
      <c r="X287" s="49"/>
      <c r="Y287" s="49"/>
    </row>
    <row r="288" spans="1:25" ht="15.75" customHeight="1">
      <c r="A288" s="49"/>
      <c r="B288" s="56"/>
      <c r="C288" s="57"/>
      <c r="D288" s="49"/>
      <c r="E288" s="49"/>
      <c r="F288" s="49"/>
      <c r="G288" s="49"/>
      <c r="H288" s="49"/>
      <c r="I288" s="49"/>
      <c r="J288" s="49"/>
      <c r="K288" s="49"/>
      <c r="L288" s="49"/>
      <c r="M288" s="49"/>
      <c r="N288" s="49"/>
      <c r="O288" s="49"/>
      <c r="P288" s="49"/>
      <c r="Q288" s="49"/>
      <c r="R288" s="49"/>
      <c r="S288" s="49"/>
      <c r="T288" s="49"/>
      <c r="U288" s="49"/>
      <c r="V288" s="49"/>
      <c r="W288" s="49"/>
      <c r="X288" s="49"/>
      <c r="Y288" s="49"/>
    </row>
    <row r="289" spans="1:25" ht="15.75" customHeight="1">
      <c r="A289" s="49"/>
      <c r="B289" s="56"/>
      <c r="C289" s="57"/>
      <c r="D289" s="49"/>
      <c r="E289" s="49"/>
      <c r="F289" s="49"/>
      <c r="G289" s="49"/>
      <c r="H289" s="49"/>
      <c r="I289" s="49"/>
      <c r="J289" s="49"/>
      <c r="K289" s="49"/>
      <c r="L289" s="49"/>
      <c r="M289" s="49"/>
      <c r="N289" s="49"/>
      <c r="O289" s="49"/>
      <c r="P289" s="49"/>
      <c r="Q289" s="49"/>
      <c r="R289" s="49"/>
      <c r="S289" s="49"/>
      <c r="T289" s="49"/>
      <c r="U289" s="49"/>
      <c r="V289" s="49"/>
      <c r="W289" s="49"/>
      <c r="X289" s="49"/>
      <c r="Y289" s="49"/>
    </row>
    <row r="290" spans="1:25" ht="15.75" customHeight="1">
      <c r="A290" s="49"/>
      <c r="B290" s="56"/>
      <c r="C290" s="57"/>
      <c r="D290" s="49"/>
      <c r="E290" s="49"/>
      <c r="F290" s="49"/>
      <c r="G290" s="49"/>
      <c r="H290" s="49"/>
      <c r="I290" s="49"/>
      <c r="J290" s="49"/>
      <c r="K290" s="49"/>
      <c r="L290" s="49"/>
      <c r="M290" s="49"/>
      <c r="N290" s="49"/>
      <c r="O290" s="49"/>
      <c r="P290" s="49"/>
      <c r="Q290" s="49"/>
      <c r="R290" s="49"/>
      <c r="S290" s="49"/>
      <c r="T290" s="49"/>
      <c r="U290" s="49"/>
      <c r="V290" s="49"/>
      <c r="W290" s="49"/>
      <c r="X290" s="49"/>
      <c r="Y290" s="49"/>
    </row>
    <row r="291" spans="1:25" ht="15.75" customHeight="1">
      <c r="A291" s="49"/>
      <c r="B291" s="56"/>
      <c r="C291" s="57"/>
      <c r="D291" s="49"/>
      <c r="E291" s="49"/>
      <c r="F291" s="49"/>
      <c r="G291" s="49"/>
      <c r="H291" s="49"/>
      <c r="I291" s="49"/>
      <c r="J291" s="49"/>
      <c r="K291" s="49"/>
      <c r="L291" s="49"/>
      <c r="M291" s="49"/>
      <c r="N291" s="49"/>
      <c r="O291" s="49"/>
      <c r="P291" s="49"/>
      <c r="Q291" s="49"/>
      <c r="R291" s="49"/>
      <c r="S291" s="49"/>
      <c r="T291" s="49"/>
      <c r="U291" s="49"/>
      <c r="V291" s="49"/>
      <c r="W291" s="49"/>
      <c r="X291" s="49"/>
      <c r="Y291" s="49"/>
    </row>
    <row r="292" spans="1:25" ht="15.75" customHeight="1">
      <c r="A292" s="49"/>
      <c r="B292" s="56"/>
      <c r="C292" s="57"/>
      <c r="D292" s="49"/>
      <c r="E292" s="49"/>
      <c r="F292" s="49"/>
      <c r="G292" s="49"/>
      <c r="H292" s="49"/>
      <c r="I292" s="49"/>
      <c r="J292" s="49"/>
      <c r="K292" s="49"/>
      <c r="L292" s="49"/>
      <c r="M292" s="49"/>
      <c r="N292" s="49"/>
      <c r="O292" s="49"/>
      <c r="P292" s="49"/>
      <c r="Q292" s="49"/>
      <c r="R292" s="49"/>
      <c r="S292" s="49"/>
      <c r="T292" s="49"/>
      <c r="U292" s="49"/>
      <c r="V292" s="49"/>
      <c r="W292" s="49"/>
      <c r="X292" s="49"/>
      <c r="Y292" s="49"/>
    </row>
    <row r="293" spans="1:25" ht="15.75" customHeight="1">
      <c r="A293" s="49"/>
      <c r="B293" s="56"/>
      <c r="C293" s="57"/>
      <c r="D293" s="49"/>
      <c r="E293" s="49"/>
      <c r="F293" s="49"/>
      <c r="G293" s="49"/>
      <c r="H293" s="49"/>
      <c r="I293" s="49"/>
      <c r="J293" s="49"/>
      <c r="K293" s="49"/>
      <c r="L293" s="49"/>
      <c r="M293" s="49"/>
      <c r="N293" s="49"/>
      <c r="O293" s="49"/>
      <c r="P293" s="49"/>
      <c r="Q293" s="49"/>
      <c r="R293" s="49"/>
      <c r="S293" s="49"/>
      <c r="T293" s="49"/>
      <c r="U293" s="49"/>
      <c r="V293" s="49"/>
      <c r="W293" s="49"/>
      <c r="X293" s="49"/>
      <c r="Y293" s="49"/>
    </row>
    <row r="294" spans="1:25" ht="15.75" customHeight="1">
      <c r="A294" s="49"/>
      <c r="B294" s="56"/>
      <c r="C294" s="57"/>
      <c r="D294" s="49"/>
      <c r="E294" s="49"/>
      <c r="F294" s="49"/>
      <c r="G294" s="49"/>
      <c r="H294" s="49"/>
      <c r="I294" s="49"/>
      <c r="J294" s="49"/>
      <c r="K294" s="49"/>
      <c r="L294" s="49"/>
      <c r="M294" s="49"/>
      <c r="N294" s="49"/>
      <c r="O294" s="49"/>
      <c r="P294" s="49"/>
      <c r="Q294" s="49"/>
      <c r="R294" s="49"/>
      <c r="S294" s="49"/>
      <c r="T294" s="49"/>
      <c r="U294" s="49"/>
      <c r="V294" s="49"/>
      <c r="W294" s="49"/>
      <c r="X294" s="49"/>
      <c r="Y294" s="49"/>
    </row>
    <row r="295" spans="1:25" ht="15.75" customHeight="1">
      <c r="A295" s="49"/>
      <c r="B295" s="56"/>
      <c r="C295" s="57"/>
      <c r="D295" s="49"/>
      <c r="E295" s="49"/>
      <c r="F295" s="49"/>
      <c r="G295" s="49"/>
      <c r="H295" s="49"/>
      <c r="I295" s="49"/>
      <c r="J295" s="49"/>
      <c r="K295" s="49"/>
      <c r="L295" s="49"/>
      <c r="M295" s="49"/>
      <c r="N295" s="49"/>
      <c r="O295" s="49"/>
      <c r="P295" s="49"/>
      <c r="Q295" s="49"/>
      <c r="R295" s="49"/>
      <c r="S295" s="49"/>
      <c r="T295" s="49"/>
      <c r="U295" s="49"/>
      <c r="V295" s="49"/>
      <c r="W295" s="49"/>
      <c r="X295" s="49"/>
      <c r="Y295" s="49"/>
    </row>
    <row r="296" spans="1:25" ht="15.75" customHeight="1">
      <c r="A296" s="49"/>
      <c r="B296" s="56"/>
      <c r="C296" s="57"/>
      <c r="D296" s="49"/>
      <c r="E296" s="49"/>
      <c r="F296" s="49"/>
      <c r="G296" s="49"/>
      <c r="H296" s="49"/>
      <c r="I296" s="49"/>
      <c r="J296" s="49"/>
      <c r="K296" s="49"/>
      <c r="L296" s="49"/>
      <c r="M296" s="49"/>
      <c r="N296" s="49"/>
      <c r="O296" s="49"/>
      <c r="P296" s="49"/>
      <c r="Q296" s="49"/>
      <c r="R296" s="49"/>
      <c r="S296" s="49"/>
      <c r="T296" s="49"/>
      <c r="U296" s="49"/>
      <c r="V296" s="49"/>
      <c r="W296" s="49"/>
      <c r="X296" s="49"/>
      <c r="Y296" s="49"/>
    </row>
    <row r="297" spans="1:25" ht="15.75" customHeight="1">
      <c r="A297" s="49"/>
      <c r="B297" s="56"/>
      <c r="C297" s="57"/>
      <c r="D297" s="49"/>
      <c r="E297" s="49"/>
      <c r="F297" s="49"/>
      <c r="G297" s="49"/>
      <c r="H297" s="49"/>
      <c r="I297" s="49"/>
      <c r="J297" s="49"/>
      <c r="K297" s="49"/>
      <c r="L297" s="49"/>
      <c r="M297" s="49"/>
      <c r="N297" s="49"/>
      <c r="O297" s="49"/>
      <c r="P297" s="49"/>
      <c r="Q297" s="49"/>
      <c r="R297" s="49"/>
      <c r="S297" s="49"/>
      <c r="T297" s="49"/>
      <c r="U297" s="49"/>
      <c r="V297" s="49"/>
      <c r="W297" s="49"/>
      <c r="X297" s="49"/>
      <c r="Y297" s="49"/>
    </row>
    <row r="298" spans="1:25" ht="15.75" customHeight="1">
      <c r="A298" s="49"/>
      <c r="B298" s="56"/>
      <c r="C298" s="57"/>
      <c r="D298" s="49"/>
      <c r="E298" s="49"/>
      <c r="F298" s="49"/>
      <c r="G298" s="49"/>
      <c r="H298" s="49"/>
      <c r="I298" s="49"/>
      <c r="J298" s="49"/>
      <c r="K298" s="49"/>
      <c r="L298" s="49"/>
      <c r="M298" s="49"/>
      <c r="N298" s="49"/>
      <c r="O298" s="49"/>
      <c r="P298" s="49"/>
      <c r="Q298" s="49"/>
      <c r="R298" s="49"/>
      <c r="S298" s="49"/>
      <c r="T298" s="49"/>
      <c r="U298" s="49"/>
      <c r="V298" s="49"/>
      <c r="W298" s="49"/>
      <c r="X298" s="49"/>
      <c r="Y298" s="49"/>
    </row>
    <row r="299" spans="1:25" ht="15.75" customHeight="1"/>
    <row r="300" spans="1:25" ht="15.75" customHeight="1"/>
    <row r="301" spans="1:25" ht="15.75" customHeight="1"/>
    <row r="302" spans="1:25" ht="15.75" customHeight="1"/>
    <row r="303" spans="1:25" ht="15.75" customHeight="1"/>
    <row r="304" spans="1:25"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E25:E29"/>
  </mergeCells>
  <conditionalFormatting sqref="B35">
    <cfRule type="cellIs" dxfId="1" priority="1" operator="equal">
      <formula>0</formula>
    </cfRule>
  </conditionalFormatting>
  <conditionalFormatting sqref="B36">
    <cfRule type="cellIs" dxfId="0" priority="2" operator="equal">
      <formula>0</formula>
    </cfRule>
  </conditionalFormatting>
  <dataValidations count="4">
    <dataValidation type="list" allowBlank="1" showErrorMessage="1" sqref="B34 B39 B50" xr:uid="{00000000-0002-0000-0100-000001000000}">
      <formula1>"Yes,No"</formula1>
    </dataValidation>
    <dataValidation type="list" allowBlank="1" showErrorMessage="1" sqref="B18" xr:uid="{00000000-0002-0000-0100-000004000000}">
      <formula1>"VRP,VRP+30%,100% OA,IAQP,Other"</formula1>
    </dataValidation>
    <dataValidation type="list" allowBlank="1" showErrorMessage="1" sqref="B23" xr:uid="{00000000-0002-0000-0100-000005000000}">
      <formula1>"Electricity"</formula1>
    </dataValidation>
    <dataValidation type="list" allowBlank="1" showErrorMessage="1" sqref="B24" xr:uid="{00000000-0002-0000-0100-000006000000}">
      <formula1>"Steam,Gas,Electricity"</formula1>
    </dataValidation>
  </dataValidations>
  <hyperlinks>
    <hyperlink ref="E11" location="Readme!F30" display="Requests for additional cities can be submitted here. " xr:uid="{00000000-0004-0000-0100-000000000000}"/>
    <hyperlink ref="E41" location="null!A1" display="Pressure Drop across the filter values can be found in Table 3" xr:uid="{00000000-0004-0000-0100-000001000000}"/>
    <hyperlink ref="E70" location="null!A1" display="Filter Material cost table can be found in Table 3" xr:uid="{00000000-0004-0000-0100-000002000000}"/>
  </hyperlinks>
  <pageMargins left="0.7" right="0.7" top="0.75" bottom="0.75" header="0" footer="0"/>
  <pageSetup orientation="portrait"/>
  <extLst>
    <ext xmlns:x14="http://schemas.microsoft.com/office/spreadsheetml/2009/9/main" uri="{CCE6A557-97BC-4b89-ADB6-D9C93CAAB3DF}">
      <x14:dataValidations xmlns:xm="http://schemas.microsoft.com/office/excel/2006/main" count="3">
        <x14:dataValidation type="list" allowBlank="1" showErrorMessage="1" xr:uid="{00000000-0002-0000-0100-000000000000}">
          <x14:formula1>
            <xm:f>'Table 2 - Filtration Info'!$B$4:$B$11</xm:f>
          </x14:formula1>
          <xm:sqref>B40</xm:sqref>
        </x14:dataValidation>
        <x14:dataValidation type="list" allowBlank="1" showErrorMessage="1" xr:uid="{00000000-0002-0000-0100-000002000000}">
          <x14:formula1>
            <xm:f>'Table 1 - Operational Info'!$B$5:$B$24</xm:f>
          </x14:formula1>
          <xm:sqref>B11</xm:sqref>
        </x14:dataValidation>
        <x14:dataValidation type="list" allowBlank="1" showErrorMessage="1" xr:uid="{00000000-0002-0000-0100-000003000000}">
          <x14:formula1>
            <xm:f>'Table 3 - ASHRAE 62.1 OA Rates'!$A$3:$A$82</xm:f>
          </x14:formula1>
          <xm:sqref>B12</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B085"/>
  </sheetPr>
  <dimension ref="A1:AB1000"/>
  <sheetViews>
    <sheetView topLeftCell="A13" workbookViewId="0"/>
  </sheetViews>
  <sheetFormatPr defaultColWidth="14.453125" defaultRowHeight="15" customHeight="1" outlineLevelRow="1"/>
  <cols>
    <col min="1" max="1" width="4.1796875" customWidth="1"/>
    <col min="2" max="2" width="49.1796875" customWidth="1"/>
    <col min="3" max="6" width="14.1796875" customWidth="1"/>
    <col min="7" max="7" width="10.26953125" customWidth="1"/>
    <col min="8" max="8" width="11" customWidth="1"/>
    <col min="9" max="16" width="9.1796875" customWidth="1"/>
    <col min="17" max="17" width="10" customWidth="1"/>
    <col min="18" max="22" width="9.1796875" customWidth="1"/>
    <col min="23" max="28" width="8.7265625" customWidth="1"/>
  </cols>
  <sheetData>
    <row r="1" spans="1:28" ht="8.25" customHeight="1">
      <c r="A1" s="52"/>
      <c r="B1" s="53"/>
      <c r="C1" s="54"/>
      <c r="D1" s="52"/>
      <c r="E1" s="52"/>
      <c r="F1" s="52"/>
      <c r="G1" s="52"/>
      <c r="H1" s="52"/>
      <c r="I1" s="52"/>
      <c r="J1" s="52"/>
      <c r="K1" s="52"/>
      <c r="L1" s="52"/>
      <c r="M1" s="52"/>
      <c r="N1" s="52"/>
      <c r="O1" s="52"/>
      <c r="P1" s="52"/>
      <c r="Q1" s="52"/>
      <c r="R1" s="52"/>
      <c r="S1" s="52"/>
      <c r="T1" s="52"/>
      <c r="U1" s="52"/>
      <c r="V1" s="52"/>
      <c r="W1" s="52"/>
      <c r="X1" s="52"/>
      <c r="Y1" s="52"/>
      <c r="Z1" s="52"/>
    </row>
    <row r="2" spans="1:28" ht="27" customHeight="1">
      <c r="A2" s="5" t="s">
        <v>215</v>
      </c>
      <c r="B2" s="113"/>
      <c r="C2" s="113"/>
      <c r="D2" s="55"/>
      <c r="E2" s="55"/>
      <c r="F2" s="55"/>
      <c r="G2" s="55"/>
      <c r="H2" s="55"/>
      <c r="I2" s="55"/>
      <c r="J2" s="55"/>
      <c r="K2" s="55"/>
      <c r="L2" s="55"/>
      <c r="M2" s="55"/>
      <c r="N2" s="55"/>
      <c r="O2" s="55"/>
      <c r="P2" s="55"/>
      <c r="Q2" s="55"/>
      <c r="R2" s="55"/>
      <c r="S2" s="55"/>
      <c r="T2" s="55"/>
      <c r="U2" s="55"/>
      <c r="V2" s="55"/>
      <c r="W2" s="55"/>
      <c r="X2" s="55"/>
      <c r="Y2" s="55"/>
      <c r="Z2" s="55"/>
    </row>
    <row r="3" spans="1:28" ht="15.75" customHeight="1">
      <c r="A3" s="114" t="s">
        <v>216</v>
      </c>
      <c r="B3" s="68"/>
      <c r="C3" s="38"/>
      <c r="D3" s="12"/>
      <c r="E3" s="12"/>
      <c r="F3" s="12"/>
      <c r="G3" s="12"/>
      <c r="H3" s="12"/>
      <c r="I3" s="12"/>
      <c r="J3" s="12"/>
      <c r="K3" s="12"/>
      <c r="L3" s="12"/>
      <c r="M3" s="12"/>
      <c r="N3" s="12"/>
      <c r="O3" s="12"/>
      <c r="P3" s="12"/>
      <c r="Q3" s="12"/>
      <c r="R3" s="12"/>
      <c r="S3" s="12"/>
      <c r="T3" s="12"/>
      <c r="U3" s="12"/>
      <c r="V3" s="12"/>
      <c r="W3" s="49"/>
      <c r="X3" s="49"/>
      <c r="Y3" s="49"/>
      <c r="Z3" s="49"/>
    </row>
    <row r="4" spans="1:28" ht="15.75" customHeight="1">
      <c r="A4" s="115" t="s">
        <v>217</v>
      </c>
      <c r="B4" s="68"/>
      <c r="C4" s="38"/>
      <c r="D4" s="12"/>
      <c r="E4" s="12"/>
      <c r="F4" s="12"/>
      <c r="G4" s="12"/>
      <c r="H4" s="12"/>
      <c r="I4" s="12"/>
      <c r="J4" s="12"/>
      <c r="K4" s="12"/>
      <c r="L4" s="12"/>
      <c r="M4" s="12"/>
      <c r="N4" s="12"/>
      <c r="O4" s="12"/>
      <c r="P4" s="12"/>
      <c r="Q4" s="12"/>
      <c r="R4" s="12"/>
      <c r="S4" s="12"/>
      <c r="T4" s="12"/>
      <c r="U4" s="12"/>
      <c r="V4" s="12"/>
      <c r="W4" s="49"/>
      <c r="X4" s="49"/>
      <c r="Y4" s="49"/>
      <c r="Z4" s="49"/>
    </row>
    <row r="5" spans="1:28" ht="15.75" customHeight="1">
      <c r="A5" s="12"/>
      <c r="B5" s="68"/>
      <c r="C5" s="38"/>
      <c r="D5" s="12"/>
      <c r="E5" s="12"/>
      <c r="F5" s="12"/>
      <c r="G5" s="12"/>
      <c r="H5" s="12"/>
      <c r="I5" s="12"/>
      <c r="J5" s="12"/>
      <c r="K5" s="12"/>
      <c r="L5" s="12"/>
      <c r="M5" s="12"/>
      <c r="N5" s="12"/>
      <c r="O5" s="12"/>
      <c r="P5" s="12"/>
      <c r="Q5" s="12"/>
      <c r="R5" s="12"/>
      <c r="S5" s="12"/>
      <c r="T5" s="12"/>
      <c r="U5" s="12"/>
      <c r="V5" s="12"/>
      <c r="W5" s="49"/>
      <c r="X5" s="49"/>
      <c r="Y5" s="49"/>
      <c r="Z5" s="49"/>
    </row>
    <row r="6" spans="1:28" ht="13.5" customHeight="1">
      <c r="A6" s="116"/>
      <c r="B6" s="117"/>
      <c r="C6" s="117"/>
      <c r="D6" s="117"/>
      <c r="E6" s="117"/>
      <c r="F6" s="118"/>
      <c r="G6" s="118"/>
      <c r="H6" s="117"/>
      <c r="I6" s="117"/>
      <c r="J6" s="117"/>
      <c r="K6" s="117"/>
      <c r="L6" s="117"/>
      <c r="M6" s="117"/>
      <c r="N6" s="117"/>
      <c r="O6" s="117"/>
      <c r="P6" s="117"/>
      <c r="Q6" s="117"/>
      <c r="R6" s="117"/>
      <c r="S6" s="117"/>
      <c r="T6" s="117"/>
      <c r="U6" s="117"/>
      <c r="V6" s="117"/>
      <c r="W6" s="119"/>
      <c r="X6" s="119"/>
      <c r="Y6" s="119"/>
      <c r="Z6" s="119"/>
      <c r="AA6" s="119"/>
      <c r="AB6" s="120"/>
    </row>
    <row r="7" spans="1:28" ht="13.5" customHeight="1">
      <c r="A7" s="121"/>
      <c r="B7" s="122" t="s">
        <v>218</v>
      </c>
      <c r="C7" s="123" t="str">
        <f>' Calculation'!B11</f>
        <v>Dallas, TX</v>
      </c>
      <c r="D7" s="124"/>
      <c r="E7" s="125"/>
      <c r="F7" s="125"/>
      <c r="G7" s="124"/>
      <c r="H7" s="124"/>
      <c r="I7" s="124"/>
      <c r="J7" s="124"/>
      <c r="K7" s="124"/>
      <c r="L7" s="124"/>
      <c r="M7" s="124"/>
      <c r="N7" s="124"/>
      <c r="O7" s="124"/>
      <c r="P7" s="124"/>
      <c r="Q7" s="124"/>
      <c r="R7" s="124"/>
      <c r="S7" s="124"/>
      <c r="T7" s="124"/>
      <c r="U7" s="124"/>
      <c r="V7" s="124"/>
      <c r="W7" s="126"/>
      <c r="X7" s="126"/>
      <c r="Y7" s="126"/>
      <c r="Z7" s="126"/>
      <c r="AA7" s="126"/>
      <c r="AB7" s="120"/>
    </row>
    <row r="8" spans="1:28" ht="13.5" customHeight="1">
      <c r="A8" s="121"/>
      <c r="B8" s="122" t="s">
        <v>219</v>
      </c>
      <c r="C8" s="123" t="str">
        <f>' Calculation'!B12</f>
        <v>Bars, cocktail lounges</v>
      </c>
      <c r="D8" s="124"/>
      <c r="E8" s="125"/>
      <c r="F8" s="125"/>
      <c r="G8" s="124"/>
      <c r="H8" s="124"/>
      <c r="I8" s="124"/>
      <c r="J8" s="124"/>
      <c r="K8" s="124"/>
      <c r="L8" s="124"/>
      <c r="M8" s="124"/>
      <c r="N8" s="124"/>
      <c r="O8" s="124"/>
      <c r="P8" s="124"/>
      <c r="Q8" s="124"/>
      <c r="R8" s="124"/>
      <c r="S8" s="124"/>
      <c r="T8" s="124"/>
      <c r="U8" s="124"/>
      <c r="V8" s="124"/>
      <c r="W8" s="126"/>
      <c r="X8" s="126"/>
      <c r="Y8" s="126"/>
      <c r="Z8" s="126"/>
      <c r="AA8" s="126"/>
      <c r="AB8" s="120"/>
    </row>
    <row r="9" spans="1:28" ht="13.5" customHeight="1">
      <c r="A9" s="121"/>
      <c r="B9" s="122" t="s">
        <v>220</v>
      </c>
      <c r="C9" s="127">
        <f>' Calculation'!B13</f>
        <v>5500</v>
      </c>
      <c r="D9" s="124"/>
      <c r="E9" s="125"/>
      <c r="F9" s="125"/>
      <c r="G9" s="124"/>
      <c r="H9" s="124"/>
      <c r="I9" s="124"/>
      <c r="J9" s="124"/>
      <c r="K9" s="124"/>
      <c r="L9" s="124"/>
      <c r="M9" s="124"/>
      <c r="N9" s="124"/>
      <c r="O9" s="124"/>
      <c r="P9" s="124"/>
      <c r="Q9" s="124"/>
      <c r="R9" s="124"/>
      <c r="S9" s="124"/>
      <c r="T9" s="124"/>
      <c r="U9" s="124"/>
      <c r="V9" s="124"/>
      <c r="W9" s="126"/>
      <c r="X9" s="126"/>
      <c r="Y9" s="126"/>
      <c r="Z9" s="126"/>
      <c r="AA9" s="126"/>
      <c r="AB9" s="120"/>
    </row>
    <row r="10" spans="1:28" ht="13.5" customHeight="1">
      <c r="A10" s="121"/>
      <c r="B10" s="122" t="s">
        <v>89</v>
      </c>
      <c r="C10" s="127">
        <f>' Calculation'!B15</f>
        <v>28</v>
      </c>
      <c r="D10" s="124"/>
      <c r="E10" s="125"/>
      <c r="F10" s="125"/>
      <c r="G10" s="124"/>
      <c r="H10" s="124"/>
      <c r="I10" s="124"/>
      <c r="J10" s="124"/>
      <c r="K10" s="124"/>
      <c r="L10" s="124"/>
      <c r="M10" s="124"/>
      <c r="N10" s="124"/>
      <c r="O10" s="124"/>
      <c r="P10" s="124"/>
      <c r="Q10" s="124"/>
      <c r="R10" s="124"/>
      <c r="S10" s="124"/>
      <c r="T10" s="124"/>
      <c r="U10" s="124"/>
      <c r="V10" s="124"/>
      <c r="W10" s="126"/>
      <c r="X10" s="126"/>
      <c r="Y10" s="126"/>
      <c r="Z10" s="126"/>
      <c r="AA10" s="126"/>
      <c r="AB10" s="120"/>
    </row>
    <row r="11" spans="1:28" ht="13.5" customHeight="1">
      <c r="A11" s="121"/>
      <c r="B11" s="124"/>
      <c r="C11" s="124"/>
      <c r="D11" s="124"/>
      <c r="E11" s="124"/>
      <c r="F11" s="125"/>
      <c r="G11" s="125"/>
      <c r="H11" s="124"/>
      <c r="I11" s="124"/>
      <c r="J11" s="124"/>
      <c r="K11" s="124"/>
      <c r="L11" s="124"/>
      <c r="M11" s="124"/>
      <c r="N11" s="124"/>
      <c r="O11" s="124"/>
      <c r="P11" s="124"/>
      <c r="Q11" s="124"/>
      <c r="R11" s="124"/>
      <c r="S11" s="124"/>
      <c r="T11" s="124"/>
      <c r="U11" s="124"/>
      <c r="V11" s="124"/>
      <c r="W11" s="126"/>
      <c r="X11" s="126"/>
      <c r="Y11" s="126"/>
      <c r="Z11" s="126"/>
      <c r="AA11" s="126"/>
      <c r="AB11" s="120"/>
    </row>
    <row r="12" spans="1:28" ht="13.5" customHeight="1">
      <c r="A12" s="121"/>
      <c r="B12" s="128" t="s">
        <v>221</v>
      </c>
      <c r="C12" s="124"/>
      <c r="D12" s="124"/>
      <c r="E12" s="124"/>
      <c r="F12" s="125"/>
      <c r="G12" s="125"/>
      <c r="H12" s="124"/>
      <c r="I12" s="124"/>
      <c r="J12" s="124"/>
      <c r="K12" s="124"/>
      <c r="L12" s="124"/>
      <c r="M12" s="124"/>
      <c r="N12" s="124"/>
      <c r="O12" s="124"/>
      <c r="P12" s="124"/>
      <c r="Q12" s="124"/>
      <c r="R12" s="124"/>
      <c r="S12" s="124"/>
      <c r="T12" s="124"/>
      <c r="U12" s="124"/>
      <c r="V12" s="124"/>
      <c r="W12" s="126"/>
      <c r="X12" s="126"/>
      <c r="Y12" s="126"/>
      <c r="Z12" s="126"/>
      <c r="AA12" s="126"/>
      <c r="AB12" s="120"/>
    </row>
    <row r="13" spans="1:28" ht="13.5" customHeight="1">
      <c r="A13" s="121"/>
      <c r="B13" s="129" t="s">
        <v>222</v>
      </c>
      <c r="C13" s="130"/>
      <c r="D13" s="130"/>
      <c r="E13" s="130"/>
      <c r="F13" s="131"/>
      <c r="G13" s="131"/>
      <c r="H13" s="130"/>
      <c r="I13" s="124"/>
      <c r="J13" s="124"/>
      <c r="K13" s="124"/>
      <c r="L13" s="124"/>
      <c r="M13" s="124"/>
      <c r="N13" s="124"/>
      <c r="O13" s="124"/>
      <c r="P13" s="124"/>
      <c r="Q13" s="124"/>
      <c r="R13" s="124"/>
      <c r="S13" s="124"/>
      <c r="T13" s="124"/>
      <c r="U13" s="124"/>
      <c r="V13" s="124"/>
      <c r="W13" s="126"/>
      <c r="X13" s="126"/>
      <c r="Y13" s="126"/>
      <c r="Z13" s="126"/>
      <c r="AA13" s="126"/>
      <c r="AB13" s="120"/>
    </row>
    <row r="14" spans="1:28" ht="13.5" customHeight="1">
      <c r="A14" s="121"/>
      <c r="B14" s="132" t="s">
        <v>223</v>
      </c>
      <c r="C14" s="124"/>
      <c r="D14" s="124"/>
      <c r="E14" s="124"/>
      <c r="F14" s="125"/>
      <c r="G14" s="125"/>
      <c r="H14" s="124"/>
      <c r="I14" s="124"/>
      <c r="J14" s="124"/>
      <c r="K14" s="124"/>
      <c r="L14" s="124"/>
      <c r="M14" s="124"/>
      <c r="N14" s="124"/>
      <c r="O14" s="124"/>
      <c r="P14" s="124"/>
      <c r="Q14" s="124"/>
      <c r="R14" s="124"/>
      <c r="S14" s="124"/>
      <c r="T14" s="124"/>
      <c r="U14" s="124"/>
      <c r="V14" s="124"/>
      <c r="W14" s="126"/>
      <c r="X14" s="126"/>
      <c r="Y14" s="126"/>
      <c r="Z14" s="126"/>
      <c r="AA14" s="126"/>
      <c r="AB14" s="120"/>
    </row>
    <row r="15" spans="1:28" ht="13.5" customHeight="1">
      <c r="A15" s="121"/>
      <c r="B15" s="132" t="s">
        <v>224</v>
      </c>
      <c r="C15" s="124"/>
      <c r="D15" s="124"/>
      <c r="E15" s="124"/>
      <c r="F15" s="125"/>
      <c r="G15" s="125"/>
      <c r="H15" s="124"/>
      <c r="I15" s="124"/>
      <c r="J15" s="124"/>
      <c r="K15" s="124"/>
      <c r="L15" s="124"/>
      <c r="M15" s="124"/>
      <c r="N15" s="124"/>
      <c r="O15" s="124"/>
      <c r="P15" s="124"/>
      <c r="Q15" s="124"/>
      <c r="R15" s="124"/>
      <c r="S15" s="124"/>
      <c r="T15" s="124"/>
      <c r="U15" s="124"/>
      <c r="V15" s="124"/>
      <c r="W15" s="126"/>
      <c r="X15" s="126"/>
      <c r="Y15" s="126"/>
      <c r="Z15" s="126"/>
      <c r="AA15" s="126"/>
      <c r="AB15" s="120"/>
    </row>
    <row r="16" spans="1:28" ht="13.5" customHeight="1">
      <c r="A16" s="121"/>
      <c r="B16" s="132"/>
      <c r="C16" s="124"/>
      <c r="D16" s="124"/>
      <c r="E16" s="124"/>
      <c r="F16" s="125"/>
      <c r="G16" s="125"/>
      <c r="H16" s="124"/>
      <c r="I16" s="124"/>
      <c r="J16" s="124"/>
      <c r="K16" s="124"/>
      <c r="L16" s="124"/>
      <c r="M16" s="124"/>
      <c r="N16" s="124"/>
      <c r="O16" s="124"/>
      <c r="P16" s="124"/>
      <c r="Q16" s="124"/>
      <c r="R16" s="124"/>
      <c r="S16" s="124"/>
      <c r="T16" s="124"/>
      <c r="U16" s="124"/>
      <c r="V16" s="124"/>
      <c r="W16" s="126"/>
      <c r="X16" s="126"/>
      <c r="Y16" s="126"/>
      <c r="Z16" s="126"/>
      <c r="AA16" s="126"/>
      <c r="AB16" s="120"/>
    </row>
    <row r="17" spans="1:28" ht="13.5" customHeight="1">
      <c r="A17" s="121"/>
      <c r="B17" s="122"/>
      <c r="C17" s="124"/>
      <c r="D17" s="124"/>
      <c r="E17" s="124"/>
      <c r="F17" s="133"/>
      <c r="G17" s="125"/>
      <c r="H17" s="124"/>
      <c r="I17" s="124"/>
      <c r="J17" s="124"/>
      <c r="K17" s="124"/>
      <c r="L17" s="124"/>
      <c r="M17" s="124"/>
      <c r="N17" s="124"/>
      <c r="O17" s="124"/>
      <c r="P17" s="124"/>
      <c r="Q17" s="124"/>
      <c r="R17" s="124"/>
      <c r="S17" s="124"/>
      <c r="T17" s="124"/>
      <c r="U17" s="124"/>
      <c r="V17" s="124"/>
      <c r="W17" s="126"/>
      <c r="X17" s="126"/>
      <c r="Y17" s="126"/>
      <c r="Z17" s="126"/>
      <c r="AA17" s="126"/>
      <c r="AB17" s="120"/>
    </row>
    <row r="18" spans="1:28" ht="13.5" customHeight="1">
      <c r="A18" s="134"/>
      <c r="B18" s="135" t="s">
        <v>196</v>
      </c>
      <c r="C18" s="136" t="s">
        <v>225</v>
      </c>
      <c r="D18" s="137" t="s">
        <v>226</v>
      </c>
      <c r="E18" s="137" t="s">
        <v>227</v>
      </c>
      <c r="F18" s="138" t="str">
        <f>IF(' Calculation'!B39="Yes",' Calculation'!B40,"None")</f>
        <v>MERV 16</v>
      </c>
      <c r="G18" s="122"/>
      <c r="H18" s="122"/>
      <c r="I18" s="122"/>
      <c r="J18" s="122"/>
      <c r="K18" s="122"/>
      <c r="L18" s="122"/>
      <c r="M18" s="122"/>
      <c r="N18" s="122"/>
      <c r="O18" s="122"/>
      <c r="P18" s="122"/>
      <c r="Q18" s="122"/>
      <c r="R18" s="122"/>
      <c r="S18" s="122"/>
      <c r="T18" s="122"/>
      <c r="U18" s="122"/>
      <c r="V18" s="122"/>
      <c r="W18" s="139"/>
      <c r="X18" s="139"/>
      <c r="Y18" s="139"/>
      <c r="Z18" s="126"/>
      <c r="AA18" s="126"/>
      <c r="AB18" s="120"/>
    </row>
    <row r="19" spans="1:28" ht="13.5" customHeight="1">
      <c r="A19" s="121"/>
      <c r="B19" s="134" t="s">
        <v>228</v>
      </c>
      <c r="C19" s="140">
        <f t="shared" ref="C19:F19" si="0">D135</f>
        <v>6.6666666666666661</v>
      </c>
      <c r="D19" s="141">
        <f t="shared" si="0"/>
        <v>6.6666666666666661</v>
      </c>
      <c r="E19" s="141">
        <f t="shared" si="0"/>
        <v>6.6666666666666661</v>
      </c>
      <c r="F19" s="142">
        <f t="shared" si="0"/>
        <v>6.6666666666666661</v>
      </c>
      <c r="G19" s="125"/>
      <c r="H19" s="124"/>
      <c r="I19" s="124"/>
      <c r="J19" s="124"/>
      <c r="K19" s="124"/>
      <c r="L19" s="124"/>
      <c r="M19" s="124"/>
      <c r="N19" s="124"/>
      <c r="O19" s="124"/>
      <c r="P19" s="124"/>
      <c r="Q19" s="124"/>
      <c r="R19" s="124"/>
      <c r="S19" s="124"/>
      <c r="T19" s="124"/>
      <c r="U19" s="124"/>
      <c r="V19" s="124"/>
      <c r="W19" s="126"/>
      <c r="X19" s="126"/>
      <c r="Y19" s="126"/>
      <c r="Z19" s="126"/>
      <c r="AA19" s="126"/>
      <c r="AB19" s="120"/>
    </row>
    <row r="20" spans="1:28" ht="13.5" customHeight="1">
      <c r="A20" s="121"/>
      <c r="B20" s="134" t="s">
        <v>229</v>
      </c>
      <c r="C20" s="143">
        <f t="shared" ref="C20:F20" si="1">H135</f>
        <v>3.4863191919191916</v>
      </c>
      <c r="D20" s="144">
        <f t="shared" si="1"/>
        <v>5.0764929292929288</v>
      </c>
      <c r="E20" s="144">
        <f t="shared" si="1"/>
        <v>5.928371717171717</v>
      </c>
      <c r="F20" s="145">
        <f t="shared" si="1"/>
        <v>6.3827070707070703</v>
      </c>
      <c r="G20" s="146"/>
      <c r="H20" s="124"/>
      <c r="I20" s="124"/>
      <c r="J20" s="124"/>
      <c r="K20" s="124"/>
      <c r="L20" s="124"/>
      <c r="M20" s="124"/>
      <c r="N20" s="124"/>
      <c r="O20" s="124"/>
      <c r="P20" s="124"/>
      <c r="Q20" s="124"/>
      <c r="R20" s="124"/>
      <c r="S20" s="124"/>
      <c r="T20" s="124"/>
      <c r="U20" s="124"/>
      <c r="V20" s="124"/>
      <c r="W20" s="126"/>
      <c r="X20" s="126"/>
      <c r="Y20" s="126"/>
      <c r="Z20" s="126"/>
      <c r="AA20" s="126"/>
      <c r="AB20" s="120"/>
    </row>
    <row r="21" spans="1:28" ht="13.5" customHeight="1">
      <c r="A21" s="121"/>
      <c r="B21" s="134" t="s">
        <v>97</v>
      </c>
      <c r="C21" s="143">
        <f t="shared" ref="C21:F21" si="2">L135</f>
        <v>3.3587070707070708</v>
      </c>
      <c r="D21" s="144">
        <f t="shared" si="2"/>
        <v>5.0126868686868686</v>
      </c>
      <c r="E21" s="144">
        <f t="shared" si="2"/>
        <v>5.8987474747474753</v>
      </c>
      <c r="F21" s="145">
        <f t="shared" si="2"/>
        <v>6.3713131313131317</v>
      </c>
      <c r="G21" s="125"/>
      <c r="H21" s="124"/>
      <c r="I21" s="124"/>
      <c r="J21" s="124"/>
      <c r="K21" s="124"/>
      <c r="L21" s="124"/>
      <c r="M21" s="124"/>
      <c r="N21" s="124"/>
      <c r="O21" s="124"/>
      <c r="P21" s="124"/>
      <c r="Q21" s="124"/>
      <c r="R21" s="124"/>
      <c r="S21" s="124"/>
      <c r="T21" s="124"/>
      <c r="U21" s="124"/>
      <c r="V21" s="124"/>
      <c r="W21" s="126"/>
      <c r="X21" s="126"/>
      <c r="Y21" s="126"/>
      <c r="Z21" s="126"/>
      <c r="AA21" s="126"/>
      <c r="AB21" s="120"/>
    </row>
    <row r="22" spans="1:28" ht="13.5" customHeight="1">
      <c r="A22" s="121"/>
      <c r="B22" s="134" t="s">
        <v>230</v>
      </c>
      <c r="C22" s="143">
        <f t="shared" ref="C22:F22" si="3">P135</f>
        <v>3.12</v>
      </c>
      <c r="D22" s="144">
        <f t="shared" si="3"/>
        <v>4.8933333333333326</v>
      </c>
      <c r="E22" s="144">
        <f t="shared" si="3"/>
        <v>5.8433333333333328</v>
      </c>
      <c r="F22" s="145">
        <f t="shared" si="3"/>
        <v>6.3499999999999988</v>
      </c>
      <c r="G22" s="125"/>
      <c r="H22" s="124"/>
      <c r="I22" s="124"/>
      <c r="J22" s="124"/>
      <c r="K22" s="124"/>
      <c r="L22" s="124"/>
      <c r="M22" s="124"/>
      <c r="N22" s="124"/>
      <c r="O22" s="124"/>
      <c r="P22" s="124"/>
      <c r="Q22" s="124"/>
      <c r="R22" s="124"/>
      <c r="S22" s="124"/>
      <c r="T22" s="124"/>
      <c r="U22" s="124"/>
      <c r="V22" s="124"/>
      <c r="W22" s="126"/>
      <c r="X22" s="126"/>
      <c r="Y22" s="126"/>
      <c r="Z22" s="126"/>
      <c r="AA22" s="126"/>
      <c r="AB22" s="120"/>
    </row>
    <row r="23" spans="1:28" ht="13.5" customHeight="1">
      <c r="A23" s="121"/>
      <c r="B23" s="147" t="str">
        <f>' Calculation'!B18</f>
        <v>VRP</v>
      </c>
      <c r="C23" s="148">
        <f t="shared" ref="C23:E23" si="4">T135</f>
        <v>3.3587070707070708</v>
      </c>
      <c r="D23" s="149">
        <f t="shared" si="4"/>
        <v>5.0126868686868686</v>
      </c>
      <c r="E23" s="149">
        <f t="shared" si="4"/>
        <v>5.8987474747474753</v>
      </c>
      <c r="F23" s="150">
        <f>C135</f>
        <v>5.8545454545454545</v>
      </c>
      <c r="G23" s="125"/>
      <c r="H23" s="124"/>
      <c r="I23" s="124"/>
      <c r="J23" s="124"/>
      <c r="K23" s="124"/>
      <c r="L23" s="124"/>
      <c r="M23" s="124"/>
      <c r="N23" s="124"/>
      <c r="O23" s="124"/>
      <c r="P23" s="124"/>
      <c r="Q23" s="124"/>
      <c r="R23" s="124"/>
      <c r="S23" s="124"/>
      <c r="T23" s="124"/>
      <c r="U23" s="124"/>
      <c r="V23" s="124"/>
      <c r="W23" s="126"/>
      <c r="X23" s="126"/>
      <c r="Y23" s="126"/>
      <c r="Z23" s="126"/>
      <c r="AA23" s="126"/>
      <c r="AB23" s="120"/>
    </row>
    <row r="24" spans="1:28" ht="13.5" customHeight="1">
      <c r="A24" s="121"/>
      <c r="B24" s="124"/>
      <c r="C24" s="124"/>
      <c r="D24" s="124"/>
      <c r="E24" s="124"/>
      <c r="F24" s="125"/>
      <c r="G24" s="125"/>
      <c r="H24" s="124"/>
      <c r="I24" s="124"/>
      <c r="J24" s="124"/>
      <c r="K24" s="124"/>
      <c r="L24" s="124"/>
      <c r="M24" s="124"/>
      <c r="N24" s="124"/>
      <c r="O24" s="124"/>
      <c r="P24" s="124"/>
      <c r="Q24" s="124"/>
      <c r="R24" s="124"/>
      <c r="S24" s="124"/>
      <c r="T24" s="124"/>
      <c r="U24" s="124"/>
      <c r="V24" s="124"/>
      <c r="W24" s="126"/>
      <c r="X24" s="126"/>
      <c r="Y24" s="126"/>
      <c r="Z24" s="126"/>
      <c r="AA24" s="126"/>
      <c r="AB24" s="120"/>
    </row>
    <row r="25" spans="1:28" ht="13.5" customHeight="1">
      <c r="A25" s="121"/>
      <c r="B25" s="122"/>
      <c r="C25" s="124"/>
      <c r="D25" s="124"/>
      <c r="E25" s="124"/>
      <c r="F25" s="133"/>
      <c r="G25" s="125"/>
      <c r="H25" s="124"/>
      <c r="I25" s="124"/>
      <c r="J25" s="124"/>
      <c r="K25" s="124"/>
      <c r="L25" s="124"/>
      <c r="M25" s="124"/>
      <c r="N25" s="124"/>
      <c r="O25" s="124"/>
      <c r="P25" s="124"/>
      <c r="Q25" s="124"/>
      <c r="R25" s="124"/>
      <c r="S25" s="124"/>
      <c r="T25" s="124"/>
      <c r="U25" s="124"/>
      <c r="V25" s="124"/>
      <c r="W25" s="126"/>
      <c r="X25" s="126"/>
      <c r="Y25" s="126"/>
      <c r="Z25" s="126"/>
      <c r="AA25" s="126"/>
      <c r="AB25" s="120"/>
    </row>
    <row r="26" spans="1:28" ht="13.5" customHeight="1">
      <c r="A26" s="134"/>
      <c r="B26" s="151" t="s">
        <v>231</v>
      </c>
      <c r="C26" s="136" t="s">
        <v>225</v>
      </c>
      <c r="D26" s="137" t="s">
        <v>226</v>
      </c>
      <c r="E26" s="137" t="s">
        <v>227</v>
      </c>
      <c r="F26" s="138" t="str">
        <f>F18</f>
        <v>MERV 16</v>
      </c>
      <c r="G26" s="122"/>
      <c r="H26" s="122"/>
      <c r="I26" s="122"/>
      <c r="J26" s="122"/>
      <c r="K26" s="122"/>
      <c r="L26" s="122"/>
      <c r="M26" s="122"/>
      <c r="N26" s="122"/>
      <c r="O26" s="122"/>
      <c r="P26" s="122"/>
      <c r="Q26" s="122"/>
      <c r="R26" s="122"/>
      <c r="S26" s="122"/>
      <c r="T26" s="122"/>
      <c r="U26" s="122"/>
      <c r="V26" s="122"/>
      <c r="W26" s="139"/>
      <c r="X26" s="139"/>
      <c r="Y26" s="139"/>
      <c r="Z26" s="126"/>
      <c r="AA26" s="126"/>
      <c r="AB26" s="120"/>
    </row>
    <row r="27" spans="1:28" ht="13.5" customHeight="1">
      <c r="A27" s="121"/>
      <c r="B27" s="134" t="s">
        <v>228</v>
      </c>
      <c r="C27" s="152">
        <f t="shared" ref="C27:F27" si="5">D141</f>
        <v>9068.1982920532282</v>
      </c>
      <c r="D27" s="153">
        <f t="shared" si="5"/>
        <v>9068.1982920532282</v>
      </c>
      <c r="E27" s="153">
        <f t="shared" si="5"/>
        <v>9068.1982920532282</v>
      </c>
      <c r="F27" s="154">
        <f t="shared" si="5"/>
        <v>9068.1982920532282</v>
      </c>
      <c r="G27" s="125"/>
      <c r="H27" s="124"/>
      <c r="I27" s="124"/>
      <c r="J27" s="124"/>
      <c r="K27" s="124"/>
      <c r="L27" s="124"/>
      <c r="M27" s="124"/>
      <c r="N27" s="124"/>
      <c r="O27" s="124"/>
      <c r="P27" s="124"/>
      <c r="Q27" s="124"/>
      <c r="R27" s="124"/>
      <c r="S27" s="124"/>
      <c r="T27" s="124"/>
      <c r="U27" s="124"/>
      <c r="V27" s="124"/>
      <c r="W27" s="126"/>
      <c r="X27" s="126"/>
      <c r="Y27" s="126"/>
      <c r="Z27" s="126"/>
      <c r="AA27" s="126"/>
      <c r="AB27" s="120"/>
    </row>
    <row r="28" spans="1:28" ht="13.5" customHeight="1">
      <c r="A28" s="121"/>
      <c r="B28" s="134" t="s">
        <v>229</v>
      </c>
      <c r="C28" s="155">
        <f t="shared" ref="C28:F28" si="6">H141</f>
        <v>1874.3617346698743</v>
      </c>
      <c r="D28" s="156">
        <f t="shared" si="6"/>
        <v>1920.6236838308055</v>
      </c>
      <c r="E28" s="156">
        <f t="shared" si="6"/>
        <v>2045.2498787468985</v>
      </c>
      <c r="F28" s="157">
        <f t="shared" si="6"/>
        <v>2885.2967233833019</v>
      </c>
      <c r="G28" s="125"/>
      <c r="H28" s="124"/>
      <c r="I28" s="124"/>
      <c r="J28" s="124"/>
      <c r="K28" s="124"/>
      <c r="L28" s="124"/>
      <c r="M28" s="124"/>
      <c r="N28" s="124"/>
      <c r="O28" s="124"/>
      <c r="P28" s="124"/>
      <c r="Q28" s="124"/>
      <c r="R28" s="124"/>
      <c r="S28" s="124"/>
      <c r="T28" s="124"/>
      <c r="U28" s="124"/>
      <c r="V28" s="124"/>
      <c r="W28" s="126"/>
      <c r="X28" s="126"/>
      <c r="Y28" s="126"/>
      <c r="Z28" s="126"/>
      <c r="AA28" s="126"/>
      <c r="AB28" s="120"/>
    </row>
    <row r="29" spans="1:28" ht="13.5" customHeight="1">
      <c r="A29" s="121"/>
      <c r="B29" s="134" t="s">
        <v>97</v>
      </c>
      <c r="C29" s="155">
        <f t="shared" ref="C29:F29" si="7">L141</f>
        <v>1571.2624305745262</v>
      </c>
      <c r="D29" s="156">
        <f t="shared" si="7"/>
        <v>1619.3806503193193</v>
      </c>
      <c r="E29" s="156">
        <f t="shared" si="7"/>
        <v>1744.1924722937986</v>
      </c>
      <c r="F29" s="157">
        <f t="shared" si="7"/>
        <v>2585.0437008498757</v>
      </c>
      <c r="G29" s="125"/>
      <c r="H29" s="124"/>
      <c r="I29" s="124"/>
      <c r="J29" s="124"/>
      <c r="K29" s="124"/>
      <c r="L29" s="124"/>
      <c r="M29" s="124"/>
      <c r="N29" s="124"/>
      <c r="O29" s="124"/>
      <c r="P29" s="124"/>
      <c r="Q29" s="124"/>
      <c r="R29" s="124"/>
      <c r="S29" s="124"/>
      <c r="T29" s="124"/>
      <c r="U29" s="124"/>
      <c r="V29" s="124"/>
      <c r="W29" s="126"/>
      <c r="X29" s="126"/>
      <c r="Y29" s="126"/>
      <c r="Z29" s="126"/>
      <c r="AA29" s="126"/>
      <c r="AB29" s="120"/>
    </row>
    <row r="30" spans="1:28" ht="13.5" customHeight="1">
      <c r="A30" s="121"/>
      <c r="B30" s="134" t="s">
        <v>230</v>
      </c>
      <c r="C30" s="155">
        <f t="shared" ref="C30:F30" si="8">P141</f>
        <v>1040.2947606798596</v>
      </c>
      <c r="D30" s="156">
        <f t="shared" si="8"/>
        <v>1091.8852596196427</v>
      </c>
      <c r="E30" s="156">
        <f t="shared" si="8"/>
        <v>1229.0443095136211</v>
      </c>
      <c r="F30" s="157">
        <f t="shared" si="8"/>
        <v>2153.4001923875271</v>
      </c>
      <c r="G30" s="125"/>
      <c r="H30" s="124"/>
      <c r="I30" s="124"/>
      <c r="J30" s="124"/>
      <c r="K30" s="124"/>
      <c r="L30" s="124"/>
      <c r="M30" s="124"/>
      <c r="N30" s="124"/>
      <c r="O30" s="124"/>
      <c r="P30" s="124"/>
      <c r="Q30" s="124"/>
      <c r="R30" s="124"/>
      <c r="S30" s="124"/>
      <c r="T30" s="124"/>
      <c r="U30" s="124"/>
      <c r="V30" s="124"/>
      <c r="W30" s="126"/>
      <c r="X30" s="126"/>
      <c r="Y30" s="126"/>
      <c r="Z30" s="126"/>
      <c r="AA30" s="126"/>
      <c r="AB30" s="120"/>
    </row>
    <row r="31" spans="1:28" ht="13.5" customHeight="1">
      <c r="A31" s="121"/>
      <c r="B31" s="147" t="str">
        <f>B23</f>
        <v>VRP</v>
      </c>
      <c r="C31" s="158">
        <f t="shared" ref="C31:E31" si="9">T141</f>
        <v>1571.2624305745262</v>
      </c>
      <c r="D31" s="159">
        <f t="shared" si="9"/>
        <v>1619.3806503193193</v>
      </c>
      <c r="E31" s="159">
        <f t="shared" si="9"/>
        <v>1744.1924722937986</v>
      </c>
      <c r="F31" s="160">
        <f>C141</f>
        <v>3723.7087748113781</v>
      </c>
      <c r="G31" s="125"/>
      <c r="H31" s="124"/>
      <c r="I31" s="124"/>
      <c r="J31" s="124"/>
      <c r="K31" s="124"/>
      <c r="L31" s="124"/>
      <c r="M31" s="124"/>
      <c r="N31" s="124"/>
      <c r="O31" s="124"/>
      <c r="P31" s="124"/>
      <c r="Q31" s="124"/>
      <c r="R31" s="124"/>
      <c r="S31" s="124"/>
      <c r="T31" s="124"/>
      <c r="U31" s="124"/>
      <c r="V31" s="124"/>
      <c r="W31" s="126"/>
      <c r="X31" s="126"/>
      <c r="Y31" s="126"/>
      <c r="Z31" s="126"/>
      <c r="AA31" s="126"/>
      <c r="AB31" s="120"/>
    </row>
    <row r="32" spans="1:28" ht="13.5" customHeight="1">
      <c r="A32" s="121"/>
      <c r="B32" s="124"/>
      <c r="C32" s="161"/>
      <c r="D32" s="161"/>
      <c r="E32" s="161"/>
      <c r="F32" s="162"/>
      <c r="G32" s="125"/>
      <c r="H32" s="124"/>
      <c r="I32" s="124"/>
      <c r="J32" s="124"/>
      <c r="K32" s="124"/>
      <c r="L32" s="124"/>
      <c r="M32" s="124"/>
      <c r="N32" s="124"/>
      <c r="O32" s="124"/>
      <c r="P32" s="124"/>
      <c r="Q32" s="124"/>
      <c r="R32" s="124"/>
      <c r="S32" s="124"/>
      <c r="T32" s="124"/>
      <c r="U32" s="124"/>
      <c r="V32" s="124"/>
      <c r="W32" s="126"/>
      <c r="X32" s="126"/>
      <c r="Y32" s="126"/>
      <c r="Z32" s="126"/>
      <c r="AA32" s="126"/>
      <c r="AB32" s="120"/>
    </row>
    <row r="33" spans="1:28" ht="13.5" customHeight="1">
      <c r="A33" s="134"/>
      <c r="B33" s="122"/>
      <c r="C33" s="161"/>
      <c r="D33" s="161"/>
      <c r="E33" s="161"/>
      <c r="F33" s="163"/>
      <c r="G33" s="122"/>
      <c r="H33" s="122"/>
      <c r="I33" s="122"/>
      <c r="J33" s="122"/>
      <c r="K33" s="122"/>
      <c r="L33" s="122"/>
      <c r="M33" s="122"/>
      <c r="N33" s="122"/>
      <c r="O33" s="122"/>
      <c r="P33" s="122"/>
      <c r="Q33" s="122"/>
      <c r="R33" s="122"/>
      <c r="S33" s="122"/>
      <c r="T33" s="122"/>
      <c r="U33" s="122"/>
      <c r="V33" s="122"/>
      <c r="W33" s="139"/>
      <c r="X33" s="139"/>
      <c r="Y33" s="139"/>
      <c r="Z33" s="126"/>
      <c r="AA33" s="126"/>
      <c r="AB33" s="120"/>
    </row>
    <row r="34" spans="1:28" ht="13.5" customHeight="1">
      <c r="A34" s="121"/>
      <c r="B34" s="135" t="s">
        <v>232</v>
      </c>
      <c r="C34" s="164" t="s">
        <v>225</v>
      </c>
      <c r="D34" s="164" t="s">
        <v>226</v>
      </c>
      <c r="E34" s="164" t="s">
        <v>227</v>
      </c>
      <c r="F34" s="165" t="str">
        <f>F26</f>
        <v>MERV 16</v>
      </c>
      <c r="G34" s="125"/>
      <c r="H34" s="124"/>
      <c r="I34" s="124"/>
      <c r="J34" s="124"/>
      <c r="K34" s="124"/>
      <c r="L34" s="124"/>
      <c r="M34" s="124"/>
      <c r="N34" s="124"/>
      <c r="O34" s="124"/>
      <c r="P34" s="124"/>
      <c r="Q34" s="124"/>
      <c r="R34" s="124"/>
      <c r="S34" s="124"/>
      <c r="T34" s="124"/>
      <c r="U34" s="124"/>
      <c r="V34" s="124"/>
      <c r="W34" s="126"/>
      <c r="X34" s="126"/>
      <c r="Y34" s="126"/>
      <c r="Z34" s="126"/>
      <c r="AA34" s="126"/>
      <c r="AB34" s="120"/>
    </row>
    <row r="35" spans="1:28" ht="13.5" customHeight="1">
      <c r="A35" s="121"/>
      <c r="B35" s="134" t="s">
        <v>228</v>
      </c>
      <c r="C35" s="152">
        <f t="shared" ref="C35:F35" si="10">D138</f>
        <v>9068.1982920532282</v>
      </c>
      <c r="D35" s="153">
        <f t="shared" si="10"/>
        <v>9068.1982920532282</v>
      </c>
      <c r="E35" s="153">
        <f t="shared" si="10"/>
        <v>9068.1982920532282</v>
      </c>
      <c r="F35" s="154">
        <f t="shared" si="10"/>
        <v>9068.1982920532282</v>
      </c>
      <c r="G35" s="125"/>
      <c r="H35" s="124"/>
      <c r="I35" s="124"/>
      <c r="J35" s="124"/>
      <c r="K35" s="124"/>
      <c r="L35" s="124"/>
      <c r="M35" s="124"/>
      <c r="N35" s="124"/>
      <c r="O35" s="124"/>
      <c r="P35" s="124"/>
      <c r="Q35" s="124"/>
      <c r="R35" s="124"/>
      <c r="S35" s="124"/>
      <c r="T35" s="124"/>
      <c r="U35" s="124"/>
      <c r="V35" s="124"/>
      <c r="W35" s="126"/>
      <c r="X35" s="126"/>
      <c r="Y35" s="126"/>
      <c r="Z35" s="126"/>
      <c r="AA35" s="126"/>
      <c r="AB35" s="120"/>
    </row>
    <row r="36" spans="1:28" ht="13.5" customHeight="1">
      <c r="A36" s="121"/>
      <c r="B36" s="134" t="s">
        <v>229</v>
      </c>
      <c r="C36" s="155">
        <f t="shared" ref="C36:F36" si="11">H138</f>
        <v>1343.1925227744296</v>
      </c>
      <c r="D36" s="156">
        <f t="shared" si="11"/>
        <v>1343.1925227744296</v>
      </c>
      <c r="E36" s="156">
        <f t="shared" si="11"/>
        <v>1343.1925227744296</v>
      </c>
      <c r="F36" s="157">
        <f t="shared" si="11"/>
        <v>1343.1925227744296</v>
      </c>
      <c r="G36" s="125"/>
      <c r="H36" s="124"/>
      <c r="I36" s="124"/>
      <c r="J36" s="124"/>
      <c r="K36" s="124"/>
      <c r="L36" s="124"/>
      <c r="M36" s="124"/>
      <c r="N36" s="124"/>
      <c r="O36" s="124"/>
      <c r="P36" s="124"/>
      <c r="Q36" s="124"/>
      <c r="R36" s="124"/>
      <c r="S36" s="124"/>
      <c r="T36" s="124"/>
      <c r="U36" s="124"/>
      <c r="V36" s="124"/>
      <c r="W36" s="126"/>
      <c r="X36" s="126"/>
      <c r="Y36" s="126"/>
      <c r="Z36" s="126"/>
      <c r="AA36" s="126"/>
      <c r="AB36" s="120"/>
    </row>
    <row r="37" spans="1:28" ht="13.5" customHeight="1">
      <c r="A37" s="121"/>
      <c r="B37" s="134" t="s">
        <v>97</v>
      </c>
      <c r="C37" s="155">
        <f t="shared" ref="C37:F37" si="12">L138</f>
        <v>1033.2250175187919</v>
      </c>
      <c r="D37" s="156">
        <f t="shared" si="12"/>
        <v>1033.2250175187919</v>
      </c>
      <c r="E37" s="156">
        <f t="shared" si="12"/>
        <v>1033.2250175187919</v>
      </c>
      <c r="F37" s="157">
        <f t="shared" si="12"/>
        <v>1033.2250175187919</v>
      </c>
      <c r="G37" s="125"/>
      <c r="H37" s="124"/>
      <c r="I37" s="124"/>
      <c r="J37" s="124"/>
      <c r="K37" s="124"/>
      <c r="L37" s="124"/>
      <c r="M37" s="124"/>
      <c r="N37" s="124"/>
      <c r="O37" s="124"/>
      <c r="P37" s="124"/>
      <c r="Q37" s="124"/>
      <c r="R37" s="124"/>
      <c r="S37" s="124"/>
      <c r="T37" s="124"/>
      <c r="U37" s="124"/>
      <c r="V37" s="124"/>
      <c r="W37" s="126"/>
      <c r="X37" s="126"/>
      <c r="Y37" s="126"/>
      <c r="Z37" s="126"/>
      <c r="AA37" s="126"/>
      <c r="AB37" s="120"/>
    </row>
    <row r="38" spans="1:28" ht="13.5" customHeight="1">
      <c r="A38" s="121"/>
      <c r="B38" s="134" t="s">
        <v>230</v>
      </c>
      <c r="C38" s="155">
        <f t="shared" ref="C38:F38" si="13">P138</f>
        <v>453.40991460266144</v>
      </c>
      <c r="D38" s="156">
        <f t="shared" si="13"/>
        <v>453.40991460266144</v>
      </c>
      <c r="E38" s="156">
        <f t="shared" si="13"/>
        <v>453.40991460266144</v>
      </c>
      <c r="F38" s="157">
        <f t="shared" si="13"/>
        <v>453.40991460266144</v>
      </c>
      <c r="G38" s="125"/>
      <c r="H38" s="124"/>
      <c r="I38" s="124"/>
      <c r="J38" s="124"/>
      <c r="K38" s="124"/>
      <c r="L38" s="124"/>
      <c r="M38" s="124"/>
      <c r="N38" s="124"/>
      <c r="O38" s="124"/>
      <c r="P38" s="124"/>
      <c r="Q38" s="124"/>
      <c r="R38" s="124"/>
      <c r="S38" s="124"/>
      <c r="T38" s="124"/>
      <c r="U38" s="124"/>
      <c r="V38" s="124"/>
      <c r="W38" s="126"/>
      <c r="X38" s="126"/>
      <c r="Y38" s="126"/>
      <c r="Z38" s="126"/>
      <c r="AA38" s="126"/>
      <c r="AB38" s="120"/>
    </row>
    <row r="39" spans="1:28" ht="13.5" customHeight="1">
      <c r="A39" s="121"/>
      <c r="B39" s="147" t="str">
        <f>B31</f>
        <v>VRP</v>
      </c>
      <c r="C39" s="158">
        <f t="shared" ref="C39:E39" si="14">T138</f>
        <v>1033.2250175187919</v>
      </c>
      <c r="D39" s="159">
        <f t="shared" si="14"/>
        <v>1033.2250175187919</v>
      </c>
      <c r="E39" s="159">
        <f t="shared" si="14"/>
        <v>1033.2250175187919</v>
      </c>
      <c r="F39" s="160">
        <f>C138</f>
        <v>2638.0213213245756</v>
      </c>
      <c r="G39" s="125"/>
      <c r="H39" s="124"/>
      <c r="I39" s="124"/>
      <c r="J39" s="124"/>
      <c r="K39" s="124"/>
      <c r="L39" s="124"/>
      <c r="M39" s="124"/>
      <c r="N39" s="124"/>
      <c r="O39" s="124"/>
      <c r="P39" s="124"/>
      <c r="Q39" s="124"/>
      <c r="R39" s="124"/>
      <c r="S39" s="124"/>
      <c r="T39" s="124"/>
      <c r="U39" s="124"/>
      <c r="V39" s="124"/>
      <c r="W39" s="126"/>
      <c r="X39" s="126"/>
      <c r="Y39" s="126"/>
      <c r="Z39" s="126"/>
      <c r="AA39" s="126"/>
      <c r="AB39" s="120"/>
    </row>
    <row r="40" spans="1:28" ht="13.5" customHeight="1">
      <c r="A40" s="121"/>
      <c r="B40" s="124"/>
      <c r="C40" s="161"/>
      <c r="D40" s="161"/>
      <c r="E40" s="161"/>
      <c r="F40" s="162"/>
      <c r="G40" s="125"/>
      <c r="H40" s="124"/>
      <c r="I40" s="124"/>
      <c r="J40" s="124"/>
      <c r="K40" s="124"/>
      <c r="L40" s="124"/>
      <c r="M40" s="124"/>
      <c r="N40" s="124"/>
      <c r="O40" s="124"/>
      <c r="P40" s="124"/>
      <c r="Q40" s="124"/>
      <c r="R40" s="124"/>
      <c r="S40" s="124"/>
      <c r="T40" s="124"/>
      <c r="U40" s="124"/>
      <c r="V40" s="124"/>
      <c r="W40" s="126"/>
      <c r="X40" s="126"/>
      <c r="Y40" s="126"/>
      <c r="Z40" s="126"/>
      <c r="AA40" s="126"/>
      <c r="AB40" s="120"/>
    </row>
    <row r="41" spans="1:28" ht="13.5" customHeight="1">
      <c r="A41" s="134"/>
      <c r="B41" s="122"/>
      <c r="C41" s="161"/>
      <c r="D41" s="161"/>
      <c r="E41" s="161"/>
      <c r="F41" s="163"/>
      <c r="G41" s="122"/>
      <c r="H41" s="122"/>
      <c r="I41" s="122"/>
      <c r="J41" s="122"/>
      <c r="K41" s="122"/>
      <c r="L41" s="122"/>
      <c r="M41" s="122"/>
      <c r="N41" s="122"/>
      <c r="O41" s="122"/>
      <c r="P41" s="122"/>
      <c r="Q41" s="122"/>
      <c r="R41" s="122"/>
      <c r="S41" s="122"/>
      <c r="T41" s="122"/>
      <c r="U41" s="122"/>
      <c r="V41" s="122"/>
      <c r="W41" s="139"/>
      <c r="X41" s="139"/>
      <c r="Y41" s="139"/>
      <c r="Z41" s="139"/>
      <c r="AA41" s="139"/>
      <c r="AB41" s="166"/>
    </row>
    <row r="42" spans="1:28" ht="13.5" customHeight="1">
      <c r="A42" s="121"/>
      <c r="B42" s="151" t="s">
        <v>233</v>
      </c>
      <c r="C42" s="164" t="s">
        <v>225</v>
      </c>
      <c r="D42" s="164" t="s">
        <v>226</v>
      </c>
      <c r="E42" s="164" t="s">
        <v>227</v>
      </c>
      <c r="F42" s="165" t="str">
        <f>F34</f>
        <v>MERV 16</v>
      </c>
      <c r="G42" s="125"/>
      <c r="H42" s="124"/>
      <c r="I42" s="124"/>
      <c r="J42" s="124"/>
      <c r="K42" s="124"/>
      <c r="L42" s="124"/>
      <c r="M42" s="124"/>
      <c r="N42" s="124"/>
      <c r="O42" s="124"/>
      <c r="P42" s="124"/>
      <c r="Q42" s="124"/>
      <c r="R42" s="124"/>
      <c r="S42" s="124"/>
      <c r="T42" s="124"/>
      <c r="U42" s="124"/>
      <c r="V42" s="124"/>
      <c r="W42" s="126"/>
      <c r="X42" s="126"/>
      <c r="Y42" s="126"/>
      <c r="Z42" s="126"/>
      <c r="AA42" s="126"/>
      <c r="AB42" s="120"/>
    </row>
    <row r="43" spans="1:28" ht="13.5" customHeight="1">
      <c r="A43" s="121"/>
      <c r="B43" s="134" t="s">
        <v>228</v>
      </c>
      <c r="C43" s="152">
        <f t="shared" ref="C43:F43" si="15">D139</f>
        <v>0</v>
      </c>
      <c r="D43" s="153">
        <f t="shared" si="15"/>
        <v>0</v>
      </c>
      <c r="E43" s="153">
        <f t="shared" si="15"/>
        <v>0</v>
      </c>
      <c r="F43" s="154">
        <f t="shared" si="15"/>
        <v>0</v>
      </c>
      <c r="G43" s="125"/>
      <c r="H43" s="124"/>
      <c r="I43" s="124"/>
      <c r="J43" s="124"/>
      <c r="K43" s="124"/>
      <c r="L43" s="124"/>
      <c r="M43" s="124"/>
      <c r="N43" s="124"/>
      <c r="O43" s="124"/>
      <c r="P43" s="124"/>
      <c r="Q43" s="124"/>
      <c r="R43" s="124"/>
      <c r="S43" s="124"/>
      <c r="T43" s="124"/>
      <c r="U43" s="124"/>
      <c r="V43" s="124"/>
      <c r="W43" s="126"/>
      <c r="X43" s="126"/>
      <c r="Y43" s="126"/>
      <c r="Z43" s="126"/>
      <c r="AA43" s="126"/>
      <c r="AB43" s="120"/>
    </row>
    <row r="44" spans="1:28" ht="13.5" customHeight="1">
      <c r="A44" s="121"/>
      <c r="B44" s="134" t="s">
        <v>229</v>
      </c>
      <c r="C44" s="155">
        <f t="shared" ref="C44:F44" si="16">H139</f>
        <v>531.16921189544473</v>
      </c>
      <c r="D44" s="156">
        <f t="shared" si="16"/>
        <v>577.4311610563758</v>
      </c>
      <c r="E44" s="156">
        <f t="shared" si="16"/>
        <v>702.05735597246883</v>
      </c>
      <c r="F44" s="157">
        <f t="shared" si="16"/>
        <v>1542.1042006088724</v>
      </c>
      <c r="G44" s="125"/>
      <c r="H44" s="124"/>
      <c r="I44" s="124"/>
      <c r="J44" s="124"/>
      <c r="K44" s="124"/>
      <c r="L44" s="124"/>
      <c r="M44" s="124"/>
      <c r="N44" s="124"/>
      <c r="O44" s="124"/>
      <c r="P44" s="124"/>
      <c r="Q44" s="124"/>
      <c r="R44" s="124"/>
      <c r="S44" s="124"/>
      <c r="T44" s="124"/>
      <c r="U44" s="124"/>
      <c r="V44" s="124"/>
      <c r="W44" s="126"/>
      <c r="X44" s="126"/>
      <c r="Y44" s="126"/>
      <c r="Z44" s="126"/>
      <c r="AA44" s="126"/>
      <c r="AB44" s="120"/>
    </row>
    <row r="45" spans="1:28" ht="13.5" customHeight="1">
      <c r="A45" s="121"/>
      <c r="B45" s="134" t="s">
        <v>97</v>
      </c>
      <c r="C45" s="155">
        <f t="shared" ref="C45:F45" si="17">L139</f>
        <v>538.03741305573431</v>
      </c>
      <c r="D45" s="156">
        <f t="shared" si="17"/>
        <v>586.15563280052743</v>
      </c>
      <c r="E45" s="156">
        <f t="shared" si="17"/>
        <v>710.96745477500667</v>
      </c>
      <c r="F45" s="157">
        <f t="shared" si="17"/>
        <v>1551.8186833310838</v>
      </c>
      <c r="G45" s="125"/>
      <c r="H45" s="124"/>
      <c r="I45" s="124"/>
      <c r="J45" s="124"/>
      <c r="K45" s="124"/>
      <c r="L45" s="124"/>
      <c r="M45" s="124"/>
      <c r="N45" s="124"/>
      <c r="O45" s="124"/>
      <c r="P45" s="124"/>
      <c r="Q45" s="124"/>
      <c r="R45" s="124"/>
      <c r="S45" s="124"/>
      <c r="T45" s="124"/>
      <c r="U45" s="124"/>
      <c r="V45" s="124"/>
      <c r="W45" s="126"/>
      <c r="X45" s="126"/>
      <c r="Y45" s="126"/>
      <c r="Z45" s="126"/>
      <c r="AA45" s="126"/>
      <c r="AB45" s="120"/>
    </row>
    <row r="46" spans="1:28" ht="13.5" customHeight="1">
      <c r="A46" s="121"/>
      <c r="B46" s="134" t="s">
        <v>230</v>
      </c>
      <c r="C46" s="155">
        <f t="shared" ref="C46:F46" si="18">P139</f>
        <v>586.88484607719806</v>
      </c>
      <c r="D46" s="156">
        <f t="shared" si="18"/>
        <v>638.47534501698135</v>
      </c>
      <c r="E46" s="156">
        <f t="shared" si="18"/>
        <v>775.6343949109596</v>
      </c>
      <c r="F46" s="157">
        <f t="shared" si="18"/>
        <v>1699.9902777848656</v>
      </c>
      <c r="G46" s="125"/>
      <c r="H46" s="124"/>
      <c r="I46" s="124"/>
      <c r="J46" s="124"/>
      <c r="K46" s="124"/>
      <c r="L46" s="124"/>
      <c r="M46" s="124"/>
      <c r="N46" s="124"/>
      <c r="O46" s="124"/>
      <c r="P46" s="124"/>
      <c r="Q46" s="124"/>
      <c r="R46" s="124"/>
      <c r="S46" s="124"/>
      <c r="T46" s="124"/>
      <c r="U46" s="124"/>
      <c r="V46" s="124"/>
      <c r="W46" s="126"/>
      <c r="X46" s="126"/>
      <c r="Y46" s="126"/>
      <c r="Z46" s="126"/>
      <c r="AA46" s="126"/>
      <c r="AB46" s="120"/>
    </row>
    <row r="47" spans="1:28" ht="13.5" customHeight="1">
      <c r="A47" s="121"/>
      <c r="B47" s="147" t="str">
        <f>' Calculation'!B18</f>
        <v>VRP</v>
      </c>
      <c r="C47" s="158">
        <f t="shared" ref="C47:E47" si="19">T139</f>
        <v>538.03741305573431</v>
      </c>
      <c r="D47" s="159">
        <f t="shared" si="19"/>
        <v>586.15563280052743</v>
      </c>
      <c r="E47" s="159">
        <f t="shared" si="19"/>
        <v>710.96745477500667</v>
      </c>
      <c r="F47" s="160">
        <f>' Calculation'!B90</f>
        <v>1085.6874534868027</v>
      </c>
      <c r="G47" s="125"/>
      <c r="H47" s="124"/>
      <c r="I47" s="124"/>
      <c r="J47" s="124"/>
      <c r="K47" s="124"/>
      <c r="L47" s="124"/>
      <c r="M47" s="124"/>
      <c r="N47" s="124"/>
      <c r="O47" s="124"/>
      <c r="P47" s="124"/>
      <c r="Q47" s="124"/>
      <c r="R47" s="124"/>
      <c r="S47" s="124"/>
      <c r="T47" s="124"/>
      <c r="U47" s="124"/>
      <c r="V47" s="124"/>
      <c r="W47" s="126"/>
      <c r="X47" s="126"/>
      <c r="Y47" s="126"/>
      <c r="Z47" s="126"/>
      <c r="AA47" s="126"/>
      <c r="AB47" s="120"/>
    </row>
    <row r="48" spans="1:28" ht="13.5" customHeight="1">
      <c r="A48" s="124"/>
      <c r="B48" s="124"/>
      <c r="C48" s="124"/>
      <c r="D48" s="124"/>
      <c r="E48" s="124"/>
      <c r="F48" s="125"/>
      <c r="G48" s="124"/>
      <c r="H48" s="124"/>
      <c r="I48" s="124"/>
      <c r="J48" s="124"/>
      <c r="K48" s="124"/>
      <c r="L48" s="124"/>
      <c r="M48" s="124"/>
      <c r="N48" s="124"/>
      <c r="O48" s="124"/>
      <c r="P48" s="124"/>
      <c r="Q48" s="124"/>
      <c r="R48" s="124"/>
      <c r="S48" s="124"/>
      <c r="T48" s="124"/>
      <c r="U48" s="124"/>
      <c r="V48" s="124"/>
      <c r="W48" s="126"/>
      <c r="X48" s="126"/>
      <c r="Y48" s="126"/>
      <c r="Z48" s="126"/>
      <c r="AA48" s="126"/>
      <c r="AB48" s="120"/>
    </row>
    <row r="49" spans="1:28" ht="13.5" customHeight="1">
      <c r="A49" s="124"/>
      <c r="B49" s="124"/>
      <c r="C49" s="124"/>
      <c r="D49" s="124"/>
      <c r="E49" s="124"/>
      <c r="F49" s="125"/>
      <c r="G49" s="124"/>
      <c r="H49" s="124"/>
      <c r="I49" s="122"/>
      <c r="J49" s="122"/>
      <c r="K49" s="122"/>
      <c r="L49" s="122"/>
      <c r="M49" s="122"/>
      <c r="N49" s="122"/>
      <c r="O49" s="122"/>
      <c r="P49" s="122"/>
      <c r="Q49" s="122"/>
      <c r="R49" s="122"/>
      <c r="S49" s="122"/>
      <c r="T49" s="122"/>
      <c r="U49" s="122"/>
      <c r="V49" s="122"/>
      <c r="W49" s="139"/>
      <c r="X49" s="139"/>
      <c r="Y49" s="139"/>
      <c r="Z49" s="139"/>
      <c r="AA49" s="139"/>
      <c r="AB49" s="166"/>
    </row>
    <row r="50" spans="1:28" ht="13.5" customHeight="1">
      <c r="A50" s="124"/>
      <c r="B50" s="167" t="s">
        <v>234</v>
      </c>
      <c r="C50" s="298">
        <f>C140</f>
        <v>0</v>
      </c>
      <c r="D50" s="299"/>
      <c r="E50" s="299"/>
      <c r="F50" s="300"/>
      <c r="G50" s="124"/>
      <c r="H50" s="124"/>
      <c r="I50" s="124"/>
      <c r="J50" s="124"/>
      <c r="K50" s="124"/>
      <c r="L50" s="124"/>
      <c r="M50" s="124"/>
      <c r="N50" s="124"/>
      <c r="O50" s="124"/>
      <c r="P50" s="124"/>
      <c r="Q50" s="124"/>
      <c r="R50" s="124"/>
      <c r="S50" s="124"/>
      <c r="T50" s="124"/>
      <c r="U50" s="124"/>
      <c r="V50" s="124"/>
      <c r="W50" s="126"/>
      <c r="X50" s="126"/>
      <c r="Y50" s="126"/>
      <c r="Z50" s="126"/>
      <c r="AA50" s="126"/>
      <c r="AB50" s="120"/>
    </row>
    <row r="51" spans="1:28" ht="13.5" customHeight="1">
      <c r="A51" s="124"/>
      <c r="B51" s="124"/>
      <c r="C51" s="124"/>
      <c r="D51" s="124"/>
      <c r="E51" s="124"/>
      <c r="F51" s="125"/>
      <c r="G51" s="124"/>
      <c r="H51" s="124"/>
      <c r="I51" s="124"/>
      <c r="J51" s="124"/>
      <c r="K51" s="124"/>
      <c r="L51" s="124"/>
      <c r="M51" s="124"/>
      <c r="N51" s="124"/>
      <c r="O51" s="124"/>
      <c r="P51" s="124"/>
      <c r="Q51" s="124"/>
      <c r="R51" s="124"/>
      <c r="S51" s="124"/>
      <c r="T51" s="124"/>
      <c r="U51" s="124"/>
      <c r="V51" s="124"/>
      <c r="W51" s="126"/>
      <c r="X51" s="126"/>
      <c r="Y51" s="126"/>
      <c r="Z51" s="126"/>
      <c r="AA51" s="126"/>
      <c r="AB51" s="120"/>
    </row>
    <row r="52" spans="1:28" ht="13.5" customHeight="1">
      <c r="A52" s="124"/>
      <c r="B52" s="124"/>
      <c r="C52" s="124"/>
      <c r="D52" s="124"/>
      <c r="E52" s="124"/>
      <c r="F52" s="125"/>
      <c r="G52" s="124"/>
      <c r="H52" s="124"/>
      <c r="I52" s="124"/>
      <c r="J52" s="124"/>
      <c r="K52" s="124"/>
      <c r="L52" s="124"/>
      <c r="M52" s="124"/>
      <c r="N52" s="124"/>
      <c r="O52" s="124"/>
      <c r="P52" s="124"/>
      <c r="Q52" s="124"/>
      <c r="R52" s="124"/>
      <c r="S52" s="124"/>
      <c r="T52" s="124"/>
      <c r="U52" s="124"/>
      <c r="V52" s="124"/>
      <c r="W52" s="126"/>
      <c r="X52" s="126"/>
      <c r="Y52" s="126"/>
      <c r="Z52" s="126"/>
      <c r="AA52" s="126"/>
      <c r="AB52" s="120"/>
    </row>
    <row r="53" spans="1:28" ht="13.5" customHeight="1">
      <c r="A53" s="124"/>
      <c r="B53" s="124"/>
      <c r="C53" s="124"/>
      <c r="D53" s="124"/>
      <c r="E53" s="124"/>
      <c r="F53" s="125"/>
      <c r="G53" s="124"/>
      <c r="H53" s="124"/>
      <c r="I53" s="124"/>
      <c r="J53" s="124"/>
      <c r="K53" s="124"/>
      <c r="L53" s="124"/>
      <c r="M53" s="124"/>
      <c r="N53" s="124"/>
      <c r="O53" s="124"/>
      <c r="P53" s="124"/>
      <c r="Q53" s="124"/>
      <c r="R53" s="124"/>
      <c r="S53" s="124"/>
      <c r="T53" s="124"/>
      <c r="U53" s="124"/>
      <c r="V53" s="124"/>
      <c r="W53" s="126"/>
      <c r="X53" s="126"/>
      <c r="Y53" s="126"/>
      <c r="Z53" s="126"/>
      <c r="AA53" s="126"/>
      <c r="AB53" s="120"/>
    </row>
    <row r="54" spans="1:28" ht="13.5" customHeight="1">
      <c r="A54" s="124"/>
      <c r="B54" s="124"/>
      <c r="C54" s="124"/>
      <c r="D54" s="124"/>
      <c r="E54" s="124"/>
      <c r="F54" s="125"/>
      <c r="G54" s="124"/>
      <c r="H54" s="124"/>
      <c r="I54" s="124"/>
      <c r="J54" s="124"/>
      <c r="K54" s="124"/>
      <c r="L54" s="124"/>
      <c r="M54" s="124"/>
      <c r="N54" s="124"/>
      <c r="O54" s="124"/>
      <c r="P54" s="124"/>
      <c r="Q54" s="124"/>
      <c r="R54" s="124"/>
      <c r="S54" s="124"/>
      <c r="T54" s="124"/>
      <c r="U54" s="124"/>
      <c r="V54" s="124"/>
      <c r="W54" s="126"/>
      <c r="X54" s="126"/>
      <c r="Y54" s="126"/>
      <c r="Z54" s="126"/>
      <c r="AA54" s="126"/>
      <c r="AB54" s="120"/>
    </row>
    <row r="55" spans="1:28" ht="13.5" customHeight="1">
      <c r="A55" s="124"/>
      <c r="B55" s="124"/>
      <c r="C55" s="124"/>
      <c r="D55" s="124"/>
      <c r="E55" s="124"/>
      <c r="F55" s="125"/>
      <c r="G55" s="124"/>
      <c r="H55" s="124"/>
      <c r="I55" s="124"/>
      <c r="J55" s="124"/>
      <c r="K55" s="124"/>
      <c r="L55" s="124"/>
      <c r="M55" s="124"/>
      <c r="N55" s="124"/>
      <c r="O55" s="124"/>
      <c r="P55" s="124"/>
      <c r="Q55" s="124"/>
      <c r="R55" s="124"/>
      <c r="S55" s="124"/>
      <c r="T55" s="124"/>
      <c r="U55" s="124"/>
      <c r="V55" s="124"/>
      <c r="W55" s="126"/>
      <c r="X55" s="126"/>
      <c r="Y55" s="126"/>
      <c r="Z55" s="126"/>
      <c r="AA55" s="126"/>
      <c r="AB55" s="120"/>
    </row>
    <row r="56" spans="1:28" ht="13.5" customHeight="1" outlineLevel="1">
      <c r="A56" s="168"/>
      <c r="B56" s="169"/>
      <c r="C56" s="169"/>
      <c r="D56" s="169"/>
      <c r="E56" s="169"/>
      <c r="F56" s="169"/>
      <c r="G56" s="169"/>
      <c r="H56" s="169"/>
      <c r="I56" s="169"/>
      <c r="J56" s="169"/>
      <c r="K56" s="169"/>
      <c r="L56" s="169"/>
      <c r="M56" s="169"/>
      <c r="N56" s="169"/>
      <c r="O56" s="169"/>
      <c r="P56" s="169"/>
      <c r="Q56" s="169"/>
      <c r="R56" s="169"/>
      <c r="S56" s="169"/>
      <c r="T56" s="169"/>
      <c r="U56" s="169"/>
      <c r="V56" s="169"/>
      <c r="W56" s="170"/>
      <c r="X56" s="170"/>
      <c r="Y56" s="170"/>
      <c r="Z56" s="170"/>
      <c r="AA56" s="170"/>
      <c r="AB56" s="171"/>
    </row>
    <row r="57" spans="1:28" ht="13.5" hidden="1" customHeight="1" outlineLevel="1">
      <c r="A57" s="124"/>
      <c r="B57" s="124"/>
      <c r="C57" s="124"/>
      <c r="D57" s="124"/>
      <c r="E57" s="124"/>
      <c r="F57" s="124"/>
      <c r="G57" s="124"/>
      <c r="H57" s="124"/>
      <c r="I57" s="124"/>
      <c r="J57" s="124"/>
      <c r="K57" s="124"/>
      <c r="L57" s="124"/>
      <c r="M57" s="124"/>
      <c r="N57" s="124"/>
      <c r="O57" s="124"/>
      <c r="P57" s="124"/>
      <c r="Q57" s="124"/>
      <c r="R57" s="124"/>
      <c r="S57" s="124"/>
      <c r="T57" s="124"/>
      <c r="U57" s="124"/>
      <c r="V57" s="124"/>
      <c r="W57" s="126"/>
      <c r="X57" s="126"/>
      <c r="Y57" s="126"/>
      <c r="Z57" s="126"/>
      <c r="AA57" s="126"/>
      <c r="AB57" s="126"/>
    </row>
    <row r="58" spans="1:28" ht="13.5" hidden="1" customHeight="1" outlineLevel="1">
      <c r="A58" s="124"/>
      <c r="B58" s="69" t="s">
        <v>74</v>
      </c>
      <c r="C58" s="58" t="s">
        <v>75</v>
      </c>
      <c r="D58" s="172" t="s">
        <v>75</v>
      </c>
      <c r="E58" s="172" t="s">
        <v>75</v>
      </c>
      <c r="F58" s="172" t="s">
        <v>75</v>
      </c>
      <c r="G58" s="172" t="s">
        <v>75</v>
      </c>
      <c r="H58" s="172" t="s">
        <v>75</v>
      </c>
      <c r="I58" s="172" t="s">
        <v>75</v>
      </c>
      <c r="J58" s="172" t="s">
        <v>75</v>
      </c>
      <c r="K58" s="172" t="s">
        <v>75</v>
      </c>
      <c r="L58" s="172" t="s">
        <v>75</v>
      </c>
      <c r="M58" s="172" t="s">
        <v>75</v>
      </c>
      <c r="N58" s="172" t="s">
        <v>75</v>
      </c>
      <c r="O58" s="172" t="s">
        <v>75</v>
      </c>
      <c r="P58" s="172" t="s">
        <v>75</v>
      </c>
      <c r="Q58" s="172" t="s">
        <v>75</v>
      </c>
      <c r="R58" s="172" t="s">
        <v>75</v>
      </c>
      <c r="S58" s="172" t="s">
        <v>75</v>
      </c>
      <c r="T58" s="172" t="s">
        <v>75</v>
      </c>
      <c r="U58" s="172" t="s">
        <v>75</v>
      </c>
      <c r="V58" s="173" t="s">
        <v>75</v>
      </c>
      <c r="W58" s="126"/>
      <c r="X58" s="126"/>
      <c r="Y58" s="126"/>
      <c r="Z58" s="126"/>
      <c r="AA58" s="126"/>
      <c r="AB58" s="126"/>
    </row>
    <row r="59" spans="1:28" ht="13.5" hidden="1" customHeight="1" outlineLevel="1">
      <c r="A59" s="124"/>
      <c r="B59" s="29" t="s">
        <v>78</v>
      </c>
      <c r="C59" s="71"/>
      <c r="D59" s="71"/>
      <c r="E59" s="71"/>
      <c r="F59" s="71"/>
      <c r="G59" s="71"/>
      <c r="H59" s="71"/>
      <c r="I59" s="71"/>
      <c r="J59" s="71"/>
      <c r="K59" s="71"/>
      <c r="L59" s="71"/>
      <c r="M59" s="71"/>
      <c r="N59" s="71"/>
      <c r="O59" s="71"/>
      <c r="P59" s="71"/>
      <c r="Q59" s="71"/>
      <c r="R59" s="71"/>
      <c r="S59" s="71"/>
      <c r="T59" s="71"/>
      <c r="U59" s="71"/>
      <c r="V59" s="174"/>
      <c r="W59" s="126"/>
      <c r="X59" s="126"/>
      <c r="Y59" s="126"/>
      <c r="Z59" s="126"/>
      <c r="AA59" s="126"/>
      <c r="AB59" s="126"/>
    </row>
    <row r="60" spans="1:28" ht="13.5" hidden="1" customHeight="1" outlineLevel="1">
      <c r="A60" s="124"/>
      <c r="B60" s="74" t="s">
        <v>79</v>
      </c>
      <c r="C60" s="75" t="str">
        <f>' Calculation'!B11</f>
        <v>Dallas, TX</v>
      </c>
      <c r="D60" s="75" t="str">
        <f t="shared" ref="D60:V60" si="20">C60</f>
        <v>Dallas, TX</v>
      </c>
      <c r="E60" s="75" t="str">
        <f t="shared" si="20"/>
        <v>Dallas, TX</v>
      </c>
      <c r="F60" s="75" t="str">
        <f t="shared" si="20"/>
        <v>Dallas, TX</v>
      </c>
      <c r="G60" s="75" t="str">
        <f t="shared" si="20"/>
        <v>Dallas, TX</v>
      </c>
      <c r="H60" s="75" t="str">
        <f t="shared" si="20"/>
        <v>Dallas, TX</v>
      </c>
      <c r="I60" s="75" t="str">
        <f t="shared" si="20"/>
        <v>Dallas, TX</v>
      </c>
      <c r="J60" s="75" t="str">
        <f t="shared" si="20"/>
        <v>Dallas, TX</v>
      </c>
      <c r="K60" s="75" t="str">
        <f t="shared" si="20"/>
        <v>Dallas, TX</v>
      </c>
      <c r="L60" s="75" t="str">
        <f t="shared" si="20"/>
        <v>Dallas, TX</v>
      </c>
      <c r="M60" s="75" t="str">
        <f t="shared" si="20"/>
        <v>Dallas, TX</v>
      </c>
      <c r="N60" s="75" t="str">
        <f t="shared" si="20"/>
        <v>Dallas, TX</v>
      </c>
      <c r="O60" s="75" t="str">
        <f t="shared" si="20"/>
        <v>Dallas, TX</v>
      </c>
      <c r="P60" s="75" t="str">
        <f t="shared" si="20"/>
        <v>Dallas, TX</v>
      </c>
      <c r="Q60" s="75" t="str">
        <f t="shared" si="20"/>
        <v>Dallas, TX</v>
      </c>
      <c r="R60" s="75" t="str">
        <f t="shared" si="20"/>
        <v>Dallas, TX</v>
      </c>
      <c r="S60" s="75" t="str">
        <f t="shared" si="20"/>
        <v>Dallas, TX</v>
      </c>
      <c r="T60" s="75" t="str">
        <f t="shared" si="20"/>
        <v>Dallas, TX</v>
      </c>
      <c r="U60" s="75" t="str">
        <f t="shared" si="20"/>
        <v>Dallas, TX</v>
      </c>
      <c r="V60" s="175" t="str">
        <f t="shared" si="20"/>
        <v>Dallas, TX</v>
      </c>
      <c r="W60" s="126"/>
      <c r="X60" s="126"/>
      <c r="Y60" s="126"/>
      <c r="Z60" s="126"/>
      <c r="AA60" s="126"/>
      <c r="AB60" s="126"/>
    </row>
    <row r="61" spans="1:28" ht="13.5" hidden="1" customHeight="1" outlineLevel="1">
      <c r="A61" s="124"/>
      <c r="B61" s="74" t="s">
        <v>82</v>
      </c>
      <c r="C61" s="75" t="str">
        <f>' Calculation'!B12</f>
        <v>Bars, cocktail lounges</v>
      </c>
      <c r="D61" s="75" t="s">
        <v>83</v>
      </c>
      <c r="E61" s="75" t="s">
        <v>83</v>
      </c>
      <c r="F61" s="75" t="s">
        <v>83</v>
      </c>
      <c r="G61" s="75" t="s">
        <v>83</v>
      </c>
      <c r="H61" s="75" t="s">
        <v>83</v>
      </c>
      <c r="I61" s="75" t="s">
        <v>83</v>
      </c>
      <c r="J61" s="75" t="s">
        <v>83</v>
      </c>
      <c r="K61" s="75" t="s">
        <v>83</v>
      </c>
      <c r="L61" s="75" t="s">
        <v>83</v>
      </c>
      <c r="M61" s="75" t="s">
        <v>83</v>
      </c>
      <c r="N61" s="75" t="s">
        <v>83</v>
      </c>
      <c r="O61" s="75" t="s">
        <v>83</v>
      </c>
      <c r="P61" s="75" t="s">
        <v>83</v>
      </c>
      <c r="Q61" s="75" t="s">
        <v>83</v>
      </c>
      <c r="R61" s="75" t="s">
        <v>83</v>
      </c>
      <c r="S61" s="75" t="s">
        <v>83</v>
      </c>
      <c r="T61" s="75" t="s">
        <v>83</v>
      </c>
      <c r="U61" s="75" t="s">
        <v>83</v>
      </c>
      <c r="V61" s="175" t="s">
        <v>83</v>
      </c>
      <c r="W61" s="126"/>
      <c r="X61" s="126"/>
      <c r="Y61" s="126"/>
      <c r="Z61" s="126"/>
      <c r="AA61" s="126"/>
      <c r="AB61" s="126"/>
    </row>
    <row r="62" spans="1:28" ht="13.5" hidden="1" customHeight="1" outlineLevel="1">
      <c r="A62" s="124"/>
      <c r="B62" s="74" t="s">
        <v>85</v>
      </c>
      <c r="C62" s="76">
        <f>' Calculation'!B13</f>
        <v>5500</v>
      </c>
      <c r="D62" s="76">
        <f t="shared" ref="D62:V62" si="21">C62</f>
        <v>5500</v>
      </c>
      <c r="E62" s="76">
        <f t="shared" si="21"/>
        <v>5500</v>
      </c>
      <c r="F62" s="76">
        <f t="shared" si="21"/>
        <v>5500</v>
      </c>
      <c r="G62" s="76">
        <f t="shared" si="21"/>
        <v>5500</v>
      </c>
      <c r="H62" s="76">
        <f t="shared" si="21"/>
        <v>5500</v>
      </c>
      <c r="I62" s="76">
        <f t="shared" si="21"/>
        <v>5500</v>
      </c>
      <c r="J62" s="76">
        <f t="shared" si="21"/>
        <v>5500</v>
      </c>
      <c r="K62" s="76">
        <f t="shared" si="21"/>
        <v>5500</v>
      </c>
      <c r="L62" s="76">
        <f t="shared" si="21"/>
        <v>5500</v>
      </c>
      <c r="M62" s="76">
        <f t="shared" si="21"/>
        <v>5500</v>
      </c>
      <c r="N62" s="76">
        <f t="shared" si="21"/>
        <v>5500</v>
      </c>
      <c r="O62" s="76">
        <f t="shared" si="21"/>
        <v>5500</v>
      </c>
      <c r="P62" s="76">
        <f t="shared" si="21"/>
        <v>5500</v>
      </c>
      <c r="Q62" s="76">
        <f t="shared" si="21"/>
        <v>5500</v>
      </c>
      <c r="R62" s="76">
        <f t="shared" si="21"/>
        <v>5500</v>
      </c>
      <c r="S62" s="76">
        <f t="shared" si="21"/>
        <v>5500</v>
      </c>
      <c r="T62" s="76">
        <f t="shared" si="21"/>
        <v>5500</v>
      </c>
      <c r="U62" s="76">
        <f t="shared" si="21"/>
        <v>5500</v>
      </c>
      <c r="V62" s="176">
        <f t="shared" si="21"/>
        <v>5500</v>
      </c>
      <c r="W62" s="126"/>
      <c r="X62" s="126"/>
      <c r="Y62" s="126"/>
      <c r="Z62" s="126"/>
      <c r="AA62" s="126"/>
      <c r="AB62" s="126"/>
    </row>
    <row r="63" spans="1:28" ht="13.5" hidden="1" customHeight="1" outlineLevel="1">
      <c r="A63" s="124"/>
      <c r="B63" s="74" t="s">
        <v>87</v>
      </c>
      <c r="C63" s="76">
        <f>' Calculation'!B14</f>
        <v>9</v>
      </c>
      <c r="D63" s="76">
        <f t="shared" ref="D63:V63" si="22">C63</f>
        <v>9</v>
      </c>
      <c r="E63" s="76">
        <f t="shared" si="22"/>
        <v>9</v>
      </c>
      <c r="F63" s="76">
        <f t="shared" si="22"/>
        <v>9</v>
      </c>
      <c r="G63" s="76">
        <f t="shared" si="22"/>
        <v>9</v>
      </c>
      <c r="H63" s="76">
        <f t="shared" si="22"/>
        <v>9</v>
      </c>
      <c r="I63" s="76">
        <f t="shared" si="22"/>
        <v>9</v>
      </c>
      <c r="J63" s="76">
        <f t="shared" si="22"/>
        <v>9</v>
      </c>
      <c r="K63" s="76">
        <f t="shared" si="22"/>
        <v>9</v>
      </c>
      <c r="L63" s="76">
        <f t="shared" si="22"/>
        <v>9</v>
      </c>
      <c r="M63" s="76">
        <f t="shared" si="22"/>
        <v>9</v>
      </c>
      <c r="N63" s="76">
        <f t="shared" si="22"/>
        <v>9</v>
      </c>
      <c r="O63" s="76">
        <f t="shared" si="22"/>
        <v>9</v>
      </c>
      <c r="P63" s="76">
        <f t="shared" si="22"/>
        <v>9</v>
      </c>
      <c r="Q63" s="76">
        <f t="shared" si="22"/>
        <v>9</v>
      </c>
      <c r="R63" s="76">
        <f t="shared" si="22"/>
        <v>9</v>
      </c>
      <c r="S63" s="76">
        <f t="shared" si="22"/>
        <v>9</v>
      </c>
      <c r="T63" s="76">
        <f t="shared" si="22"/>
        <v>9</v>
      </c>
      <c r="U63" s="76">
        <f t="shared" si="22"/>
        <v>9</v>
      </c>
      <c r="V63" s="176">
        <f t="shared" si="22"/>
        <v>9</v>
      </c>
      <c r="W63" s="126"/>
      <c r="X63" s="126"/>
      <c r="Y63" s="126"/>
      <c r="Z63" s="126"/>
      <c r="AA63" s="126"/>
      <c r="AB63" s="126"/>
    </row>
    <row r="64" spans="1:28" ht="13.5" hidden="1" customHeight="1" outlineLevel="1">
      <c r="A64" s="124"/>
      <c r="B64" s="59" t="s">
        <v>89</v>
      </c>
      <c r="C64" s="76">
        <f>' Calculation'!B15</f>
        <v>28</v>
      </c>
      <c r="D64" s="76">
        <f t="shared" ref="D64:V64" si="23">C64</f>
        <v>28</v>
      </c>
      <c r="E64" s="76">
        <f t="shared" si="23"/>
        <v>28</v>
      </c>
      <c r="F64" s="76">
        <f t="shared" si="23"/>
        <v>28</v>
      </c>
      <c r="G64" s="76">
        <f t="shared" si="23"/>
        <v>28</v>
      </c>
      <c r="H64" s="76">
        <f t="shared" si="23"/>
        <v>28</v>
      </c>
      <c r="I64" s="76">
        <f t="shared" si="23"/>
        <v>28</v>
      </c>
      <c r="J64" s="76">
        <f t="shared" si="23"/>
        <v>28</v>
      </c>
      <c r="K64" s="76">
        <f t="shared" si="23"/>
        <v>28</v>
      </c>
      <c r="L64" s="76">
        <f t="shared" si="23"/>
        <v>28</v>
      </c>
      <c r="M64" s="76">
        <f t="shared" si="23"/>
        <v>28</v>
      </c>
      <c r="N64" s="76">
        <f t="shared" si="23"/>
        <v>28</v>
      </c>
      <c r="O64" s="76">
        <f t="shared" si="23"/>
        <v>28</v>
      </c>
      <c r="P64" s="76">
        <f t="shared" si="23"/>
        <v>28</v>
      </c>
      <c r="Q64" s="76">
        <f t="shared" si="23"/>
        <v>28</v>
      </c>
      <c r="R64" s="76">
        <f t="shared" si="23"/>
        <v>28</v>
      </c>
      <c r="S64" s="76">
        <f t="shared" si="23"/>
        <v>28</v>
      </c>
      <c r="T64" s="76">
        <f t="shared" si="23"/>
        <v>28</v>
      </c>
      <c r="U64" s="76">
        <f t="shared" si="23"/>
        <v>28</v>
      </c>
      <c r="V64" s="176">
        <f t="shared" si="23"/>
        <v>28</v>
      </c>
      <c r="W64" s="126"/>
      <c r="X64" s="126"/>
      <c r="Y64" s="126"/>
      <c r="Z64" s="126"/>
      <c r="AA64" s="126"/>
      <c r="AB64" s="126"/>
    </row>
    <row r="65" spans="1:28" ht="13.5" hidden="1" customHeight="1" outlineLevel="1">
      <c r="A65" s="124"/>
      <c r="B65" s="59" t="s">
        <v>91</v>
      </c>
      <c r="C65" s="76">
        <f>' Calculation'!B16</f>
        <v>5000</v>
      </c>
      <c r="D65" s="76">
        <f t="shared" ref="D65:V65" si="24">D62</f>
        <v>5500</v>
      </c>
      <c r="E65" s="76">
        <f t="shared" si="24"/>
        <v>5500</v>
      </c>
      <c r="F65" s="76">
        <f t="shared" si="24"/>
        <v>5500</v>
      </c>
      <c r="G65" s="76">
        <f t="shared" si="24"/>
        <v>5500</v>
      </c>
      <c r="H65" s="76">
        <f t="shared" si="24"/>
        <v>5500</v>
      </c>
      <c r="I65" s="76">
        <f t="shared" si="24"/>
        <v>5500</v>
      </c>
      <c r="J65" s="76">
        <f t="shared" si="24"/>
        <v>5500</v>
      </c>
      <c r="K65" s="76">
        <f t="shared" si="24"/>
        <v>5500</v>
      </c>
      <c r="L65" s="76">
        <f t="shared" si="24"/>
        <v>5500</v>
      </c>
      <c r="M65" s="76">
        <f t="shared" si="24"/>
        <v>5500</v>
      </c>
      <c r="N65" s="76">
        <f t="shared" si="24"/>
        <v>5500</v>
      </c>
      <c r="O65" s="76">
        <f t="shared" si="24"/>
        <v>5500</v>
      </c>
      <c r="P65" s="76">
        <f t="shared" si="24"/>
        <v>5500</v>
      </c>
      <c r="Q65" s="76">
        <f t="shared" si="24"/>
        <v>5500</v>
      </c>
      <c r="R65" s="76">
        <f t="shared" si="24"/>
        <v>5500</v>
      </c>
      <c r="S65" s="76">
        <f t="shared" si="24"/>
        <v>5500</v>
      </c>
      <c r="T65" s="76">
        <f t="shared" si="24"/>
        <v>5500</v>
      </c>
      <c r="U65" s="76">
        <f t="shared" si="24"/>
        <v>5500</v>
      </c>
      <c r="V65" s="176">
        <f t="shared" si="24"/>
        <v>5500</v>
      </c>
      <c r="W65" s="126"/>
      <c r="X65" s="126"/>
      <c r="Y65" s="126"/>
      <c r="Z65" s="126"/>
      <c r="AA65" s="126"/>
      <c r="AB65" s="126"/>
    </row>
    <row r="66" spans="1:28" ht="13.5" hidden="1" customHeight="1" outlineLevel="1">
      <c r="A66" s="124"/>
      <c r="B66" s="78" t="s">
        <v>94</v>
      </c>
      <c r="C66" s="79">
        <f>' Calculation'!B17</f>
        <v>0.75</v>
      </c>
      <c r="D66" s="79">
        <f t="shared" ref="D66:V66" si="25">C66</f>
        <v>0.75</v>
      </c>
      <c r="E66" s="79">
        <f t="shared" si="25"/>
        <v>0.75</v>
      </c>
      <c r="F66" s="79">
        <f t="shared" si="25"/>
        <v>0.75</v>
      </c>
      <c r="G66" s="79">
        <f t="shared" si="25"/>
        <v>0.75</v>
      </c>
      <c r="H66" s="79">
        <f t="shared" si="25"/>
        <v>0.75</v>
      </c>
      <c r="I66" s="79">
        <f t="shared" si="25"/>
        <v>0.75</v>
      </c>
      <c r="J66" s="79">
        <f t="shared" si="25"/>
        <v>0.75</v>
      </c>
      <c r="K66" s="79">
        <f t="shared" si="25"/>
        <v>0.75</v>
      </c>
      <c r="L66" s="79">
        <f t="shared" si="25"/>
        <v>0.75</v>
      </c>
      <c r="M66" s="79">
        <f t="shared" si="25"/>
        <v>0.75</v>
      </c>
      <c r="N66" s="79">
        <f t="shared" si="25"/>
        <v>0.75</v>
      </c>
      <c r="O66" s="79">
        <f t="shared" si="25"/>
        <v>0.75</v>
      </c>
      <c r="P66" s="79">
        <f t="shared" si="25"/>
        <v>0.75</v>
      </c>
      <c r="Q66" s="79">
        <f t="shared" si="25"/>
        <v>0.75</v>
      </c>
      <c r="R66" s="79">
        <f t="shared" si="25"/>
        <v>0.75</v>
      </c>
      <c r="S66" s="79">
        <f t="shared" si="25"/>
        <v>0.75</v>
      </c>
      <c r="T66" s="79">
        <f t="shared" si="25"/>
        <v>0.75</v>
      </c>
      <c r="U66" s="79">
        <f t="shared" si="25"/>
        <v>0.75</v>
      </c>
      <c r="V66" s="177">
        <f t="shared" si="25"/>
        <v>0.75</v>
      </c>
      <c r="W66" s="126"/>
      <c r="X66" s="126"/>
      <c r="Y66" s="126"/>
      <c r="Z66" s="126"/>
      <c r="AA66" s="126"/>
      <c r="AB66" s="126"/>
    </row>
    <row r="67" spans="1:28" ht="13.5" hidden="1" customHeight="1" outlineLevel="1">
      <c r="A67" s="124"/>
      <c r="B67" s="80" t="s">
        <v>96</v>
      </c>
      <c r="C67" s="178" t="str">
        <f>' Calculation'!B18</f>
        <v>VRP</v>
      </c>
      <c r="D67" s="178" t="s">
        <v>228</v>
      </c>
      <c r="E67" s="178" t="s">
        <v>228</v>
      </c>
      <c r="F67" s="178" t="s">
        <v>228</v>
      </c>
      <c r="G67" s="178" t="s">
        <v>228</v>
      </c>
      <c r="H67" s="178" t="s">
        <v>229</v>
      </c>
      <c r="I67" s="178" t="s">
        <v>229</v>
      </c>
      <c r="J67" s="178" t="s">
        <v>229</v>
      </c>
      <c r="K67" s="178" t="s">
        <v>229</v>
      </c>
      <c r="L67" s="178" t="s">
        <v>97</v>
      </c>
      <c r="M67" s="178" t="s">
        <v>97</v>
      </c>
      <c r="N67" s="178" t="s">
        <v>97</v>
      </c>
      <c r="O67" s="178" t="s">
        <v>97</v>
      </c>
      <c r="P67" s="178" t="s">
        <v>230</v>
      </c>
      <c r="Q67" s="178" t="s">
        <v>230</v>
      </c>
      <c r="R67" s="178" t="s">
        <v>230</v>
      </c>
      <c r="S67" s="178" t="s">
        <v>230</v>
      </c>
      <c r="T67" s="178" t="str">
        <f>C67</f>
        <v>VRP</v>
      </c>
      <c r="U67" s="178" t="str">
        <f>C67</f>
        <v>VRP</v>
      </c>
      <c r="V67" s="179" t="str">
        <f>C67</f>
        <v>VRP</v>
      </c>
      <c r="W67" s="126"/>
      <c r="X67" s="126"/>
      <c r="Y67" s="126"/>
      <c r="Z67" s="126"/>
      <c r="AA67" s="126"/>
      <c r="AB67" s="126"/>
    </row>
    <row r="68" spans="1:28" ht="13.5" hidden="1" customHeight="1" outlineLevel="1">
      <c r="A68" s="124"/>
      <c r="B68" s="62" t="s">
        <v>99</v>
      </c>
      <c r="C68" s="82">
        <f>' Calculation'!B19</f>
        <v>1600</v>
      </c>
      <c r="D68" s="82">
        <f>IF(D67="VRP",(D64*VLOOKUP(D61,'Table 3 - ASHRAE 62.1 OA Rates'!$A$3:$C$82,2,0)+D62*VLOOKUP(D61,'Table 3 - ASHRAE 62.1 OA Rates'!$A$3:$C$82,3,0))/D66,IF(D67="VRP+30%",((D64*VLOOKUP(D61,'Table 3 - ASHRAE 62.1 OA Rates'!$A$3:$C$82,2,0)+D62*VLOOKUP(D61,'Table 3 - ASHRAE 62.1 OA Rates'!$A$3:$C$82,3,0))/D66)*1.3,IF(D67="IAQP",D62*0.05,IF(D67="100% OA",D65,"Enter Value"))))</f>
        <v>5500</v>
      </c>
      <c r="E68" s="82">
        <f>IF(E67="VRP",(E64*VLOOKUP(E61,'Table 3 - ASHRAE 62.1 OA Rates'!$A$3:$C$82,2,0)+E62*VLOOKUP(E61,'Table 3 - ASHRAE 62.1 OA Rates'!$A$3:$C$82,3,0))/E66,IF(E67="VRP+30%",((E64*VLOOKUP(E61,'Table 3 - ASHRAE 62.1 OA Rates'!$A$3:$C$82,2,0)+E62*VLOOKUP(E61,'Table 3 - ASHRAE 62.1 OA Rates'!$A$3:$C$82,3,0))/E66)*1.3,IF(E67="IAQP",E62*0.05,IF(E67="100% OA",E65,"Enter Value"))))</f>
        <v>5500</v>
      </c>
      <c r="F68" s="82">
        <f>IF(F67="VRP",(F64*VLOOKUP(F61,'Table 3 - ASHRAE 62.1 OA Rates'!$A$3:$C$82,2,0)+F62*VLOOKUP(F61,'Table 3 - ASHRAE 62.1 OA Rates'!$A$3:$C$82,3,0))/F66,IF(F67="VRP+30%",((F64*VLOOKUP(F61,'Table 3 - ASHRAE 62.1 OA Rates'!$A$3:$C$82,2,0)+F62*VLOOKUP(F61,'Table 3 - ASHRAE 62.1 OA Rates'!$A$3:$C$82,3,0))/F66)*1.3,IF(F67="IAQP",F62*0.05,IF(F67="100% OA",F65,"Enter Value"))))</f>
        <v>5500</v>
      </c>
      <c r="G68" s="82">
        <f>IF(G67="VRP",(G64*VLOOKUP(G61,'Table 3 - ASHRAE 62.1 OA Rates'!$A$3:$C$82,2,0)+G62*VLOOKUP(G61,'Table 3 - ASHRAE 62.1 OA Rates'!$A$3:$C$82,3,0))/G66,IF(G67="VRP+30%",((G64*VLOOKUP(G61,'Table 3 - ASHRAE 62.1 OA Rates'!$A$3:$C$82,2,0)+G62*VLOOKUP(G61,'Table 3 - ASHRAE 62.1 OA Rates'!$A$3:$C$82,3,0))/G66)*1.3,IF(G67="IAQP",G62*0.05,IF(G67="100% OA",G65,"Enter Value"))))</f>
        <v>5500</v>
      </c>
      <c r="H68" s="82">
        <f>IF(H67="VRP",(H64*VLOOKUP(H61,'Table 3 - ASHRAE 62.1 OA Rates'!$A$3:$C$82,2,0)+H62*VLOOKUP(H61,'Table 3 - ASHRAE 62.1 OA Rates'!$A$3:$C$82,3,0))/H66,IF(H67="VRP+30%",((H64*VLOOKUP(H61,'Table 3 - ASHRAE 62.1 OA Rates'!$A$3:$C$82,2,0)+H62*VLOOKUP(H61,'Table 3 - ASHRAE 62.1 OA Rates'!$A$3:$C$82,3,0))/H66)*1.3,IF(H67="IAQP",H62*0.05,IF(H67="100% OA",H65,"Enter Value"))))</f>
        <v>814.66666666666663</v>
      </c>
      <c r="I68" s="82">
        <f>IF(I67="VRP",(I64*VLOOKUP(I61,'Table 3 - ASHRAE 62.1 OA Rates'!$A$3:$C$82,2,0)+I62*VLOOKUP(I61,'Table 3 - ASHRAE 62.1 OA Rates'!$A$3:$C$82,3,0))/I66,IF(I67="VRP+30%",((I64*VLOOKUP(I61,'Table 3 - ASHRAE 62.1 OA Rates'!$A$3:$C$82,2,0)+I62*VLOOKUP(I61,'Table 3 - ASHRAE 62.1 OA Rates'!$A$3:$C$82,3,0))/I66)*1.3,IF(I67="IAQP",I62*0.05,IF(I67="100% OA",I65,"Enter Value"))))</f>
        <v>814.66666666666663</v>
      </c>
      <c r="J68" s="82">
        <f>IF(J67="VRP",(J64*VLOOKUP(J61,'Table 3 - ASHRAE 62.1 OA Rates'!$A$3:$C$82,2,0)+J62*VLOOKUP(J61,'Table 3 - ASHRAE 62.1 OA Rates'!$A$3:$C$82,3,0))/J66,IF(J67="VRP+30%",((J64*VLOOKUP(J61,'Table 3 - ASHRAE 62.1 OA Rates'!$A$3:$C$82,2,0)+J62*VLOOKUP(J61,'Table 3 - ASHRAE 62.1 OA Rates'!$A$3:$C$82,3,0))/J66)*1.3,IF(J67="IAQP",J62*0.05,IF(J67="100% OA",J65,"Enter Value"))))</f>
        <v>814.66666666666663</v>
      </c>
      <c r="K68" s="82">
        <f>IF(K67="VRP",(K64*VLOOKUP(K61,'Table 3 - ASHRAE 62.1 OA Rates'!$A$3:$C$82,2,0)+K62*VLOOKUP(K61,'Table 3 - ASHRAE 62.1 OA Rates'!$A$3:$C$82,3,0))/K66,IF(K67="VRP+30%",((K64*VLOOKUP(K61,'Table 3 - ASHRAE 62.1 OA Rates'!$A$3:$C$82,2,0)+K62*VLOOKUP(K61,'Table 3 - ASHRAE 62.1 OA Rates'!$A$3:$C$82,3,0))/K66)*1.3,IF(K67="IAQP",K62*0.05,IF(K67="100% OA",K65,"Enter Value"))))</f>
        <v>814.66666666666663</v>
      </c>
      <c r="L68" s="82">
        <f>IF(L67="VRP",(L64*VLOOKUP(L61,'Table 3 - ASHRAE 62.1 OA Rates'!$A$3:$C$82,2,0)+L62*VLOOKUP(L61,'Table 3 - ASHRAE 62.1 OA Rates'!$A$3:$C$82,3,0))/L66,IF(L67="VRP+30%",((L64*VLOOKUP(L61,'Table 3 - ASHRAE 62.1 OA Rates'!$A$3:$C$82,2,0)+L62*VLOOKUP(L61,'Table 3 - ASHRAE 62.1 OA Rates'!$A$3:$C$82,3,0))/L66)*1.3,IF(L67="IAQP",L62*0.05,IF(L67="100% OA",L65,"Enter Value"))))</f>
        <v>626.66666666666663</v>
      </c>
      <c r="M68" s="82">
        <f>IF(M67="VRP",(M64*VLOOKUP(M61,'Table 3 - ASHRAE 62.1 OA Rates'!$A$3:$C$82,2,0)+M62*VLOOKUP(M61,'Table 3 - ASHRAE 62.1 OA Rates'!$A$3:$C$82,3,0))/M66,IF(M67="VRP+30%",((M64*VLOOKUP(M61,'Table 3 - ASHRAE 62.1 OA Rates'!$A$3:$C$82,2,0)+M62*VLOOKUP(M61,'Table 3 - ASHRAE 62.1 OA Rates'!$A$3:$C$82,3,0))/M66)*1.3,IF(M67="IAQP",M62*0.05,IF(M67="100% OA",M65,"Enter Value"))))</f>
        <v>626.66666666666663</v>
      </c>
      <c r="N68" s="82">
        <f>IF(N67="VRP",(N64*VLOOKUP(N61,'Table 3 - ASHRAE 62.1 OA Rates'!$A$3:$C$82,2,0)+N62*VLOOKUP(N61,'Table 3 - ASHRAE 62.1 OA Rates'!$A$3:$C$82,3,0))/N66,IF(N67="VRP+30%",((N64*VLOOKUP(N61,'Table 3 - ASHRAE 62.1 OA Rates'!$A$3:$C$82,2,0)+N62*VLOOKUP(N61,'Table 3 - ASHRAE 62.1 OA Rates'!$A$3:$C$82,3,0))/N66)*1.3,IF(N67="IAQP",N62*0.05,IF(N67="100% OA",N65,"Enter Value"))))</f>
        <v>626.66666666666663</v>
      </c>
      <c r="O68" s="82">
        <f>IF(O67="VRP",(O64*VLOOKUP(O61,'Table 3 - ASHRAE 62.1 OA Rates'!$A$3:$C$82,2,0)+O62*VLOOKUP(O61,'Table 3 - ASHRAE 62.1 OA Rates'!$A$3:$C$82,3,0))/O66,IF(O67="VRP+30%",((O64*VLOOKUP(O61,'Table 3 - ASHRAE 62.1 OA Rates'!$A$3:$C$82,2,0)+O62*VLOOKUP(O61,'Table 3 - ASHRAE 62.1 OA Rates'!$A$3:$C$82,3,0))/O66)*1.3,IF(O67="IAQP",O62*0.05,IF(O67="100% OA",O65,"Enter Value"))))</f>
        <v>626.66666666666663</v>
      </c>
      <c r="P68" s="82">
        <f>IF(P67="VRP",(P64*VLOOKUP(P61,'Table 3 - ASHRAE 62.1 OA Rates'!$A$3:$C$82,2,0)+P62*VLOOKUP(P61,'Table 3 - ASHRAE 62.1 OA Rates'!$A$3:$C$82,3,0))/P66,IF(P67="VRP+30%",((P64*VLOOKUP(P61,'Table 3 - ASHRAE 62.1 OA Rates'!$A$3:$C$82,2,0)+P62*VLOOKUP(P61,'Table 3 - ASHRAE 62.1 OA Rates'!$A$3:$C$82,3,0))/P66)*1.3,IF(P67="IAQP",P62*0.05,IF(P67="100% OA",P65,"Enter Value"))))</f>
        <v>275</v>
      </c>
      <c r="Q68" s="82">
        <f>IF(Q67="VRP",(Q64*VLOOKUP(Q61,'Table 3 - ASHRAE 62.1 OA Rates'!$A$3:$C$82,2,0)+Q62*VLOOKUP(Q61,'Table 3 - ASHRAE 62.1 OA Rates'!$A$3:$C$82,3,0))/Q66,IF(Q67="VRP+30%",((Q64*VLOOKUP(Q61,'Table 3 - ASHRAE 62.1 OA Rates'!$A$3:$C$82,2,0)+Q62*VLOOKUP(Q61,'Table 3 - ASHRAE 62.1 OA Rates'!$A$3:$C$82,3,0))/Q66)*1.3,IF(Q67="IAQP",Q62*0.05,IF(Q67="100% OA",Q65,"Enter Value"))))</f>
        <v>275</v>
      </c>
      <c r="R68" s="82">
        <f>IF(R67="VRP",(R64*VLOOKUP(R61,'Table 3 - ASHRAE 62.1 OA Rates'!$A$3:$C$82,2,0)+R62*VLOOKUP(R61,'Table 3 - ASHRAE 62.1 OA Rates'!$A$3:$C$82,3,0))/R66,IF(R67="VRP+30%",((R64*VLOOKUP(R61,'Table 3 - ASHRAE 62.1 OA Rates'!$A$3:$C$82,2,0)+R62*VLOOKUP(R61,'Table 3 - ASHRAE 62.1 OA Rates'!$A$3:$C$82,3,0))/R66)*1.3,IF(R67="IAQP",R62*0.05,IF(R67="100% OA",R65,"Enter Value"))))</f>
        <v>275</v>
      </c>
      <c r="S68" s="82">
        <f>IF(S67="VRP",(S64*VLOOKUP(S61,'Table 3 - ASHRAE 62.1 OA Rates'!$A$3:$C$82,2,0)+S62*VLOOKUP(S61,'Table 3 - ASHRAE 62.1 OA Rates'!$A$3:$C$82,3,0))/S66,IF(S67="VRP+30%",((S64*VLOOKUP(S61,'Table 3 - ASHRAE 62.1 OA Rates'!$A$3:$C$82,2,0)+S62*VLOOKUP(S61,'Table 3 - ASHRAE 62.1 OA Rates'!$A$3:$C$82,3,0))/S66)*1.3,IF(S67="IAQP",S62*0.05,IF(S67="100% OA",S65,"Enter Value"))))</f>
        <v>275</v>
      </c>
      <c r="T68" s="82">
        <f>IF(T67="VRP",(T64*VLOOKUP(T61,'Table 3 - ASHRAE 62.1 OA Rates'!$A$3:$C$82,2,0)+T62*VLOOKUP(T61,'Table 3 - ASHRAE 62.1 OA Rates'!$A$3:$C$82,3,0))/T66,IF(T67="VRP+30%",((T64*VLOOKUP(T61,'Table 3 - ASHRAE 62.1 OA Rates'!$A$3:$C$82,2,0)+T62*VLOOKUP(T61,'Table 3 - ASHRAE 62.1 OA Rates'!$A$3:$C$82,3,0))/T66)*1.3,IF(T67="IAQP",T62*0.05,IF(T67="100% OA",T65,' Calculation'!B19))))</f>
        <v>626.66666666666663</v>
      </c>
      <c r="U68" s="82">
        <f>T68</f>
        <v>626.66666666666663</v>
      </c>
      <c r="V68" s="180">
        <f>T68</f>
        <v>626.66666666666663</v>
      </c>
      <c r="W68" s="126"/>
      <c r="X68" s="126"/>
      <c r="Y68" s="126"/>
      <c r="Z68" s="126"/>
      <c r="AA68" s="126"/>
      <c r="AB68" s="126"/>
    </row>
    <row r="69" spans="1:28" ht="13.5" hidden="1" customHeight="1" outlineLevel="1">
      <c r="A69" s="124"/>
      <c r="B69" s="62" t="s">
        <v>101</v>
      </c>
      <c r="C69" s="79">
        <f>' Calculation'!B20</f>
        <v>1.9393939393939394</v>
      </c>
      <c r="D69" s="79">
        <f t="shared" ref="D69:V69" si="26">(D68/(D62*D63))*60</f>
        <v>6.6666666666666661</v>
      </c>
      <c r="E69" s="79">
        <f t="shared" si="26"/>
        <v>6.6666666666666661</v>
      </c>
      <c r="F69" s="79">
        <f t="shared" si="26"/>
        <v>6.6666666666666661</v>
      </c>
      <c r="G69" s="79">
        <f t="shared" si="26"/>
        <v>6.6666666666666661</v>
      </c>
      <c r="H69" s="79">
        <f t="shared" si="26"/>
        <v>0.98747474747474739</v>
      </c>
      <c r="I69" s="79">
        <f t="shared" si="26"/>
        <v>0.98747474747474739</v>
      </c>
      <c r="J69" s="79">
        <f t="shared" si="26"/>
        <v>0.98747474747474739</v>
      </c>
      <c r="K69" s="79">
        <f t="shared" si="26"/>
        <v>0.98747474747474739</v>
      </c>
      <c r="L69" s="79">
        <f t="shared" si="26"/>
        <v>0.7595959595959596</v>
      </c>
      <c r="M69" s="79">
        <f t="shared" si="26"/>
        <v>0.7595959595959596</v>
      </c>
      <c r="N69" s="79">
        <f t="shared" si="26"/>
        <v>0.7595959595959596</v>
      </c>
      <c r="O69" s="79">
        <f t="shared" si="26"/>
        <v>0.7595959595959596</v>
      </c>
      <c r="P69" s="79">
        <f t="shared" si="26"/>
        <v>0.33333333333333337</v>
      </c>
      <c r="Q69" s="79">
        <f t="shared" si="26"/>
        <v>0.33333333333333337</v>
      </c>
      <c r="R69" s="79">
        <f t="shared" si="26"/>
        <v>0.33333333333333337</v>
      </c>
      <c r="S69" s="79">
        <f t="shared" si="26"/>
        <v>0.33333333333333337</v>
      </c>
      <c r="T69" s="79">
        <f t="shared" si="26"/>
        <v>0.7595959595959596</v>
      </c>
      <c r="U69" s="79">
        <f t="shared" si="26"/>
        <v>0.7595959595959596</v>
      </c>
      <c r="V69" s="177">
        <f t="shared" si="26"/>
        <v>0.7595959595959596</v>
      </c>
      <c r="W69" s="126"/>
      <c r="X69" s="126"/>
      <c r="Y69" s="126"/>
      <c r="Z69" s="126"/>
      <c r="AA69" s="126"/>
      <c r="AB69" s="126"/>
    </row>
    <row r="70" spans="1:28" ht="13.5" hidden="1" customHeight="1" outlineLevel="1">
      <c r="A70" s="124"/>
      <c r="B70" s="84"/>
      <c r="C70" s="124"/>
      <c r="D70" s="124"/>
      <c r="E70" s="124"/>
      <c r="F70" s="124"/>
      <c r="G70" s="124"/>
      <c r="H70" s="124"/>
      <c r="I70" s="124"/>
      <c r="J70" s="124"/>
      <c r="K70" s="124"/>
      <c r="L70" s="124"/>
      <c r="M70" s="124"/>
      <c r="N70" s="124"/>
      <c r="O70" s="124"/>
      <c r="P70" s="124"/>
      <c r="Q70" s="124"/>
      <c r="R70" s="124"/>
      <c r="S70" s="124"/>
      <c r="T70" s="124"/>
      <c r="U70" s="124"/>
      <c r="V70" s="181"/>
      <c r="W70" s="126"/>
      <c r="X70" s="126"/>
      <c r="Y70" s="126"/>
      <c r="Z70" s="126"/>
      <c r="AA70" s="126"/>
      <c r="AB70" s="126"/>
    </row>
    <row r="71" spans="1:28" ht="13.5" hidden="1" customHeight="1" outlineLevel="1">
      <c r="A71" s="124"/>
      <c r="B71" s="29" t="s">
        <v>104</v>
      </c>
      <c r="C71" s="71"/>
      <c r="D71" s="71"/>
      <c r="E71" s="71"/>
      <c r="F71" s="71"/>
      <c r="G71" s="71"/>
      <c r="H71" s="71"/>
      <c r="I71" s="71"/>
      <c r="J71" s="71"/>
      <c r="K71" s="71"/>
      <c r="L71" s="71"/>
      <c r="M71" s="71"/>
      <c r="N71" s="71"/>
      <c r="O71" s="71"/>
      <c r="P71" s="71"/>
      <c r="Q71" s="71"/>
      <c r="R71" s="71"/>
      <c r="S71" s="71"/>
      <c r="T71" s="71"/>
      <c r="U71" s="71"/>
      <c r="V71" s="174"/>
      <c r="W71" s="126"/>
      <c r="X71" s="126"/>
      <c r="Y71" s="126"/>
      <c r="Z71" s="126"/>
      <c r="AA71" s="126"/>
      <c r="AB71" s="126"/>
    </row>
    <row r="72" spans="1:28" ht="13.5" hidden="1" customHeight="1" outlineLevel="1">
      <c r="A72" s="124"/>
      <c r="B72" s="74" t="s">
        <v>105</v>
      </c>
      <c r="C72" s="75" t="str">
        <f>' Calculation'!B23</f>
        <v>Electricity</v>
      </c>
      <c r="D72" s="75" t="str">
        <f t="shared" ref="D72:V72" si="27">C72</f>
        <v>Electricity</v>
      </c>
      <c r="E72" s="75" t="str">
        <f t="shared" si="27"/>
        <v>Electricity</v>
      </c>
      <c r="F72" s="75" t="str">
        <f t="shared" si="27"/>
        <v>Electricity</v>
      </c>
      <c r="G72" s="75" t="str">
        <f t="shared" si="27"/>
        <v>Electricity</v>
      </c>
      <c r="H72" s="75" t="str">
        <f t="shared" si="27"/>
        <v>Electricity</v>
      </c>
      <c r="I72" s="75" t="str">
        <f t="shared" si="27"/>
        <v>Electricity</v>
      </c>
      <c r="J72" s="75" t="str">
        <f t="shared" si="27"/>
        <v>Electricity</v>
      </c>
      <c r="K72" s="75" t="str">
        <f t="shared" si="27"/>
        <v>Electricity</v>
      </c>
      <c r="L72" s="75" t="str">
        <f t="shared" si="27"/>
        <v>Electricity</v>
      </c>
      <c r="M72" s="75" t="str">
        <f t="shared" si="27"/>
        <v>Electricity</v>
      </c>
      <c r="N72" s="75" t="str">
        <f t="shared" si="27"/>
        <v>Electricity</v>
      </c>
      <c r="O72" s="75" t="str">
        <f t="shared" si="27"/>
        <v>Electricity</v>
      </c>
      <c r="P72" s="75" t="str">
        <f t="shared" si="27"/>
        <v>Electricity</v>
      </c>
      <c r="Q72" s="75" t="str">
        <f t="shared" si="27"/>
        <v>Electricity</v>
      </c>
      <c r="R72" s="75" t="str">
        <f t="shared" si="27"/>
        <v>Electricity</v>
      </c>
      <c r="S72" s="75" t="str">
        <f t="shared" si="27"/>
        <v>Electricity</v>
      </c>
      <c r="T72" s="75" t="str">
        <f t="shared" si="27"/>
        <v>Electricity</v>
      </c>
      <c r="U72" s="75" t="str">
        <f t="shared" si="27"/>
        <v>Electricity</v>
      </c>
      <c r="V72" s="175" t="str">
        <f t="shared" si="27"/>
        <v>Electricity</v>
      </c>
      <c r="W72" s="126"/>
      <c r="X72" s="126"/>
      <c r="Y72" s="126"/>
      <c r="Z72" s="126"/>
      <c r="AA72" s="126"/>
      <c r="AB72" s="126"/>
    </row>
    <row r="73" spans="1:28" ht="13.5" hidden="1" customHeight="1" outlineLevel="1">
      <c r="A73" s="124"/>
      <c r="B73" s="74" t="s">
        <v>108</v>
      </c>
      <c r="C73" s="75" t="str">
        <f>' Calculation'!B24</f>
        <v>Gas</v>
      </c>
      <c r="D73" s="75" t="str">
        <f t="shared" ref="D73:V73" si="28">C73</f>
        <v>Gas</v>
      </c>
      <c r="E73" s="75" t="str">
        <f t="shared" si="28"/>
        <v>Gas</v>
      </c>
      <c r="F73" s="75" t="str">
        <f t="shared" si="28"/>
        <v>Gas</v>
      </c>
      <c r="G73" s="75" t="str">
        <f t="shared" si="28"/>
        <v>Gas</v>
      </c>
      <c r="H73" s="75" t="str">
        <f t="shared" si="28"/>
        <v>Gas</v>
      </c>
      <c r="I73" s="75" t="str">
        <f t="shared" si="28"/>
        <v>Gas</v>
      </c>
      <c r="J73" s="75" t="str">
        <f t="shared" si="28"/>
        <v>Gas</v>
      </c>
      <c r="K73" s="75" t="str">
        <f t="shared" si="28"/>
        <v>Gas</v>
      </c>
      <c r="L73" s="75" t="str">
        <f t="shared" si="28"/>
        <v>Gas</v>
      </c>
      <c r="M73" s="75" t="str">
        <f t="shared" si="28"/>
        <v>Gas</v>
      </c>
      <c r="N73" s="75" t="str">
        <f t="shared" si="28"/>
        <v>Gas</v>
      </c>
      <c r="O73" s="75" t="str">
        <f t="shared" si="28"/>
        <v>Gas</v>
      </c>
      <c r="P73" s="75" t="str">
        <f t="shared" si="28"/>
        <v>Gas</v>
      </c>
      <c r="Q73" s="75" t="str">
        <f t="shared" si="28"/>
        <v>Gas</v>
      </c>
      <c r="R73" s="75" t="str">
        <f t="shared" si="28"/>
        <v>Gas</v>
      </c>
      <c r="S73" s="75" t="str">
        <f t="shared" si="28"/>
        <v>Gas</v>
      </c>
      <c r="T73" s="75" t="str">
        <f t="shared" si="28"/>
        <v>Gas</v>
      </c>
      <c r="U73" s="75" t="str">
        <f t="shared" si="28"/>
        <v>Gas</v>
      </c>
      <c r="V73" s="175" t="str">
        <f t="shared" si="28"/>
        <v>Gas</v>
      </c>
      <c r="W73" s="126"/>
      <c r="X73" s="126"/>
      <c r="Y73" s="126"/>
      <c r="Z73" s="126"/>
      <c r="AA73" s="126"/>
      <c r="AB73" s="126"/>
    </row>
    <row r="74" spans="1:28" ht="13.5" hidden="1" customHeight="1" outlineLevel="1">
      <c r="A74" s="124"/>
      <c r="B74" s="74" t="s">
        <v>111</v>
      </c>
      <c r="C74" s="75">
        <f>' Calculation'!B25</f>
        <v>12</v>
      </c>
      <c r="D74" s="75">
        <f t="shared" ref="D74:V74" si="29">C74</f>
        <v>12</v>
      </c>
      <c r="E74" s="75">
        <f t="shared" si="29"/>
        <v>12</v>
      </c>
      <c r="F74" s="75">
        <f t="shared" si="29"/>
        <v>12</v>
      </c>
      <c r="G74" s="75">
        <f t="shared" si="29"/>
        <v>12</v>
      </c>
      <c r="H74" s="75">
        <f t="shared" si="29"/>
        <v>12</v>
      </c>
      <c r="I74" s="75">
        <f t="shared" si="29"/>
        <v>12</v>
      </c>
      <c r="J74" s="75">
        <f t="shared" si="29"/>
        <v>12</v>
      </c>
      <c r="K74" s="75">
        <f t="shared" si="29"/>
        <v>12</v>
      </c>
      <c r="L74" s="75">
        <f t="shared" si="29"/>
        <v>12</v>
      </c>
      <c r="M74" s="75">
        <f t="shared" si="29"/>
        <v>12</v>
      </c>
      <c r="N74" s="75">
        <f t="shared" si="29"/>
        <v>12</v>
      </c>
      <c r="O74" s="75">
        <f t="shared" si="29"/>
        <v>12</v>
      </c>
      <c r="P74" s="75">
        <f t="shared" si="29"/>
        <v>12</v>
      </c>
      <c r="Q74" s="75">
        <f t="shared" si="29"/>
        <v>12</v>
      </c>
      <c r="R74" s="75">
        <f t="shared" si="29"/>
        <v>12</v>
      </c>
      <c r="S74" s="75">
        <f t="shared" si="29"/>
        <v>12</v>
      </c>
      <c r="T74" s="75">
        <f t="shared" si="29"/>
        <v>12</v>
      </c>
      <c r="U74" s="75">
        <f t="shared" si="29"/>
        <v>12</v>
      </c>
      <c r="V74" s="175">
        <f t="shared" si="29"/>
        <v>12</v>
      </c>
      <c r="W74" s="126"/>
      <c r="X74" s="126"/>
      <c r="Y74" s="126"/>
      <c r="Z74" s="126"/>
      <c r="AA74" s="126"/>
      <c r="AB74" s="126"/>
    </row>
    <row r="75" spans="1:28" ht="13.5" hidden="1" customHeight="1" outlineLevel="1">
      <c r="A75" s="124"/>
      <c r="B75" s="74" t="s">
        <v>114</v>
      </c>
      <c r="C75" s="75">
        <f>' Calculation'!B26</f>
        <v>6</v>
      </c>
      <c r="D75" s="75">
        <f t="shared" ref="D75:V75" si="30">C75</f>
        <v>6</v>
      </c>
      <c r="E75" s="75">
        <f t="shared" si="30"/>
        <v>6</v>
      </c>
      <c r="F75" s="75">
        <f t="shared" si="30"/>
        <v>6</v>
      </c>
      <c r="G75" s="75">
        <f t="shared" si="30"/>
        <v>6</v>
      </c>
      <c r="H75" s="75">
        <f t="shared" si="30"/>
        <v>6</v>
      </c>
      <c r="I75" s="75">
        <f t="shared" si="30"/>
        <v>6</v>
      </c>
      <c r="J75" s="75">
        <f t="shared" si="30"/>
        <v>6</v>
      </c>
      <c r="K75" s="75">
        <f t="shared" si="30"/>
        <v>6</v>
      </c>
      <c r="L75" s="75">
        <f t="shared" si="30"/>
        <v>6</v>
      </c>
      <c r="M75" s="75">
        <f t="shared" si="30"/>
        <v>6</v>
      </c>
      <c r="N75" s="75">
        <f t="shared" si="30"/>
        <v>6</v>
      </c>
      <c r="O75" s="75">
        <f t="shared" si="30"/>
        <v>6</v>
      </c>
      <c r="P75" s="75">
        <f t="shared" si="30"/>
        <v>6</v>
      </c>
      <c r="Q75" s="75">
        <f t="shared" si="30"/>
        <v>6</v>
      </c>
      <c r="R75" s="75">
        <f t="shared" si="30"/>
        <v>6</v>
      </c>
      <c r="S75" s="75">
        <f t="shared" si="30"/>
        <v>6</v>
      </c>
      <c r="T75" s="75">
        <f t="shared" si="30"/>
        <v>6</v>
      </c>
      <c r="U75" s="75">
        <f t="shared" si="30"/>
        <v>6</v>
      </c>
      <c r="V75" s="175">
        <f t="shared" si="30"/>
        <v>6</v>
      </c>
      <c r="W75" s="126"/>
      <c r="X75" s="126"/>
      <c r="Y75" s="126"/>
      <c r="Z75" s="126"/>
      <c r="AA75" s="126"/>
      <c r="AB75" s="126"/>
    </row>
    <row r="76" spans="1:28" ht="13.5" hidden="1" customHeight="1" outlineLevel="1">
      <c r="A76" s="124"/>
      <c r="B76" s="78" t="s">
        <v>116</v>
      </c>
      <c r="C76" s="79">
        <f>' Calculation'!B27</f>
        <v>72</v>
      </c>
      <c r="D76" s="79">
        <f t="shared" ref="D76:V76" si="31">D74*D75</f>
        <v>72</v>
      </c>
      <c r="E76" s="79">
        <f t="shared" si="31"/>
        <v>72</v>
      </c>
      <c r="F76" s="79">
        <f t="shared" si="31"/>
        <v>72</v>
      </c>
      <c r="G76" s="79">
        <f t="shared" si="31"/>
        <v>72</v>
      </c>
      <c r="H76" s="79">
        <f t="shared" si="31"/>
        <v>72</v>
      </c>
      <c r="I76" s="79">
        <f t="shared" si="31"/>
        <v>72</v>
      </c>
      <c r="J76" s="79">
        <f t="shared" si="31"/>
        <v>72</v>
      </c>
      <c r="K76" s="79">
        <f t="shared" si="31"/>
        <v>72</v>
      </c>
      <c r="L76" s="79">
        <f t="shared" si="31"/>
        <v>72</v>
      </c>
      <c r="M76" s="79">
        <f t="shared" si="31"/>
        <v>72</v>
      </c>
      <c r="N76" s="79">
        <f t="shared" si="31"/>
        <v>72</v>
      </c>
      <c r="O76" s="79">
        <f t="shared" si="31"/>
        <v>72</v>
      </c>
      <c r="P76" s="79">
        <f t="shared" si="31"/>
        <v>72</v>
      </c>
      <c r="Q76" s="79">
        <f t="shared" si="31"/>
        <v>72</v>
      </c>
      <c r="R76" s="79">
        <f t="shared" si="31"/>
        <v>72</v>
      </c>
      <c r="S76" s="79">
        <f t="shared" si="31"/>
        <v>72</v>
      </c>
      <c r="T76" s="79">
        <f t="shared" si="31"/>
        <v>72</v>
      </c>
      <c r="U76" s="79">
        <f t="shared" si="31"/>
        <v>72</v>
      </c>
      <c r="V76" s="177">
        <f t="shared" si="31"/>
        <v>72</v>
      </c>
      <c r="W76" s="126"/>
      <c r="X76" s="126"/>
      <c r="Y76" s="126"/>
      <c r="Z76" s="126"/>
      <c r="AA76" s="126"/>
      <c r="AB76" s="126"/>
    </row>
    <row r="77" spans="1:28" ht="13.5" hidden="1" customHeight="1" outlineLevel="1">
      <c r="A77" s="124"/>
      <c r="B77" s="78" t="s">
        <v>118</v>
      </c>
      <c r="C77" s="79">
        <f>' Calculation'!B28</f>
        <v>3</v>
      </c>
      <c r="D77" s="79">
        <v>3</v>
      </c>
      <c r="E77" s="79">
        <v>3</v>
      </c>
      <c r="F77" s="79">
        <v>3</v>
      </c>
      <c r="G77" s="79">
        <v>3</v>
      </c>
      <c r="H77" s="79">
        <v>3</v>
      </c>
      <c r="I77" s="79">
        <v>3</v>
      </c>
      <c r="J77" s="79">
        <v>3</v>
      </c>
      <c r="K77" s="79">
        <v>3</v>
      </c>
      <c r="L77" s="79">
        <v>3</v>
      </c>
      <c r="M77" s="79">
        <v>3</v>
      </c>
      <c r="N77" s="79">
        <v>3</v>
      </c>
      <c r="O77" s="79">
        <v>3</v>
      </c>
      <c r="P77" s="79">
        <v>3</v>
      </c>
      <c r="Q77" s="79">
        <v>3</v>
      </c>
      <c r="R77" s="79">
        <v>3</v>
      </c>
      <c r="S77" s="79">
        <v>3</v>
      </c>
      <c r="T77" s="79">
        <v>3</v>
      </c>
      <c r="U77" s="79">
        <v>3</v>
      </c>
      <c r="V77" s="177">
        <v>3</v>
      </c>
      <c r="W77" s="126"/>
      <c r="X77" s="126"/>
      <c r="Y77" s="126"/>
      <c r="Z77" s="126"/>
      <c r="AA77" s="126"/>
      <c r="AB77" s="126"/>
    </row>
    <row r="78" spans="1:28" ht="13.5" hidden="1" customHeight="1" outlineLevel="1">
      <c r="A78" s="124"/>
      <c r="B78" s="78" t="s">
        <v>119</v>
      </c>
      <c r="C78" s="79">
        <f>' Calculation'!B29</f>
        <v>1</v>
      </c>
      <c r="D78" s="79">
        <v>1</v>
      </c>
      <c r="E78" s="79">
        <v>1</v>
      </c>
      <c r="F78" s="79">
        <v>1</v>
      </c>
      <c r="G78" s="79">
        <v>1</v>
      </c>
      <c r="H78" s="79">
        <v>1</v>
      </c>
      <c r="I78" s="79">
        <v>1</v>
      </c>
      <c r="J78" s="79">
        <v>1</v>
      </c>
      <c r="K78" s="79">
        <v>1</v>
      </c>
      <c r="L78" s="79">
        <v>1</v>
      </c>
      <c r="M78" s="79">
        <v>1</v>
      </c>
      <c r="N78" s="79">
        <v>1</v>
      </c>
      <c r="O78" s="79">
        <v>1</v>
      </c>
      <c r="P78" s="79">
        <v>1</v>
      </c>
      <c r="Q78" s="79">
        <v>1</v>
      </c>
      <c r="R78" s="79">
        <v>1</v>
      </c>
      <c r="S78" s="79">
        <v>1</v>
      </c>
      <c r="T78" s="79">
        <v>1</v>
      </c>
      <c r="U78" s="79">
        <v>1</v>
      </c>
      <c r="V78" s="177">
        <v>1</v>
      </c>
      <c r="W78" s="126"/>
      <c r="X78" s="126"/>
      <c r="Y78" s="126"/>
      <c r="Z78" s="126"/>
      <c r="AA78" s="126"/>
      <c r="AB78" s="126"/>
    </row>
    <row r="79" spans="1:28" ht="13.5" hidden="1" customHeight="1" outlineLevel="1">
      <c r="A79" s="124"/>
      <c r="B79" s="74" t="s">
        <v>120</v>
      </c>
      <c r="C79" s="75">
        <f>' Calculation'!B30</f>
        <v>0.13457776509291119</v>
      </c>
      <c r="D79" s="75">
        <f>VLOOKUP(D60,'Table 1 - Operational Info'!$B$5:$N$24,4,0)</f>
        <v>0.13457776509291119</v>
      </c>
      <c r="E79" s="75">
        <f>VLOOKUP(E60,'Table 1 - Operational Info'!$B$5:$N$24,4,0)</f>
        <v>0.13457776509291119</v>
      </c>
      <c r="F79" s="75">
        <f>VLOOKUP(F60,'Table 1 - Operational Info'!$B$5:$N$24,4,0)</f>
        <v>0.13457776509291119</v>
      </c>
      <c r="G79" s="75">
        <f>VLOOKUP(G60,'Table 1 - Operational Info'!$B$5:$N$24,4,0)</f>
        <v>0.13457776509291119</v>
      </c>
      <c r="H79" s="75">
        <f>VLOOKUP(H60,'Table 1 - Operational Info'!$B$5:$N$24,4,0)</f>
        <v>0.13457776509291119</v>
      </c>
      <c r="I79" s="75">
        <f>VLOOKUP(I60,'Table 1 - Operational Info'!$B$5:$N$24,4,0)</f>
        <v>0.13457776509291119</v>
      </c>
      <c r="J79" s="75">
        <f>VLOOKUP(J60,'Table 1 - Operational Info'!$B$5:$N$24,4,0)</f>
        <v>0.13457776509291119</v>
      </c>
      <c r="K79" s="75">
        <f>VLOOKUP(K60,'Table 1 - Operational Info'!$B$5:$N$24,4,0)</f>
        <v>0.13457776509291119</v>
      </c>
      <c r="L79" s="75">
        <f>VLOOKUP(L60,'Table 1 - Operational Info'!$B$5:$N$24,4,0)</f>
        <v>0.13457776509291119</v>
      </c>
      <c r="M79" s="75">
        <f>VLOOKUP(M60,'Table 1 - Operational Info'!$B$5:$N$24,4,0)</f>
        <v>0.13457776509291119</v>
      </c>
      <c r="N79" s="75">
        <f>VLOOKUP(N60,'Table 1 - Operational Info'!$B$5:$N$24,4,0)</f>
        <v>0.13457776509291119</v>
      </c>
      <c r="O79" s="75">
        <f>VLOOKUP(O60,'Table 1 - Operational Info'!$B$5:$N$24,4,0)</f>
        <v>0.13457776509291119</v>
      </c>
      <c r="P79" s="75">
        <f>VLOOKUP(P60,'Table 1 - Operational Info'!$B$5:$N$24,4,0)</f>
        <v>0.13457776509291119</v>
      </c>
      <c r="Q79" s="75">
        <f>VLOOKUP(Q60,'Table 1 - Operational Info'!$B$5:$N$24,4,0)</f>
        <v>0.13457776509291119</v>
      </c>
      <c r="R79" s="75">
        <f>VLOOKUP(R60,'Table 1 - Operational Info'!$B$5:$N$24,4,0)</f>
        <v>0.13457776509291119</v>
      </c>
      <c r="S79" s="75">
        <f>VLOOKUP(S60,'Table 1 - Operational Info'!$B$5:$N$24,4,0)</f>
        <v>0.13457776509291119</v>
      </c>
      <c r="T79" s="75">
        <f>VLOOKUP(T60,'Table 1 - Operational Info'!$B$5:$N$24,4,0)</f>
        <v>0.13457776509291119</v>
      </c>
      <c r="U79" s="75">
        <f>VLOOKUP(U60,'Table 1 - Operational Info'!$B$5:$N$24,4,0)</f>
        <v>0.13457776509291119</v>
      </c>
      <c r="V79" s="175">
        <f>VLOOKUP(V60,'Table 1 - Operational Info'!$B$5:$N$24,4,0)</f>
        <v>0.13457776509291119</v>
      </c>
      <c r="W79" s="126"/>
      <c r="X79" s="126"/>
      <c r="Y79" s="126"/>
      <c r="Z79" s="126"/>
      <c r="AA79" s="126"/>
      <c r="AB79" s="126"/>
    </row>
    <row r="80" spans="1:28" ht="13.5" hidden="1" customHeight="1" outlineLevel="1">
      <c r="A80" s="124"/>
      <c r="B80" s="74" t="s">
        <v>123</v>
      </c>
      <c r="C80" s="75">
        <f>' Calculation'!B31</f>
        <v>0.76465764657646573</v>
      </c>
      <c r="D80" s="75">
        <f>IF(D73="Electricity",((VLOOKUP(D60,'Table 1 - Operational Info'!$B$5:$N$24,4,0))),IF(D73="Steam",((VLOOKUP(D60,'Table 1 - Operational Info'!$B$5:$N$24,11,0))),((VLOOKUP(D60,'Table 1 - Operational Info'!$B$5:$N$24,10,0)))))</f>
        <v>0.76465764657646573</v>
      </c>
      <c r="E80" s="75">
        <f>IF(E73="Electricity",((VLOOKUP(E60,'Table 1 - Operational Info'!$B$5:$N$24,4,0))),IF(E73="Steam",((VLOOKUP(E60,'Table 1 - Operational Info'!$B$5:$N$24,11,0))),((VLOOKUP(E60,'Table 1 - Operational Info'!$B$5:$N$24,10,0)))))</f>
        <v>0.76465764657646573</v>
      </c>
      <c r="F80" s="75">
        <f>IF(F73="Electricity",((VLOOKUP(F60,'Table 1 - Operational Info'!$B$5:$N$24,4,0))),IF(F73="Steam",((VLOOKUP(F60,'Table 1 - Operational Info'!$B$5:$N$24,11,0))),((VLOOKUP(F60,'Table 1 - Operational Info'!$B$5:$N$24,10,0)))))</f>
        <v>0.76465764657646573</v>
      </c>
      <c r="G80" s="75">
        <f>IF(G73="Electricity",((VLOOKUP(G60,'Table 1 - Operational Info'!$B$5:$N$24,4,0))),IF(G73="Steam",((VLOOKUP(G60,'Table 1 - Operational Info'!$B$5:$N$24,11,0))),((VLOOKUP(G60,'Table 1 - Operational Info'!$B$5:$N$24,10,0)))))</f>
        <v>0.76465764657646573</v>
      </c>
      <c r="H80" s="75">
        <f>IF(H73="Electricity",((VLOOKUP(H60,'Table 1 - Operational Info'!$B$5:$N$24,4,0))),IF(H73="Steam",((VLOOKUP(H60,'Table 1 - Operational Info'!$B$5:$N$24,11,0))),((VLOOKUP(H60,'Table 1 - Operational Info'!$B$5:$N$24,10,0)))))</f>
        <v>0.76465764657646573</v>
      </c>
      <c r="I80" s="75">
        <f>IF(I73="Electricity",((VLOOKUP(I60,'Table 1 - Operational Info'!$B$5:$N$24,4,0))),IF(I73="Steam",((VLOOKUP(I60,'Table 1 - Operational Info'!$B$5:$N$24,11,0))),((VLOOKUP(I60,'Table 1 - Operational Info'!$B$5:$N$24,10,0)))))</f>
        <v>0.76465764657646573</v>
      </c>
      <c r="J80" s="75">
        <f>IF(J73="Electricity",((VLOOKUP(J60,'Table 1 - Operational Info'!$B$5:$N$24,4,0))),IF(J73="Steam",((VLOOKUP(J60,'Table 1 - Operational Info'!$B$5:$N$24,11,0))),((VLOOKUP(J60,'Table 1 - Operational Info'!$B$5:$N$24,10,0)))))</f>
        <v>0.76465764657646573</v>
      </c>
      <c r="K80" s="75">
        <f>IF(K73="Electricity",((VLOOKUP(K60,'Table 1 - Operational Info'!$B$5:$N$24,4,0))),IF(K73="Steam",((VLOOKUP(K60,'Table 1 - Operational Info'!$B$5:$N$24,11,0))),((VLOOKUP(K60,'Table 1 - Operational Info'!$B$5:$N$24,10,0)))))</f>
        <v>0.76465764657646573</v>
      </c>
      <c r="L80" s="75">
        <f>IF(L73="Electricity",((VLOOKUP(L60,'Table 1 - Operational Info'!$B$5:$N$24,4,0))),IF(L73="Steam",((VLOOKUP(L60,'Table 1 - Operational Info'!$B$5:$N$24,11,0))),((VLOOKUP(L60,'Table 1 - Operational Info'!$B$5:$N$24,10,0)))))</f>
        <v>0.76465764657646573</v>
      </c>
      <c r="M80" s="75">
        <f>IF(M73="Electricity",((VLOOKUP(M60,'Table 1 - Operational Info'!$B$5:$N$24,4,0))),IF(M73="Steam",((VLOOKUP(M60,'Table 1 - Operational Info'!$B$5:$N$24,11,0))),((VLOOKUP(M60,'Table 1 - Operational Info'!$B$5:$N$24,10,0)))))</f>
        <v>0.76465764657646573</v>
      </c>
      <c r="N80" s="75">
        <f>IF(N73="Electricity",((VLOOKUP(N60,'Table 1 - Operational Info'!$B$5:$N$24,4,0))),IF(N73="Steam",((VLOOKUP(N60,'Table 1 - Operational Info'!$B$5:$N$24,11,0))),((VLOOKUP(N60,'Table 1 - Operational Info'!$B$5:$N$24,10,0)))))</f>
        <v>0.76465764657646573</v>
      </c>
      <c r="O80" s="75">
        <f>IF(O73="Electricity",((VLOOKUP(O60,'Table 1 - Operational Info'!$B$5:$N$24,4,0))),IF(O73="Steam",((VLOOKUP(O60,'Table 1 - Operational Info'!$B$5:$N$24,11,0))),((VLOOKUP(O60,'Table 1 - Operational Info'!$B$5:$N$24,10,0)))))</f>
        <v>0.76465764657646573</v>
      </c>
      <c r="P80" s="75">
        <f>IF(P73="Electricity",((VLOOKUP(P60,'Table 1 - Operational Info'!$B$5:$N$24,4,0))),IF(P73="Steam",((VLOOKUP(P60,'Table 1 - Operational Info'!$B$5:$N$24,11,0))),((VLOOKUP(P60,'Table 1 - Operational Info'!$B$5:$N$24,10,0)))))</f>
        <v>0.76465764657646573</v>
      </c>
      <c r="Q80" s="75">
        <f>IF(Q73="Electricity",((VLOOKUP(Q60,'Table 1 - Operational Info'!$B$5:$N$24,4,0))),IF(Q73="Steam",((VLOOKUP(Q60,'Table 1 - Operational Info'!$B$5:$N$24,11,0))),((VLOOKUP(Q60,'Table 1 - Operational Info'!$B$5:$N$24,10,0)))))</f>
        <v>0.76465764657646573</v>
      </c>
      <c r="R80" s="75">
        <f>IF(R73="Electricity",((VLOOKUP(R60,'Table 1 - Operational Info'!$B$5:$N$24,4,0))),IF(R73="Steam",((VLOOKUP(R60,'Table 1 - Operational Info'!$B$5:$N$24,11,0))),((VLOOKUP(R60,'Table 1 - Operational Info'!$B$5:$N$24,10,0)))))</f>
        <v>0.76465764657646573</v>
      </c>
      <c r="S80" s="75">
        <f>IF(S73="Electricity",((VLOOKUP(S60,'Table 1 - Operational Info'!$B$5:$N$24,4,0))),IF(S73="Steam",((VLOOKUP(S60,'Table 1 - Operational Info'!$B$5:$N$24,11,0))),((VLOOKUP(S60,'Table 1 - Operational Info'!$B$5:$N$24,10,0)))))</f>
        <v>0.76465764657646573</v>
      </c>
      <c r="T80" s="75">
        <f>IF(T73="Electricity",((VLOOKUP(T60,'Table 1 - Operational Info'!$B$5:$N$24,4,0))),IF(T73="Steam",((VLOOKUP(T60,'Table 1 - Operational Info'!$B$5:$N$24,11,0))),((VLOOKUP(T60,'Table 1 - Operational Info'!$B$5:$N$24,10,0)))))</f>
        <v>0.76465764657646573</v>
      </c>
      <c r="U80" s="75">
        <f>IF(U73="Electricity",((VLOOKUP(U60,'Table 1 - Operational Info'!$B$5:$N$24,4,0))),IF(U73="Steam",((VLOOKUP(U60,'Table 1 - Operational Info'!$B$5:$N$24,11,0))),((VLOOKUP(U60,'Table 1 - Operational Info'!$B$5:$N$24,10,0)))))</f>
        <v>0.76465764657646573</v>
      </c>
      <c r="V80" s="175">
        <f>IF(V73="Electricity",((VLOOKUP(V60,'Table 1 - Operational Info'!$B$5:$N$24,4,0))),IF(V73="Steam",((VLOOKUP(V60,'Table 1 - Operational Info'!$B$5:$N$24,11,0))),((VLOOKUP(V60,'Table 1 - Operational Info'!$B$5:$N$24,10,0)))))</f>
        <v>0.76465764657646573</v>
      </c>
      <c r="W80" s="126"/>
      <c r="X80" s="126"/>
      <c r="Y80" s="126"/>
      <c r="Z80" s="126"/>
      <c r="AA80" s="126"/>
      <c r="AB80" s="126"/>
    </row>
    <row r="81" spans="1:28" ht="13.5" hidden="1" customHeight="1" outlineLevel="1">
      <c r="A81" s="124"/>
      <c r="B81" s="12"/>
      <c r="C81" s="68"/>
      <c r="D81" s="68"/>
      <c r="E81" s="68"/>
      <c r="F81" s="68"/>
      <c r="G81" s="68"/>
      <c r="H81" s="68"/>
      <c r="I81" s="68"/>
      <c r="J81" s="68"/>
      <c r="K81" s="68"/>
      <c r="L81" s="68"/>
      <c r="M81" s="68"/>
      <c r="N81" s="68"/>
      <c r="O81" s="68"/>
      <c r="P81" s="68"/>
      <c r="Q81" s="68"/>
      <c r="R81" s="68"/>
      <c r="S81" s="68"/>
      <c r="T81" s="68"/>
      <c r="U81" s="68"/>
      <c r="V81" s="182"/>
      <c r="W81" s="126"/>
      <c r="X81" s="126"/>
      <c r="Y81" s="126"/>
      <c r="Z81" s="126"/>
      <c r="AA81" s="126"/>
      <c r="AB81" s="126"/>
    </row>
    <row r="82" spans="1:28" ht="13.5" hidden="1" customHeight="1" outlineLevel="1">
      <c r="A82" s="124"/>
      <c r="B82" s="29" t="s">
        <v>124</v>
      </c>
      <c r="C82" s="71"/>
      <c r="D82" s="71"/>
      <c r="E82" s="71"/>
      <c r="F82" s="71"/>
      <c r="G82" s="71"/>
      <c r="H82" s="71"/>
      <c r="I82" s="71"/>
      <c r="J82" s="71"/>
      <c r="K82" s="71"/>
      <c r="L82" s="71"/>
      <c r="M82" s="71"/>
      <c r="N82" s="71"/>
      <c r="O82" s="71"/>
      <c r="P82" s="71"/>
      <c r="Q82" s="71"/>
      <c r="R82" s="71"/>
      <c r="S82" s="71"/>
      <c r="T82" s="71"/>
      <c r="U82" s="71"/>
      <c r="V82" s="174"/>
      <c r="W82" s="126"/>
      <c r="X82" s="126"/>
      <c r="Y82" s="126"/>
      <c r="Z82" s="126"/>
      <c r="AA82" s="126"/>
      <c r="AB82" s="126"/>
    </row>
    <row r="83" spans="1:28" ht="13.5" hidden="1" customHeight="1" outlineLevel="1">
      <c r="A83" s="124"/>
      <c r="B83" s="74" t="s">
        <v>125</v>
      </c>
      <c r="C83" s="75" t="str">
        <f>' Calculation'!B34</f>
        <v>No</v>
      </c>
      <c r="D83" s="75" t="str">
        <f t="shared" ref="D83:V83" si="32">C83</f>
        <v>No</v>
      </c>
      <c r="E83" s="75" t="str">
        <f t="shared" si="32"/>
        <v>No</v>
      </c>
      <c r="F83" s="75" t="str">
        <f t="shared" si="32"/>
        <v>No</v>
      </c>
      <c r="G83" s="75" t="str">
        <f t="shared" si="32"/>
        <v>No</v>
      </c>
      <c r="H83" s="75" t="str">
        <f t="shared" si="32"/>
        <v>No</v>
      </c>
      <c r="I83" s="75" t="str">
        <f t="shared" si="32"/>
        <v>No</v>
      </c>
      <c r="J83" s="75" t="str">
        <f t="shared" si="32"/>
        <v>No</v>
      </c>
      <c r="K83" s="75" t="str">
        <f t="shared" si="32"/>
        <v>No</v>
      </c>
      <c r="L83" s="75" t="str">
        <f t="shared" si="32"/>
        <v>No</v>
      </c>
      <c r="M83" s="75" t="str">
        <f t="shared" si="32"/>
        <v>No</v>
      </c>
      <c r="N83" s="75" t="str">
        <f t="shared" si="32"/>
        <v>No</v>
      </c>
      <c r="O83" s="75" t="str">
        <f t="shared" si="32"/>
        <v>No</v>
      </c>
      <c r="P83" s="75" t="str">
        <f t="shared" si="32"/>
        <v>No</v>
      </c>
      <c r="Q83" s="75" t="str">
        <f t="shared" si="32"/>
        <v>No</v>
      </c>
      <c r="R83" s="75" t="str">
        <f t="shared" si="32"/>
        <v>No</v>
      </c>
      <c r="S83" s="75" t="str">
        <f t="shared" si="32"/>
        <v>No</v>
      </c>
      <c r="T83" s="75" t="str">
        <f t="shared" si="32"/>
        <v>No</v>
      </c>
      <c r="U83" s="75" t="str">
        <f t="shared" si="32"/>
        <v>No</v>
      </c>
      <c r="V83" s="175" t="str">
        <f t="shared" si="32"/>
        <v>No</v>
      </c>
      <c r="W83" s="126"/>
      <c r="X83" s="126"/>
      <c r="Y83" s="126"/>
      <c r="Z83" s="126"/>
      <c r="AA83" s="126"/>
      <c r="AB83" s="126"/>
    </row>
    <row r="84" spans="1:28" ht="13.5" hidden="1" customHeight="1" outlineLevel="1">
      <c r="A84" s="124"/>
      <c r="B84" s="74" t="s">
        <v>127</v>
      </c>
      <c r="C84" s="75">
        <f>' Calculation'!B35</f>
        <v>0</v>
      </c>
      <c r="D84" s="75">
        <f t="shared" ref="D84:V84" si="33">C84</f>
        <v>0</v>
      </c>
      <c r="E84" s="75">
        <f t="shared" si="33"/>
        <v>0</v>
      </c>
      <c r="F84" s="75">
        <f t="shared" si="33"/>
        <v>0</v>
      </c>
      <c r="G84" s="75">
        <f t="shared" si="33"/>
        <v>0</v>
      </c>
      <c r="H84" s="75">
        <f t="shared" si="33"/>
        <v>0</v>
      </c>
      <c r="I84" s="75">
        <f t="shared" si="33"/>
        <v>0</v>
      </c>
      <c r="J84" s="75">
        <f t="shared" si="33"/>
        <v>0</v>
      </c>
      <c r="K84" s="75">
        <f t="shared" si="33"/>
        <v>0</v>
      </c>
      <c r="L84" s="75">
        <f t="shared" si="33"/>
        <v>0</v>
      </c>
      <c r="M84" s="75">
        <f t="shared" si="33"/>
        <v>0</v>
      </c>
      <c r="N84" s="75">
        <f t="shared" si="33"/>
        <v>0</v>
      </c>
      <c r="O84" s="75">
        <f t="shared" si="33"/>
        <v>0</v>
      </c>
      <c r="P84" s="75">
        <f t="shared" si="33"/>
        <v>0</v>
      </c>
      <c r="Q84" s="75">
        <f t="shared" si="33"/>
        <v>0</v>
      </c>
      <c r="R84" s="75">
        <f t="shared" si="33"/>
        <v>0</v>
      </c>
      <c r="S84" s="75">
        <f t="shared" si="33"/>
        <v>0</v>
      </c>
      <c r="T84" s="75">
        <f t="shared" si="33"/>
        <v>0</v>
      </c>
      <c r="U84" s="75">
        <f t="shared" si="33"/>
        <v>0</v>
      </c>
      <c r="V84" s="175">
        <f t="shared" si="33"/>
        <v>0</v>
      </c>
      <c r="W84" s="126"/>
      <c r="X84" s="126"/>
      <c r="Y84" s="126"/>
      <c r="Z84" s="126"/>
      <c r="AA84" s="126"/>
      <c r="AB84" s="126"/>
    </row>
    <row r="85" spans="1:28" ht="13.5" hidden="1" customHeight="1" outlineLevel="1">
      <c r="A85" s="124"/>
      <c r="B85" s="74" t="s">
        <v>129</v>
      </c>
      <c r="C85" s="75">
        <f>' Calculation'!B36</f>
        <v>0</v>
      </c>
      <c r="D85" s="75">
        <f t="shared" ref="D85:V85" si="34">C85</f>
        <v>0</v>
      </c>
      <c r="E85" s="75">
        <f t="shared" si="34"/>
        <v>0</v>
      </c>
      <c r="F85" s="75">
        <f t="shared" si="34"/>
        <v>0</v>
      </c>
      <c r="G85" s="75">
        <f t="shared" si="34"/>
        <v>0</v>
      </c>
      <c r="H85" s="75">
        <f t="shared" si="34"/>
        <v>0</v>
      </c>
      <c r="I85" s="75">
        <f t="shared" si="34"/>
        <v>0</v>
      </c>
      <c r="J85" s="75">
        <f t="shared" si="34"/>
        <v>0</v>
      </c>
      <c r="K85" s="75">
        <f t="shared" si="34"/>
        <v>0</v>
      </c>
      <c r="L85" s="75">
        <f t="shared" si="34"/>
        <v>0</v>
      </c>
      <c r="M85" s="75">
        <f t="shared" si="34"/>
        <v>0</v>
      </c>
      <c r="N85" s="75">
        <f t="shared" si="34"/>
        <v>0</v>
      </c>
      <c r="O85" s="75">
        <f t="shared" si="34"/>
        <v>0</v>
      </c>
      <c r="P85" s="75">
        <f t="shared" si="34"/>
        <v>0</v>
      </c>
      <c r="Q85" s="75">
        <f t="shared" si="34"/>
        <v>0</v>
      </c>
      <c r="R85" s="75">
        <f t="shared" si="34"/>
        <v>0</v>
      </c>
      <c r="S85" s="75">
        <f t="shared" si="34"/>
        <v>0</v>
      </c>
      <c r="T85" s="75">
        <f t="shared" si="34"/>
        <v>0</v>
      </c>
      <c r="U85" s="75">
        <f t="shared" si="34"/>
        <v>0</v>
      </c>
      <c r="V85" s="175">
        <f t="shared" si="34"/>
        <v>0</v>
      </c>
      <c r="W85" s="126"/>
      <c r="X85" s="126"/>
      <c r="Y85" s="126"/>
      <c r="Z85" s="126"/>
      <c r="AA85" s="126"/>
      <c r="AB85" s="126"/>
    </row>
    <row r="86" spans="1:28" ht="13.5" hidden="1" customHeight="1" outlineLevel="1">
      <c r="A86" s="124"/>
      <c r="B86" s="12"/>
      <c r="C86" s="12"/>
      <c r="D86" s="12"/>
      <c r="E86" s="12"/>
      <c r="F86" s="12"/>
      <c r="G86" s="12"/>
      <c r="H86" s="12"/>
      <c r="I86" s="12"/>
      <c r="J86" s="12"/>
      <c r="K86" s="12"/>
      <c r="L86" s="12"/>
      <c r="M86" s="12"/>
      <c r="N86" s="12"/>
      <c r="O86" s="12"/>
      <c r="P86" s="12"/>
      <c r="Q86" s="12"/>
      <c r="R86" s="12"/>
      <c r="S86" s="12"/>
      <c r="T86" s="12"/>
      <c r="U86" s="12"/>
      <c r="V86" s="183"/>
      <c r="W86" s="126"/>
      <c r="X86" s="126"/>
      <c r="Y86" s="126"/>
      <c r="Z86" s="126"/>
      <c r="AA86" s="126"/>
      <c r="AB86" s="126"/>
    </row>
    <row r="87" spans="1:28" ht="13.5" hidden="1" customHeight="1" outlineLevel="1">
      <c r="A87" s="124"/>
      <c r="B87" s="29" t="s">
        <v>130</v>
      </c>
      <c r="C87" s="71"/>
      <c r="D87" s="71"/>
      <c r="E87" s="71"/>
      <c r="F87" s="71"/>
      <c r="G87" s="71"/>
      <c r="H87" s="71"/>
      <c r="I87" s="71"/>
      <c r="J87" s="71"/>
      <c r="K87" s="71"/>
      <c r="L87" s="71"/>
      <c r="M87" s="71"/>
      <c r="N87" s="71"/>
      <c r="O87" s="71"/>
      <c r="P87" s="71"/>
      <c r="Q87" s="71"/>
      <c r="R87" s="71"/>
      <c r="S87" s="71"/>
      <c r="T87" s="71"/>
      <c r="U87" s="71"/>
      <c r="V87" s="174"/>
      <c r="W87" s="126"/>
      <c r="X87" s="126"/>
      <c r="Y87" s="126"/>
      <c r="Z87" s="126"/>
      <c r="AA87" s="126"/>
      <c r="AB87" s="126"/>
    </row>
    <row r="88" spans="1:28" ht="13.5" hidden="1" customHeight="1" outlineLevel="1">
      <c r="A88" s="124"/>
      <c r="B88" s="74" t="s">
        <v>131</v>
      </c>
      <c r="C88" s="75" t="str">
        <f>' Calculation'!B39</f>
        <v>Yes</v>
      </c>
      <c r="D88" s="75" t="s">
        <v>132</v>
      </c>
      <c r="E88" s="75" t="s">
        <v>132</v>
      </c>
      <c r="F88" s="75" t="s">
        <v>132</v>
      </c>
      <c r="G88" s="75" t="str">
        <f>C88</f>
        <v>Yes</v>
      </c>
      <c r="H88" s="75" t="s">
        <v>132</v>
      </c>
      <c r="I88" s="75" t="s">
        <v>132</v>
      </c>
      <c r="J88" s="75" t="s">
        <v>132</v>
      </c>
      <c r="K88" s="75" t="str">
        <f>C88</f>
        <v>Yes</v>
      </c>
      <c r="L88" s="75" t="s">
        <v>132</v>
      </c>
      <c r="M88" s="75" t="s">
        <v>132</v>
      </c>
      <c r="N88" s="75" t="s">
        <v>132</v>
      </c>
      <c r="O88" s="75" t="str">
        <f>C88</f>
        <v>Yes</v>
      </c>
      <c r="P88" s="75" t="s">
        <v>132</v>
      </c>
      <c r="Q88" s="75" t="s">
        <v>132</v>
      </c>
      <c r="R88" s="75" t="s">
        <v>132</v>
      </c>
      <c r="S88" s="75" t="str">
        <f>C88</f>
        <v>Yes</v>
      </c>
      <c r="T88" s="75" t="s">
        <v>132</v>
      </c>
      <c r="U88" s="75" t="s">
        <v>132</v>
      </c>
      <c r="V88" s="75" t="s">
        <v>132</v>
      </c>
      <c r="W88" s="126"/>
      <c r="X88" s="126"/>
      <c r="Y88" s="126"/>
      <c r="Z88" s="126"/>
      <c r="AA88" s="126"/>
      <c r="AB88" s="126"/>
    </row>
    <row r="89" spans="1:28" ht="13.5" hidden="1" customHeight="1" outlineLevel="1">
      <c r="A89" s="124"/>
      <c r="B89" s="74" t="s">
        <v>133</v>
      </c>
      <c r="C89" s="75" t="str">
        <f>' Calculation'!B40</f>
        <v>MERV 16</v>
      </c>
      <c r="D89" s="75" t="str">
        <f t="shared" ref="D89:G89" si="35">C18</f>
        <v>MERV 7</v>
      </c>
      <c r="E89" s="75" t="str">
        <f t="shared" si="35"/>
        <v>MERV 11</v>
      </c>
      <c r="F89" s="75" t="str">
        <f t="shared" si="35"/>
        <v>MERV 13</v>
      </c>
      <c r="G89" s="75" t="str">
        <f t="shared" si="35"/>
        <v>MERV 16</v>
      </c>
      <c r="H89" s="75" t="str">
        <f t="shared" ref="H89:K89" si="36">C18</f>
        <v>MERV 7</v>
      </c>
      <c r="I89" s="75" t="str">
        <f t="shared" si="36"/>
        <v>MERV 11</v>
      </c>
      <c r="J89" s="75" t="str">
        <f t="shared" si="36"/>
        <v>MERV 13</v>
      </c>
      <c r="K89" s="75" t="str">
        <f t="shared" si="36"/>
        <v>MERV 16</v>
      </c>
      <c r="L89" s="75" t="str">
        <f t="shared" ref="L89:O89" si="37">C18</f>
        <v>MERV 7</v>
      </c>
      <c r="M89" s="75" t="str">
        <f t="shared" si="37"/>
        <v>MERV 11</v>
      </c>
      <c r="N89" s="75" t="str">
        <f t="shared" si="37"/>
        <v>MERV 13</v>
      </c>
      <c r="O89" s="75" t="str">
        <f t="shared" si="37"/>
        <v>MERV 16</v>
      </c>
      <c r="P89" s="75" t="str">
        <f t="shared" ref="P89:S89" si="38">C18</f>
        <v>MERV 7</v>
      </c>
      <c r="Q89" s="75" t="str">
        <f t="shared" si="38"/>
        <v>MERV 11</v>
      </c>
      <c r="R89" s="75" t="str">
        <f t="shared" si="38"/>
        <v>MERV 13</v>
      </c>
      <c r="S89" s="75" t="str">
        <f t="shared" si="38"/>
        <v>MERV 16</v>
      </c>
      <c r="T89" s="75" t="str">
        <f t="shared" ref="T89:V89" si="39">C18</f>
        <v>MERV 7</v>
      </c>
      <c r="U89" s="75" t="str">
        <f t="shared" si="39"/>
        <v>MERV 11</v>
      </c>
      <c r="V89" s="175" t="str">
        <f t="shared" si="39"/>
        <v>MERV 13</v>
      </c>
      <c r="W89" s="126"/>
      <c r="X89" s="126"/>
      <c r="Y89" s="126"/>
      <c r="Z89" s="126"/>
      <c r="AA89" s="126"/>
      <c r="AB89" s="126"/>
    </row>
    <row r="90" spans="1:28" ht="13.5" hidden="1" customHeight="1" outlineLevel="1">
      <c r="A90" s="124"/>
      <c r="B90" s="62" t="s">
        <v>136</v>
      </c>
      <c r="C90" s="184">
        <f>' Calculation'!B41</f>
        <v>0.63092805000000007</v>
      </c>
      <c r="D90" s="184">
        <f>VLOOKUP(D89,'Table 2 - Filtration Info'!$B$3:$H$11,6,0)</f>
        <v>0.44607015000000005</v>
      </c>
      <c r="E90" s="184">
        <f>VLOOKUP(E89,'Table 2 - Filtration Info'!$B$3:$H$11,6,0)</f>
        <v>0.5666296500000001</v>
      </c>
      <c r="F90" s="184">
        <f>VLOOKUP(F89,'Table 2 - Filtration Info'!$B$3:$H$11,6,0)</f>
        <v>0.57868560000000002</v>
      </c>
      <c r="G90" s="184">
        <f>VLOOKUP(G89,'Table 2 - Filtration Info'!$B$3:$H$11,6,0)</f>
        <v>0.63092805000000007</v>
      </c>
      <c r="H90" s="184">
        <f>VLOOKUP(H89,'Table 2 - Filtration Info'!$B$3:$H$11,6,0)</f>
        <v>0.44607015000000005</v>
      </c>
      <c r="I90" s="184">
        <f>VLOOKUP(I89,'Table 2 - Filtration Info'!$B$3:$H$11,6,0)</f>
        <v>0.5666296500000001</v>
      </c>
      <c r="J90" s="184">
        <f>VLOOKUP(J89,'Table 2 - Filtration Info'!$B$3:$H$11,6,0)</f>
        <v>0.57868560000000002</v>
      </c>
      <c r="K90" s="184">
        <f>VLOOKUP(K89,'Table 2 - Filtration Info'!$B$3:$H$11,6,0)</f>
        <v>0.63092805000000007</v>
      </c>
      <c r="L90" s="184">
        <f>VLOOKUP(L89,'Table 2 - Filtration Info'!$B$3:$H$11,6,0)</f>
        <v>0.44607015000000005</v>
      </c>
      <c r="M90" s="184">
        <f>VLOOKUP(M89,'Table 2 - Filtration Info'!$B$3:$H$11,6,0)</f>
        <v>0.5666296500000001</v>
      </c>
      <c r="N90" s="184">
        <f>VLOOKUP(N89,'Table 2 - Filtration Info'!$B$3:$H$11,6,0)</f>
        <v>0.57868560000000002</v>
      </c>
      <c r="O90" s="184">
        <f>VLOOKUP(O89,'Table 2 - Filtration Info'!$B$3:$H$11,6,0)</f>
        <v>0.63092805000000007</v>
      </c>
      <c r="P90" s="184">
        <f>VLOOKUP(P89,'Table 2 - Filtration Info'!$B$3:$H$11,6,0)</f>
        <v>0.44607015000000005</v>
      </c>
      <c r="Q90" s="184">
        <f>VLOOKUP(Q89,'Table 2 - Filtration Info'!$B$3:$H$11,6,0)</f>
        <v>0.5666296500000001</v>
      </c>
      <c r="R90" s="184">
        <f>VLOOKUP(R89,'Table 2 - Filtration Info'!$B$3:$H$11,6,0)</f>
        <v>0.57868560000000002</v>
      </c>
      <c r="S90" s="184">
        <f>VLOOKUP(S89,'Table 2 - Filtration Info'!$B$3:$H$11,6,0)</f>
        <v>0.63092805000000007</v>
      </c>
      <c r="T90" s="184">
        <f>VLOOKUP(T89,'Table 2 - Filtration Info'!$B$3:$H$11,6,0)</f>
        <v>0.44607015000000005</v>
      </c>
      <c r="U90" s="184">
        <f>VLOOKUP(U89,'Table 2 - Filtration Info'!$B$3:$H$11,6,0)</f>
        <v>0.5666296500000001</v>
      </c>
      <c r="V90" s="184">
        <f>VLOOKUP(V89,'Table 2 - Filtration Info'!$B$3:$H$11,6,0)</f>
        <v>0.57868560000000002</v>
      </c>
      <c r="W90" s="126"/>
      <c r="X90" s="126"/>
      <c r="Y90" s="126"/>
      <c r="Z90" s="126"/>
      <c r="AA90" s="126"/>
      <c r="AB90" s="126"/>
    </row>
    <row r="91" spans="1:28" ht="13.5" hidden="1" customHeight="1" outlineLevel="1">
      <c r="A91" s="124"/>
      <c r="B91" s="62" t="s">
        <v>139</v>
      </c>
      <c r="C91" s="89">
        <f>' Calculation'!B42</f>
        <v>0.85</v>
      </c>
      <c r="D91" s="89">
        <v>0.85</v>
      </c>
      <c r="E91" s="89">
        <v>0.85</v>
      </c>
      <c r="F91" s="89">
        <v>0.85</v>
      </c>
      <c r="G91" s="89">
        <v>0.85</v>
      </c>
      <c r="H91" s="89">
        <v>0.85</v>
      </c>
      <c r="I91" s="89">
        <v>0.85</v>
      </c>
      <c r="J91" s="89">
        <v>0.85</v>
      </c>
      <c r="K91" s="89">
        <v>0.85</v>
      </c>
      <c r="L91" s="89">
        <v>0.85</v>
      </c>
      <c r="M91" s="89">
        <v>0.85</v>
      </c>
      <c r="N91" s="89">
        <v>0.85</v>
      </c>
      <c r="O91" s="89">
        <v>0.85</v>
      </c>
      <c r="P91" s="89">
        <v>0.85</v>
      </c>
      <c r="Q91" s="89">
        <v>0.85</v>
      </c>
      <c r="R91" s="89">
        <v>0.85</v>
      </c>
      <c r="S91" s="89">
        <v>0.85</v>
      </c>
      <c r="T91" s="89">
        <v>0.85</v>
      </c>
      <c r="U91" s="89">
        <v>0.85</v>
      </c>
      <c r="V91" s="185">
        <v>0.85</v>
      </c>
      <c r="W91" s="126"/>
      <c r="X91" s="126"/>
      <c r="Y91" s="126"/>
      <c r="Z91" s="126"/>
      <c r="AA91" s="126"/>
      <c r="AB91" s="126"/>
    </row>
    <row r="92" spans="1:28" ht="13.5" hidden="1" customHeight="1" outlineLevel="1">
      <c r="A92" s="124"/>
      <c r="B92" s="62" t="s">
        <v>140</v>
      </c>
      <c r="C92" s="89">
        <f>' Calculation'!B43</f>
        <v>0.85</v>
      </c>
      <c r="D92" s="89">
        <v>0.85</v>
      </c>
      <c r="E92" s="89">
        <v>0.85</v>
      </c>
      <c r="F92" s="89">
        <v>0.85</v>
      </c>
      <c r="G92" s="89">
        <v>0.85</v>
      </c>
      <c r="H92" s="89">
        <v>0.85</v>
      </c>
      <c r="I92" s="89">
        <v>0.85</v>
      </c>
      <c r="J92" s="89">
        <v>0.85</v>
      </c>
      <c r="K92" s="89">
        <v>0.85</v>
      </c>
      <c r="L92" s="89">
        <v>0.85</v>
      </c>
      <c r="M92" s="89">
        <v>0.85</v>
      </c>
      <c r="N92" s="89">
        <v>0.85</v>
      </c>
      <c r="O92" s="89">
        <v>0.85</v>
      </c>
      <c r="P92" s="89">
        <v>0.85</v>
      </c>
      <c r="Q92" s="89">
        <v>0.85</v>
      </c>
      <c r="R92" s="89">
        <v>0.85</v>
      </c>
      <c r="S92" s="89">
        <v>0.85</v>
      </c>
      <c r="T92" s="89">
        <v>0.85</v>
      </c>
      <c r="U92" s="89">
        <v>0.85</v>
      </c>
      <c r="V92" s="185">
        <v>0.85</v>
      </c>
      <c r="W92" s="126"/>
      <c r="X92" s="126"/>
      <c r="Y92" s="126"/>
      <c r="Z92" s="126"/>
      <c r="AA92" s="126"/>
      <c r="AB92" s="126"/>
    </row>
    <row r="93" spans="1:28" ht="13.5" hidden="1" customHeight="1" outlineLevel="1">
      <c r="A93" s="124"/>
      <c r="B93" s="62" t="s">
        <v>141</v>
      </c>
      <c r="C93" s="90">
        <f>' Calculation'!B44</f>
        <v>500</v>
      </c>
      <c r="D93" s="90">
        <f t="shared" ref="D93:V93" si="40">C93</f>
        <v>500</v>
      </c>
      <c r="E93" s="90">
        <f t="shared" si="40"/>
        <v>500</v>
      </c>
      <c r="F93" s="90">
        <f t="shared" si="40"/>
        <v>500</v>
      </c>
      <c r="G93" s="90">
        <f t="shared" si="40"/>
        <v>500</v>
      </c>
      <c r="H93" s="90">
        <f t="shared" si="40"/>
        <v>500</v>
      </c>
      <c r="I93" s="90">
        <f t="shared" si="40"/>
        <v>500</v>
      </c>
      <c r="J93" s="90">
        <f t="shared" si="40"/>
        <v>500</v>
      </c>
      <c r="K93" s="90">
        <f t="shared" si="40"/>
        <v>500</v>
      </c>
      <c r="L93" s="90">
        <f t="shared" si="40"/>
        <v>500</v>
      </c>
      <c r="M93" s="90">
        <f t="shared" si="40"/>
        <v>500</v>
      </c>
      <c r="N93" s="90">
        <f t="shared" si="40"/>
        <v>500</v>
      </c>
      <c r="O93" s="90">
        <f t="shared" si="40"/>
        <v>500</v>
      </c>
      <c r="P93" s="90">
        <f t="shared" si="40"/>
        <v>500</v>
      </c>
      <c r="Q93" s="90">
        <f t="shared" si="40"/>
        <v>500</v>
      </c>
      <c r="R93" s="90">
        <f t="shared" si="40"/>
        <v>500</v>
      </c>
      <c r="S93" s="90">
        <f t="shared" si="40"/>
        <v>500</v>
      </c>
      <c r="T93" s="90">
        <f t="shared" si="40"/>
        <v>500</v>
      </c>
      <c r="U93" s="90">
        <f t="shared" si="40"/>
        <v>500</v>
      </c>
      <c r="V93" s="186">
        <f t="shared" si="40"/>
        <v>500</v>
      </c>
      <c r="W93" s="126"/>
      <c r="X93" s="126"/>
      <c r="Y93" s="126"/>
      <c r="Z93" s="126"/>
      <c r="AA93" s="126"/>
      <c r="AB93" s="126"/>
    </row>
    <row r="94" spans="1:28" ht="13.5" hidden="1" customHeight="1" outlineLevel="1">
      <c r="A94" s="124"/>
      <c r="B94" s="78" t="s">
        <v>144</v>
      </c>
      <c r="C94" s="91">
        <f>' Calculation'!B45</f>
        <v>12</v>
      </c>
      <c r="D94" s="91">
        <f>VLOOKUP(D89,'Table 2 - Filtration Info'!$B$3:$H$11,7,0)</f>
        <v>3</v>
      </c>
      <c r="E94" s="91">
        <f>VLOOKUP(E89,'Table 2 - Filtration Info'!$B$3:$H$11,7,0)</f>
        <v>4</v>
      </c>
      <c r="F94" s="91">
        <f>VLOOKUP(F89,'Table 2 - Filtration Info'!$B$3:$H$11,7,0)</f>
        <v>4</v>
      </c>
      <c r="G94" s="91">
        <f>VLOOKUP(G89,'Table 2 - Filtration Info'!$B$3:$H$11,7,0)</f>
        <v>12</v>
      </c>
      <c r="H94" s="91">
        <f>VLOOKUP(H89,'Table 2 - Filtration Info'!$B$3:$H$11,7,0)</f>
        <v>3</v>
      </c>
      <c r="I94" s="91">
        <f>VLOOKUP(I89,'Table 2 - Filtration Info'!$B$3:$H$11,7,0)</f>
        <v>4</v>
      </c>
      <c r="J94" s="91">
        <f>VLOOKUP(J89,'Table 2 - Filtration Info'!$B$3:$H$11,7,0)</f>
        <v>4</v>
      </c>
      <c r="K94" s="91">
        <f>VLOOKUP(K89,'Table 2 - Filtration Info'!$B$3:$H$11,7,0)</f>
        <v>12</v>
      </c>
      <c r="L94" s="91">
        <f>VLOOKUP(L89,'Table 2 - Filtration Info'!$B$3:$H$11,7,0)</f>
        <v>3</v>
      </c>
      <c r="M94" s="91">
        <f>VLOOKUP(M89,'Table 2 - Filtration Info'!$B$3:$H$11,7,0)</f>
        <v>4</v>
      </c>
      <c r="N94" s="91">
        <f>VLOOKUP(N89,'Table 2 - Filtration Info'!$B$3:$H$11,7,0)</f>
        <v>4</v>
      </c>
      <c r="O94" s="91">
        <f>VLOOKUP(O89,'Table 2 - Filtration Info'!$B$3:$H$11,7,0)</f>
        <v>12</v>
      </c>
      <c r="P94" s="91">
        <f>VLOOKUP(P89,'Table 2 - Filtration Info'!$B$3:$H$11,7,0)</f>
        <v>3</v>
      </c>
      <c r="Q94" s="91">
        <f>VLOOKUP(Q89,'Table 2 - Filtration Info'!$B$3:$H$11,7,0)</f>
        <v>4</v>
      </c>
      <c r="R94" s="91">
        <f>VLOOKUP(R89,'Table 2 - Filtration Info'!$B$3:$H$11,7,0)</f>
        <v>4</v>
      </c>
      <c r="S94" s="91">
        <f>VLOOKUP(S89,'Table 2 - Filtration Info'!$B$3:$H$11,7,0)</f>
        <v>12</v>
      </c>
      <c r="T94" s="91">
        <f>VLOOKUP(T89,'Table 2 - Filtration Info'!$B$3:$H$11,7,0)</f>
        <v>3</v>
      </c>
      <c r="U94" s="91">
        <f>VLOOKUP(U89,'Table 2 - Filtration Info'!$B$3:$H$11,7,0)</f>
        <v>4</v>
      </c>
      <c r="V94" s="187">
        <f>VLOOKUP(V89,'Table 2 - Filtration Info'!$B$3:$H$11,7,0)</f>
        <v>4</v>
      </c>
      <c r="W94" s="126"/>
      <c r="X94" s="126"/>
      <c r="Y94" s="126"/>
      <c r="Z94" s="126"/>
      <c r="AA94" s="126"/>
      <c r="AB94" s="126"/>
    </row>
    <row r="95" spans="1:28" ht="13.5" hidden="1" customHeight="1" outlineLevel="1">
      <c r="A95" s="124"/>
      <c r="B95" s="78" t="s">
        <v>146</v>
      </c>
      <c r="C95" s="91">
        <f>' Calculation'!B46</f>
        <v>5</v>
      </c>
      <c r="D95" s="91">
        <f t="shared" ref="D95:V95" si="41">C95</f>
        <v>5</v>
      </c>
      <c r="E95" s="91">
        <f t="shared" si="41"/>
        <v>5</v>
      </c>
      <c r="F95" s="91">
        <f t="shared" si="41"/>
        <v>5</v>
      </c>
      <c r="G95" s="91">
        <f t="shared" si="41"/>
        <v>5</v>
      </c>
      <c r="H95" s="91">
        <f t="shared" si="41"/>
        <v>5</v>
      </c>
      <c r="I95" s="91">
        <f t="shared" si="41"/>
        <v>5</v>
      </c>
      <c r="J95" s="91">
        <f t="shared" si="41"/>
        <v>5</v>
      </c>
      <c r="K95" s="91">
        <f t="shared" si="41"/>
        <v>5</v>
      </c>
      <c r="L95" s="91">
        <f t="shared" si="41"/>
        <v>5</v>
      </c>
      <c r="M95" s="91">
        <f t="shared" si="41"/>
        <v>5</v>
      </c>
      <c r="N95" s="91">
        <f t="shared" si="41"/>
        <v>5</v>
      </c>
      <c r="O95" s="91">
        <f t="shared" si="41"/>
        <v>5</v>
      </c>
      <c r="P95" s="91">
        <f t="shared" si="41"/>
        <v>5</v>
      </c>
      <c r="Q95" s="91">
        <f t="shared" si="41"/>
        <v>5</v>
      </c>
      <c r="R95" s="91">
        <f t="shared" si="41"/>
        <v>5</v>
      </c>
      <c r="S95" s="91">
        <f t="shared" si="41"/>
        <v>5</v>
      </c>
      <c r="T95" s="91">
        <f t="shared" si="41"/>
        <v>5</v>
      </c>
      <c r="U95" s="91">
        <f t="shared" si="41"/>
        <v>5</v>
      </c>
      <c r="V95" s="187">
        <f t="shared" si="41"/>
        <v>5</v>
      </c>
      <c r="W95" s="126"/>
      <c r="X95" s="126"/>
      <c r="Y95" s="126"/>
      <c r="Z95" s="126"/>
      <c r="AA95" s="126"/>
      <c r="AB95" s="126"/>
    </row>
    <row r="96" spans="1:28" ht="13.5" hidden="1" customHeight="1" outlineLevel="1">
      <c r="A96" s="124"/>
      <c r="B96" s="62" t="s">
        <v>149</v>
      </c>
      <c r="C96" s="79">
        <f>' Calculation'!B47</f>
        <v>3.915151515151515</v>
      </c>
      <c r="D96" s="79">
        <f>(((D65-D68)/(D62*D63))*60)*VLOOKUP(D89,'Table 2 - Filtration Info'!$B$3:$I$11,8,0)</f>
        <v>0</v>
      </c>
      <c r="E96" s="79">
        <f>(((E65-E68)/(E62*E63))*60)*VLOOKUP(E89,'Table 2 - Filtration Info'!$B$3:$I$11,8,0)</f>
        <v>0</v>
      </c>
      <c r="F96" s="79">
        <f>(((F65-F68)/(F62*F63))*60)*VLOOKUP(F89,'Table 2 - Filtration Info'!$B$3:$I$11,8,0)</f>
        <v>0</v>
      </c>
      <c r="G96" s="79">
        <f>(((G65-G68)/(G62*G63))*60)*VLOOKUP(G89,'Table 2 - Filtration Info'!$B$3:$I$11,8,0)</f>
        <v>0</v>
      </c>
      <c r="H96" s="79">
        <f>(((H65-H68)/(H62*H63))*60)*VLOOKUP(H89,'Table 2 - Filtration Info'!$B$3:$I$11,8,0)</f>
        <v>2.498844444444444</v>
      </c>
      <c r="I96" s="79">
        <f>(((I65-I68)/(I62*I63))*60)*VLOOKUP(I89,'Table 2 - Filtration Info'!$B$3:$I$11,8,0)</f>
        <v>4.0890181818181812</v>
      </c>
      <c r="J96" s="79">
        <f>(((J65-J68)/(J62*J63))*60)*VLOOKUP(J89,'Table 2 - Filtration Info'!$B$3:$I$11,8,0)</f>
        <v>4.9408969696969693</v>
      </c>
      <c r="K96" s="79">
        <f>(((K65-K68)/(K62*K63))*60)*VLOOKUP(K89,'Table 2 - Filtration Info'!$B$3:$I$11,8,0)</f>
        <v>5.3952323232323227</v>
      </c>
      <c r="L96" s="79">
        <f>(((L65-L68)/(L62*L63))*60)*VLOOKUP(L89,'Table 2 - Filtration Info'!$B$3:$I$11,8,0)</f>
        <v>2.5991111111111111</v>
      </c>
      <c r="M96" s="79">
        <f>(((M65-M68)/(M62*M63))*60)*VLOOKUP(M89,'Table 2 - Filtration Info'!$B$3:$I$11,8,0)</f>
        <v>4.2530909090909086</v>
      </c>
      <c r="N96" s="79">
        <f>(((N65-N68)/(N62*N63))*60)*VLOOKUP(N89,'Table 2 - Filtration Info'!$B$3:$I$11,8,0)</f>
        <v>5.1391515151515152</v>
      </c>
      <c r="O96" s="79">
        <f>(((O65-O68)/(O62*O63))*60)*VLOOKUP(O89,'Table 2 - Filtration Info'!$B$3:$I$11,8,0)</f>
        <v>5.6117171717171717</v>
      </c>
      <c r="P96" s="79">
        <f>(((P65-P68)/(P62*P63))*60)*VLOOKUP(P89,'Table 2 - Filtration Info'!$B$3:$I$11,8,0)</f>
        <v>2.7866666666666666</v>
      </c>
      <c r="Q96" s="79">
        <f>(((Q65-Q68)/(Q62*Q63))*60)*VLOOKUP(Q89,'Table 2 - Filtration Info'!$B$3:$I$11,8,0)</f>
        <v>4.5599999999999996</v>
      </c>
      <c r="R96" s="79">
        <f>(((R65-R68)/(R62*R63))*60)*VLOOKUP(R89,'Table 2 - Filtration Info'!$B$3:$I$11,8,0)</f>
        <v>5.51</v>
      </c>
      <c r="S96" s="79">
        <f>(((S65-S68)/(S62*S63))*60)*VLOOKUP(S89,'Table 2 - Filtration Info'!$B$3:$I$11,8,0)</f>
        <v>6.0166666666666657</v>
      </c>
      <c r="T96" s="79">
        <f>(((T65-T68)/(T62*T63))*60)*VLOOKUP(T89,'Table 2 - Filtration Info'!$B$3:$I$11,8,0)</f>
        <v>2.5991111111111111</v>
      </c>
      <c r="U96" s="79">
        <f>(((U65-U68)/(U62*U63))*60)*VLOOKUP(U89,'Table 2 - Filtration Info'!$B$3:$I$11,8,0)</f>
        <v>4.2530909090909086</v>
      </c>
      <c r="V96" s="79">
        <f>(((V65-V68)/(V62*V63))*60)*VLOOKUP(V89,'Table 2 - Filtration Info'!$B$3:$I$11,8,0)</f>
        <v>5.1391515151515152</v>
      </c>
      <c r="W96" s="126"/>
      <c r="X96" s="126"/>
      <c r="Y96" s="126"/>
      <c r="Z96" s="126"/>
      <c r="AA96" s="126"/>
      <c r="AB96" s="126"/>
    </row>
    <row r="97" spans="1:28" ht="13.5" hidden="1" customHeight="1" outlineLevel="1">
      <c r="A97" s="124"/>
      <c r="B97" s="12"/>
      <c r="C97" s="68">
        <f>' Calculation'!B48</f>
        <v>0</v>
      </c>
      <c r="D97" s="68"/>
      <c r="E97" s="68"/>
      <c r="F97" s="68"/>
      <c r="G97" s="68"/>
      <c r="H97" s="68"/>
      <c r="I97" s="68"/>
      <c r="J97" s="68"/>
      <c r="K97" s="68"/>
      <c r="L97" s="68"/>
      <c r="M97" s="68"/>
      <c r="N97" s="68"/>
      <c r="O97" s="68"/>
      <c r="P97" s="68"/>
      <c r="Q97" s="68"/>
      <c r="R97" s="68"/>
      <c r="S97" s="68"/>
      <c r="T97" s="68"/>
      <c r="U97" s="68"/>
      <c r="V97" s="68"/>
      <c r="W97" s="126"/>
      <c r="X97" s="126"/>
      <c r="Y97" s="126"/>
      <c r="Z97" s="126"/>
      <c r="AA97" s="126"/>
      <c r="AB97" s="126"/>
    </row>
    <row r="98" spans="1:28" ht="13.5" hidden="1" customHeight="1" outlineLevel="1">
      <c r="A98" s="124"/>
      <c r="B98" s="29" t="s">
        <v>150</v>
      </c>
      <c r="C98" s="71">
        <f>' Calculation'!B49</f>
        <v>0</v>
      </c>
      <c r="D98" s="71"/>
      <c r="E98" s="71"/>
      <c r="F98" s="71"/>
      <c r="G98" s="71"/>
      <c r="H98" s="71"/>
      <c r="I98" s="71"/>
      <c r="J98" s="71"/>
      <c r="K98" s="71"/>
      <c r="L98" s="71"/>
      <c r="M98" s="71"/>
      <c r="N98" s="71"/>
      <c r="O98" s="71"/>
      <c r="P98" s="71"/>
      <c r="Q98" s="71"/>
      <c r="R98" s="71"/>
      <c r="S98" s="71"/>
      <c r="T98" s="71"/>
      <c r="U98" s="71"/>
      <c r="V98" s="71"/>
      <c r="W98" s="126"/>
      <c r="X98" s="126"/>
      <c r="Y98" s="126"/>
      <c r="Z98" s="126"/>
      <c r="AA98" s="126"/>
      <c r="AB98" s="126"/>
    </row>
    <row r="99" spans="1:28" ht="13.5" hidden="1" customHeight="1" outlineLevel="1">
      <c r="A99" s="124"/>
      <c r="B99" s="74" t="s">
        <v>151</v>
      </c>
      <c r="C99" s="75" t="str">
        <f>' Calculation'!B50</f>
        <v>No</v>
      </c>
      <c r="D99" s="75" t="str">
        <f t="shared" ref="D99:D102" si="42">C99</f>
        <v>No</v>
      </c>
      <c r="E99" s="75" t="str">
        <f>C99</f>
        <v>No</v>
      </c>
      <c r="F99" s="75" t="str">
        <f>C99</f>
        <v>No</v>
      </c>
      <c r="G99" s="75" t="str">
        <f>C99</f>
        <v>No</v>
      </c>
      <c r="H99" s="75" t="str">
        <f>C99</f>
        <v>No</v>
      </c>
      <c r="I99" s="75" t="str">
        <f>C99</f>
        <v>No</v>
      </c>
      <c r="J99" s="75" t="str">
        <f>C99</f>
        <v>No</v>
      </c>
      <c r="K99" s="75" t="str">
        <f>C99</f>
        <v>No</v>
      </c>
      <c r="L99" s="75" t="str">
        <f>C99</f>
        <v>No</v>
      </c>
      <c r="M99" s="75" t="str">
        <f>C99</f>
        <v>No</v>
      </c>
      <c r="N99" s="75" t="str">
        <f>C99</f>
        <v>No</v>
      </c>
      <c r="O99" s="75" t="str">
        <f>C99</f>
        <v>No</v>
      </c>
      <c r="P99" s="75" t="str">
        <f>C99</f>
        <v>No</v>
      </c>
      <c r="Q99" s="75" t="str">
        <f>C99</f>
        <v>No</v>
      </c>
      <c r="R99" s="75" t="str">
        <f>C99</f>
        <v>No</v>
      </c>
      <c r="S99" s="75" t="str">
        <f>C99</f>
        <v>No</v>
      </c>
      <c r="T99" s="75" t="str">
        <f>C99</f>
        <v>No</v>
      </c>
      <c r="U99" s="75" t="str">
        <f>C99</f>
        <v>No</v>
      </c>
      <c r="V99" s="75" t="str">
        <f>C99</f>
        <v>No</v>
      </c>
      <c r="W99" s="126"/>
      <c r="X99" s="126"/>
      <c r="Y99" s="126"/>
      <c r="Z99" s="126"/>
      <c r="AA99" s="126"/>
      <c r="AB99" s="126"/>
    </row>
    <row r="100" spans="1:28" ht="13.5" hidden="1" customHeight="1" outlineLevel="1">
      <c r="A100" s="124"/>
      <c r="B100" s="74" t="s">
        <v>152</v>
      </c>
      <c r="C100" s="75">
        <f>' Calculation'!B51</f>
        <v>5.5</v>
      </c>
      <c r="D100" s="75">
        <f t="shared" si="42"/>
        <v>5.5</v>
      </c>
      <c r="E100" s="75">
        <f t="shared" ref="E100:V100" si="43">D100</f>
        <v>5.5</v>
      </c>
      <c r="F100" s="75">
        <f t="shared" si="43"/>
        <v>5.5</v>
      </c>
      <c r="G100" s="75">
        <f t="shared" si="43"/>
        <v>5.5</v>
      </c>
      <c r="H100" s="75">
        <f t="shared" si="43"/>
        <v>5.5</v>
      </c>
      <c r="I100" s="75">
        <f t="shared" si="43"/>
        <v>5.5</v>
      </c>
      <c r="J100" s="75">
        <f t="shared" si="43"/>
        <v>5.5</v>
      </c>
      <c r="K100" s="75">
        <f t="shared" si="43"/>
        <v>5.5</v>
      </c>
      <c r="L100" s="75">
        <f t="shared" si="43"/>
        <v>5.5</v>
      </c>
      <c r="M100" s="75">
        <f t="shared" si="43"/>
        <v>5.5</v>
      </c>
      <c r="N100" s="75">
        <f t="shared" si="43"/>
        <v>5.5</v>
      </c>
      <c r="O100" s="75">
        <f t="shared" si="43"/>
        <v>5.5</v>
      </c>
      <c r="P100" s="75">
        <f t="shared" si="43"/>
        <v>5.5</v>
      </c>
      <c r="Q100" s="75">
        <f t="shared" si="43"/>
        <v>5.5</v>
      </c>
      <c r="R100" s="75">
        <f t="shared" si="43"/>
        <v>5.5</v>
      </c>
      <c r="S100" s="75">
        <f t="shared" si="43"/>
        <v>5.5</v>
      </c>
      <c r="T100" s="75">
        <f t="shared" si="43"/>
        <v>5.5</v>
      </c>
      <c r="U100" s="75">
        <f t="shared" si="43"/>
        <v>5.5</v>
      </c>
      <c r="V100" s="75">
        <f t="shared" si="43"/>
        <v>5.5</v>
      </c>
      <c r="W100" s="126"/>
      <c r="X100" s="126"/>
      <c r="Y100" s="126"/>
      <c r="Z100" s="126"/>
      <c r="AA100" s="126"/>
      <c r="AB100" s="126"/>
    </row>
    <row r="101" spans="1:28" ht="13.5" hidden="1" customHeight="1" outlineLevel="1">
      <c r="A101" s="124"/>
      <c r="B101" s="74" t="s">
        <v>153</v>
      </c>
      <c r="C101" s="76">
        <f>' Calculation'!B52</f>
        <v>200</v>
      </c>
      <c r="D101" s="76">
        <f t="shared" si="42"/>
        <v>200</v>
      </c>
      <c r="E101" s="76">
        <f t="shared" ref="E101:V101" si="44">D101</f>
        <v>200</v>
      </c>
      <c r="F101" s="76">
        <f t="shared" si="44"/>
        <v>200</v>
      </c>
      <c r="G101" s="76">
        <f t="shared" si="44"/>
        <v>200</v>
      </c>
      <c r="H101" s="76">
        <f t="shared" si="44"/>
        <v>200</v>
      </c>
      <c r="I101" s="76">
        <f t="shared" si="44"/>
        <v>200</v>
      </c>
      <c r="J101" s="76">
        <f t="shared" si="44"/>
        <v>200</v>
      </c>
      <c r="K101" s="76">
        <f t="shared" si="44"/>
        <v>200</v>
      </c>
      <c r="L101" s="76">
        <f t="shared" si="44"/>
        <v>200</v>
      </c>
      <c r="M101" s="76">
        <f t="shared" si="44"/>
        <v>200</v>
      </c>
      <c r="N101" s="76">
        <f t="shared" si="44"/>
        <v>200</v>
      </c>
      <c r="O101" s="76">
        <f t="shared" si="44"/>
        <v>200</v>
      </c>
      <c r="P101" s="76">
        <f t="shared" si="44"/>
        <v>200</v>
      </c>
      <c r="Q101" s="76">
        <f t="shared" si="44"/>
        <v>200</v>
      </c>
      <c r="R101" s="76">
        <f t="shared" si="44"/>
        <v>200</v>
      </c>
      <c r="S101" s="76">
        <f t="shared" si="44"/>
        <v>200</v>
      </c>
      <c r="T101" s="76">
        <f t="shared" si="44"/>
        <v>200</v>
      </c>
      <c r="U101" s="76">
        <f t="shared" si="44"/>
        <v>200</v>
      </c>
      <c r="V101" s="76">
        <f t="shared" si="44"/>
        <v>200</v>
      </c>
      <c r="W101" s="126"/>
      <c r="X101" s="126"/>
      <c r="Y101" s="126"/>
      <c r="Z101" s="126"/>
      <c r="AA101" s="126"/>
      <c r="AB101" s="126"/>
    </row>
    <row r="102" spans="1:28" ht="13.5" hidden="1" customHeight="1" outlineLevel="1">
      <c r="A102" s="124"/>
      <c r="B102" s="74" t="s">
        <v>154</v>
      </c>
      <c r="C102" s="76">
        <f>' Calculation'!B53</f>
        <v>200</v>
      </c>
      <c r="D102" s="76">
        <f t="shared" si="42"/>
        <v>200</v>
      </c>
      <c r="E102" s="76">
        <f t="shared" ref="E102:V102" si="45">D102</f>
        <v>200</v>
      </c>
      <c r="F102" s="76">
        <f t="shared" si="45"/>
        <v>200</v>
      </c>
      <c r="G102" s="76">
        <f t="shared" si="45"/>
        <v>200</v>
      </c>
      <c r="H102" s="76">
        <f t="shared" si="45"/>
        <v>200</v>
      </c>
      <c r="I102" s="76">
        <f t="shared" si="45"/>
        <v>200</v>
      </c>
      <c r="J102" s="76">
        <f t="shared" si="45"/>
        <v>200</v>
      </c>
      <c r="K102" s="76">
        <f t="shared" si="45"/>
        <v>200</v>
      </c>
      <c r="L102" s="76">
        <f t="shared" si="45"/>
        <v>200</v>
      </c>
      <c r="M102" s="76">
        <f t="shared" si="45"/>
        <v>200</v>
      </c>
      <c r="N102" s="76">
        <f t="shared" si="45"/>
        <v>200</v>
      </c>
      <c r="O102" s="76">
        <f t="shared" si="45"/>
        <v>200</v>
      </c>
      <c r="P102" s="76">
        <f t="shared" si="45"/>
        <v>200</v>
      </c>
      <c r="Q102" s="76">
        <f t="shared" si="45"/>
        <v>200</v>
      </c>
      <c r="R102" s="76">
        <f t="shared" si="45"/>
        <v>200</v>
      </c>
      <c r="S102" s="76">
        <f t="shared" si="45"/>
        <v>200</v>
      </c>
      <c r="T102" s="76">
        <f t="shared" si="45"/>
        <v>200</v>
      </c>
      <c r="U102" s="76">
        <f t="shared" si="45"/>
        <v>200</v>
      </c>
      <c r="V102" s="76">
        <f t="shared" si="45"/>
        <v>200</v>
      </c>
      <c r="W102" s="126"/>
      <c r="X102" s="126"/>
      <c r="Y102" s="126"/>
      <c r="Z102" s="126"/>
      <c r="AA102" s="126"/>
      <c r="AB102" s="126"/>
    </row>
    <row r="103" spans="1:28" ht="13.5" hidden="1" customHeight="1" outlineLevel="1">
      <c r="A103" s="124"/>
      <c r="B103" s="62" t="s">
        <v>156</v>
      </c>
      <c r="C103" s="82">
        <f>' Calculation'!B54</f>
        <v>1.3333333333333335</v>
      </c>
      <c r="D103" s="82">
        <f t="shared" ref="D103:V103" si="46">((D102*D100)/(D62*D63))*60</f>
        <v>1.3333333333333335</v>
      </c>
      <c r="E103" s="82">
        <f t="shared" si="46"/>
        <v>1.3333333333333335</v>
      </c>
      <c r="F103" s="82">
        <f t="shared" si="46"/>
        <v>1.3333333333333335</v>
      </c>
      <c r="G103" s="82">
        <f t="shared" si="46"/>
        <v>1.3333333333333335</v>
      </c>
      <c r="H103" s="82">
        <f t="shared" si="46"/>
        <v>1.3333333333333335</v>
      </c>
      <c r="I103" s="82">
        <f t="shared" si="46"/>
        <v>1.3333333333333335</v>
      </c>
      <c r="J103" s="82">
        <f t="shared" si="46"/>
        <v>1.3333333333333335</v>
      </c>
      <c r="K103" s="82">
        <f t="shared" si="46"/>
        <v>1.3333333333333335</v>
      </c>
      <c r="L103" s="82">
        <f t="shared" si="46"/>
        <v>1.3333333333333335</v>
      </c>
      <c r="M103" s="82">
        <f t="shared" si="46"/>
        <v>1.3333333333333335</v>
      </c>
      <c r="N103" s="82">
        <f t="shared" si="46"/>
        <v>1.3333333333333335</v>
      </c>
      <c r="O103" s="82">
        <f t="shared" si="46"/>
        <v>1.3333333333333335</v>
      </c>
      <c r="P103" s="82">
        <f t="shared" si="46"/>
        <v>1.3333333333333335</v>
      </c>
      <c r="Q103" s="82">
        <f t="shared" si="46"/>
        <v>1.3333333333333335</v>
      </c>
      <c r="R103" s="82">
        <f t="shared" si="46"/>
        <v>1.3333333333333335</v>
      </c>
      <c r="S103" s="82">
        <f t="shared" si="46"/>
        <v>1.3333333333333335</v>
      </c>
      <c r="T103" s="82">
        <f t="shared" si="46"/>
        <v>1.3333333333333335</v>
      </c>
      <c r="U103" s="82">
        <f t="shared" si="46"/>
        <v>1.3333333333333335</v>
      </c>
      <c r="V103" s="82">
        <f t="shared" si="46"/>
        <v>1.3333333333333335</v>
      </c>
      <c r="W103" s="126"/>
      <c r="X103" s="126"/>
      <c r="Y103" s="126"/>
      <c r="Z103" s="126"/>
      <c r="AA103" s="126"/>
      <c r="AB103" s="126"/>
    </row>
    <row r="104" spans="1:28" ht="13.5" hidden="1" customHeight="1" outlineLevel="1">
      <c r="A104" s="124"/>
      <c r="B104" s="74" t="s">
        <v>157</v>
      </c>
      <c r="C104" s="76">
        <f>' Calculation'!B55</f>
        <v>2200</v>
      </c>
      <c r="D104" s="76">
        <f t="shared" ref="D104:V104" si="47">C104</f>
        <v>2200</v>
      </c>
      <c r="E104" s="76">
        <f t="shared" si="47"/>
        <v>2200</v>
      </c>
      <c r="F104" s="76">
        <f t="shared" si="47"/>
        <v>2200</v>
      </c>
      <c r="G104" s="76">
        <f t="shared" si="47"/>
        <v>2200</v>
      </c>
      <c r="H104" s="76">
        <f t="shared" si="47"/>
        <v>2200</v>
      </c>
      <c r="I104" s="76">
        <f t="shared" si="47"/>
        <v>2200</v>
      </c>
      <c r="J104" s="76">
        <f t="shared" si="47"/>
        <v>2200</v>
      </c>
      <c r="K104" s="76">
        <f t="shared" si="47"/>
        <v>2200</v>
      </c>
      <c r="L104" s="76">
        <f t="shared" si="47"/>
        <v>2200</v>
      </c>
      <c r="M104" s="76">
        <f t="shared" si="47"/>
        <v>2200</v>
      </c>
      <c r="N104" s="76">
        <f t="shared" si="47"/>
        <v>2200</v>
      </c>
      <c r="O104" s="76">
        <f t="shared" si="47"/>
        <v>2200</v>
      </c>
      <c r="P104" s="76">
        <f t="shared" si="47"/>
        <v>2200</v>
      </c>
      <c r="Q104" s="76">
        <f t="shared" si="47"/>
        <v>2200</v>
      </c>
      <c r="R104" s="76">
        <f t="shared" si="47"/>
        <v>2200</v>
      </c>
      <c r="S104" s="76">
        <f t="shared" si="47"/>
        <v>2200</v>
      </c>
      <c r="T104" s="76">
        <f t="shared" si="47"/>
        <v>2200</v>
      </c>
      <c r="U104" s="76">
        <f t="shared" si="47"/>
        <v>2200</v>
      </c>
      <c r="V104" s="76">
        <f t="shared" si="47"/>
        <v>2200</v>
      </c>
      <c r="W104" s="126"/>
      <c r="X104" s="126"/>
      <c r="Y104" s="126"/>
      <c r="Z104" s="126"/>
      <c r="AA104" s="126"/>
      <c r="AB104" s="126"/>
    </row>
    <row r="105" spans="1:28" ht="13.5" hidden="1" customHeight="1" outlineLevel="1">
      <c r="A105" s="124"/>
      <c r="B105" s="74" t="s">
        <v>160</v>
      </c>
      <c r="C105" s="75">
        <f>' Calculation'!B56</f>
        <v>0.06</v>
      </c>
      <c r="D105" s="75">
        <f t="shared" ref="D105:V105" si="48">D101*0.0003</f>
        <v>0.06</v>
      </c>
      <c r="E105" s="75">
        <f t="shared" si="48"/>
        <v>0.06</v>
      </c>
      <c r="F105" s="75">
        <f t="shared" si="48"/>
        <v>0.06</v>
      </c>
      <c r="G105" s="75">
        <f t="shared" si="48"/>
        <v>0.06</v>
      </c>
      <c r="H105" s="75">
        <f t="shared" si="48"/>
        <v>0.06</v>
      </c>
      <c r="I105" s="75">
        <f t="shared" si="48"/>
        <v>0.06</v>
      </c>
      <c r="J105" s="75">
        <f t="shared" si="48"/>
        <v>0.06</v>
      </c>
      <c r="K105" s="75">
        <f t="shared" si="48"/>
        <v>0.06</v>
      </c>
      <c r="L105" s="75">
        <f t="shared" si="48"/>
        <v>0.06</v>
      </c>
      <c r="M105" s="75">
        <f t="shared" si="48"/>
        <v>0.06</v>
      </c>
      <c r="N105" s="75">
        <f t="shared" si="48"/>
        <v>0.06</v>
      </c>
      <c r="O105" s="75">
        <f t="shared" si="48"/>
        <v>0.06</v>
      </c>
      <c r="P105" s="75">
        <f t="shared" si="48"/>
        <v>0.06</v>
      </c>
      <c r="Q105" s="75">
        <f t="shared" si="48"/>
        <v>0.06</v>
      </c>
      <c r="R105" s="75">
        <f t="shared" si="48"/>
        <v>0.06</v>
      </c>
      <c r="S105" s="75">
        <f t="shared" si="48"/>
        <v>0.06</v>
      </c>
      <c r="T105" s="75">
        <f t="shared" si="48"/>
        <v>0.06</v>
      </c>
      <c r="U105" s="75">
        <f t="shared" si="48"/>
        <v>0.06</v>
      </c>
      <c r="V105" s="75">
        <f t="shared" si="48"/>
        <v>0.06</v>
      </c>
      <c r="W105" s="126"/>
      <c r="X105" s="126"/>
      <c r="Y105" s="126"/>
      <c r="Z105" s="126"/>
      <c r="AA105" s="126"/>
      <c r="AB105" s="126"/>
    </row>
    <row r="106" spans="1:28" ht="13.5" hidden="1" customHeight="1" outlineLevel="1">
      <c r="A106" s="124"/>
      <c r="B106" s="74" t="s">
        <v>162</v>
      </c>
      <c r="C106" s="76">
        <f>' Calculation'!B57</f>
        <v>12</v>
      </c>
      <c r="D106" s="76">
        <f t="shared" ref="D106:V106" si="49">C106</f>
        <v>12</v>
      </c>
      <c r="E106" s="76">
        <f t="shared" si="49"/>
        <v>12</v>
      </c>
      <c r="F106" s="76">
        <f t="shared" si="49"/>
        <v>12</v>
      </c>
      <c r="G106" s="76">
        <f t="shared" si="49"/>
        <v>12</v>
      </c>
      <c r="H106" s="76">
        <f t="shared" si="49"/>
        <v>12</v>
      </c>
      <c r="I106" s="76">
        <f t="shared" si="49"/>
        <v>12</v>
      </c>
      <c r="J106" s="76">
        <f t="shared" si="49"/>
        <v>12</v>
      </c>
      <c r="K106" s="76">
        <f t="shared" si="49"/>
        <v>12</v>
      </c>
      <c r="L106" s="76">
        <f t="shared" si="49"/>
        <v>12</v>
      </c>
      <c r="M106" s="76">
        <f t="shared" si="49"/>
        <v>12</v>
      </c>
      <c r="N106" s="76">
        <f t="shared" si="49"/>
        <v>12</v>
      </c>
      <c r="O106" s="76">
        <f t="shared" si="49"/>
        <v>12</v>
      </c>
      <c r="P106" s="76">
        <f t="shared" si="49"/>
        <v>12</v>
      </c>
      <c r="Q106" s="76">
        <f t="shared" si="49"/>
        <v>12</v>
      </c>
      <c r="R106" s="76">
        <f t="shared" si="49"/>
        <v>12</v>
      </c>
      <c r="S106" s="76">
        <f t="shared" si="49"/>
        <v>12</v>
      </c>
      <c r="T106" s="76">
        <f t="shared" si="49"/>
        <v>12</v>
      </c>
      <c r="U106" s="76">
        <f t="shared" si="49"/>
        <v>12</v>
      </c>
      <c r="V106" s="76">
        <f t="shared" si="49"/>
        <v>12</v>
      </c>
      <c r="W106" s="126"/>
      <c r="X106" s="126"/>
      <c r="Y106" s="126"/>
      <c r="Z106" s="126"/>
      <c r="AA106" s="126"/>
      <c r="AB106" s="126"/>
    </row>
    <row r="107" spans="1:28" ht="13.5" hidden="1" customHeight="1" outlineLevel="1">
      <c r="A107" s="124"/>
      <c r="B107" s="74" t="s">
        <v>164</v>
      </c>
      <c r="C107" s="76">
        <f>' Calculation'!B58</f>
        <v>40</v>
      </c>
      <c r="D107" s="76">
        <f t="shared" ref="D107:V107" si="50">C107</f>
        <v>40</v>
      </c>
      <c r="E107" s="76">
        <f t="shared" si="50"/>
        <v>40</v>
      </c>
      <c r="F107" s="76">
        <f t="shared" si="50"/>
        <v>40</v>
      </c>
      <c r="G107" s="76">
        <f t="shared" si="50"/>
        <v>40</v>
      </c>
      <c r="H107" s="76">
        <f t="shared" si="50"/>
        <v>40</v>
      </c>
      <c r="I107" s="76">
        <f t="shared" si="50"/>
        <v>40</v>
      </c>
      <c r="J107" s="76">
        <f t="shared" si="50"/>
        <v>40</v>
      </c>
      <c r="K107" s="76">
        <f t="shared" si="50"/>
        <v>40</v>
      </c>
      <c r="L107" s="76">
        <f t="shared" si="50"/>
        <v>40</v>
      </c>
      <c r="M107" s="76">
        <f t="shared" si="50"/>
        <v>40</v>
      </c>
      <c r="N107" s="76">
        <f t="shared" si="50"/>
        <v>40</v>
      </c>
      <c r="O107" s="76">
        <f t="shared" si="50"/>
        <v>40</v>
      </c>
      <c r="P107" s="76">
        <f t="shared" si="50"/>
        <v>40</v>
      </c>
      <c r="Q107" s="76">
        <f t="shared" si="50"/>
        <v>40</v>
      </c>
      <c r="R107" s="76">
        <f t="shared" si="50"/>
        <v>40</v>
      </c>
      <c r="S107" s="76">
        <f t="shared" si="50"/>
        <v>40</v>
      </c>
      <c r="T107" s="76">
        <f t="shared" si="50"/>
        <v>40</v>
      </c>
      <c r="U107" s="76">
        <f t="shared" si="50"/>
        <v>40</v>
      </c>
      <c r="V107" s="76">
        <f t="shared" si="50"/>
        <v>40</v>
      </c>
      <c r="W107" s="126"/>
      <c r="X107" s="126"/>
      <c r="Y107" s="126"/>
      <c r="Z107" s="126"/>
      <c r="AA107" s="126"/>
      <c r="AB107" s="126"/>
    </row>
    <row r="108" spans="1:28" ht="13.5" hidden="1" customHeight="1" outlineLevel="1">
      <c r="A108" s="124"/>
      <c r="B108" s="74" t="s">
        <v>166</v>
      </c>
      <c r="C108" s="76">
        <f>' Calculation'!B59</f>
        <v>150</v>
      </c>
      <c r="D108" s="76">
        <f t="shared" ref="D108:V108" si="51">C108</f>
        <v>150</v>
      </c>
      <c r="E108" s="76">
        <f t="shared" si="51"/>
        <v>150</v>
      </c>
      <c r="F108" s="76">
        <f t="shared" si="51"/>
        <v>150</v>
      </c>
      <c r="G108" s="76">
        <f t="shared" si="51"/>
        <v>150</v>
      </c>
      <c r="H108" s="76">
        <f t="shared" si="51"/>
        <v>150</v>
      </c>
      <c r="I108" s="76">
        <f t="shared" si="51"/>
        <v>150</v>
      </c>
      <c r="J108" s="76">
        <f t="shared" si="51"/>
        <v>150</v>
      </c>
      <c r="K108" s="76">
        <f t="shared" si="51"/>
        <v>150</v>
      </c>
      <c r="L108" s="76">
        <f t="shared" si="51"/>
        <v>150</v>
      </c>
      <c r="M108" s="76">
        <f t="shared" si="51"/>
        <v>150</v>
      </c>
      <c r="N108" s="76">
        <f t="shared" si="51"/>
        <v>150</v>
      </c>
      <c r="O108" s="76">
        <f t="shared" si="51"/>
        <v>150</v>
      </c>
      <c r="P108" s="76">
        <f t="shared" si="51"/>
        <v>150</v>
      </c>
      <c r="Q108" s="76">
        <f t="shared" si="51"/>
        <v>150</v>
      </c>
      <c r="R108" s="76">
        <f t="shared" si="51"/>
        <v>150</v>
      </c>
      <c r="S108" s="76">
        <f t="shared" si="51"/>
        <v>150</v>
      </c>
      <c r="T108" s="76">
        <f t="shared" si="51"/>
        <v>150</v>
      </c>
      <c r="U108" s="76">
        <f t="shared" si="51"/>
        <v>150</v>
      </c>
      <c r="V108" s="76">
        <f t="shared" si="51"/>
        <v>150</v>
      </c>
      <c r="W108" s="126"/>
      <c r="X108" s="126"/>
      <c r="Y108" s="126"/>
      <c r="Z108" s="126"/>
      <c r="AA108" s="126"/>
      <c r="AB108" s="126"/>
    </row>
    <row r="109" spans="1:28" ht="13.5" hidden="1" customHeight="1" outlineLevel="1">
      <c r="A109" s="124"/>
      <c r="B109" s="12"/>
      <c r="C109" s="68">
        <f>' Calculation'!B60</f>
        <v>0</v>
      </c>
      <c r="D109" s="68"/>
      <c r="E109" s="68"/>
      <c r="F109" s="68"/>
      <c r="G109" s="68"/>
      <c r="H109" s="68"/>
      <c r="I109" s="68"/>
      <c r="J109" s="68"/>
      <c r="K109" s="68"/>
      <c r="L109" s="68"/>
      <c r="M109" s="68"/>
      <c r="N109" s="68"/>
      <c r="O109" s="68"/>
      <c r="P109" s="68"/>
      <c r="Q109" s="68"/>
      <c r="R109" s="68"/>
      <c r="S109" s="68"/>
      <c r="T109" s="68"/>
      <c r="U109" s="68"/>
      <c r="V109" s="68"/>
      <c r="W109" s="126"/>
      <c r="X109" s="126"/>
      <c r="Y109" s="126"/>
      <c r="Z109" s="126"/>
      <c r="AA109" s="126"/>
      <c r="AB109" s="126"/>
    </row>
    <row r="110" spans="1:28" ht="13.5" hidden="1" customHeight="1" outlineLevel="1">
      <c r="A110" s="124"/>
      <c r="B110" s="29" t="s">
        <v>167</v>
      </c>
      <c r="C110" s="71">
        <f>' Calculation'!B61</f>
        <v>0</v>
      </c>
      <c r="D110" s="71"/>
      <c r="E110" s="71"/>
      <c r="F110" s="71"/>
      <c r="G110" s="71"/>
      <c r="H110" s="71"/>
      <c r="I110" s="71"/>
      <c r="J110" s="71"/>
      <c r="K110" s="71"/>
      <c r="L110" s="71"/>
      <c r="M110" s="71"/>
      <c r="N110" s="71"/>
      <c r="O110" s="71"/>
      <c r="P110" s="71"/>
      <c r="Q110" s="71"/>
      <c r="R110" s="71"/>
      <c r="S110" s="71"/>
      <c r="T110" s="71"/>
      <c r="U110" s="71"/>
      <c r="V110" s="71"/>
      <c r="W110" s="126"/>
      <c r="X110" s="126"/>
      <c r="Y110" s="126"/>
      <c r="Z110" s="126"/>
      <c r="AA110" s="126"/>
      <c r="AB110" s="126"/>
    </row>
    <row r="111" spans="1:28" ht="13.5" hidden="1" customHeight="1" outlineLevel="1">
      <c r="A111" s="124"/>
      <c r="B111" s="94" t="s">
        <v>168</v>
      </c>
      <c r="C111" s="95">
        <f>IF(C76&lt;168,C68*(((VLOOKUP(C60,'Table 1 - Operational Info'!$B$5:$N$24,3,0))*(IF(C83="Yes",1-C84,1)))/(C77/3))*(C76/72),C68*(((VLOOKUP(C60,'Table 1 - Operational Info'!$B$29:$N$48,3,0))*(IF(C83="Yes",1-C84,1)))/(C77/3))*(C76/168))</f>
        <v>18390.400000000001</v>
      </c>
      <c r="D111" s="95">
        <f>IF(D76&lt;168,D68*(((VLOOKUP(D60,'Table 1 - Operational Info'!$B$5:$N$24,3,0))*(IF(D83="Yes",1-D84,1)))/(D77/3))*(D76/72),D68*(((VLOOKUP(D60,'Table 1 - Operational Info'!$B$29:$N$48,3,0))*(IF(D83="Yes",1-D84,1)))/(D77/3))*(D76/168))</f>
        <v>63217</v>
      </c>
      <c r="E111" s="95">
        <f>IF(E76&lt;168,E68*(((VLOOKUP(E60,'Table 1 - Operational Info'!$B$5:$N$24,3,0))*(IF(E83="Yes",1-E84,1)))/(E77/3))*(E76/72),E68*(((VLOOKUP(E60,'Table 1 - Operational Info'!$B$29:$N$48,3,0))*(IF(E83="Yes",1-E84,1)))/(E77/3))*(E76/168))</f>
        <v>63217</v>
      </c>
      <c r="F111" s="95">
        <f>IF(F76&lt;168,F68*(((VLOOKUP(F60,'Table 1 - Operational Info'!$B$5:$N$24,3,0))*(IF(F83="Yes",1-F84,1)))/(F77/3))*(F76/72),F68*(((VLOOKUP(F60,'Table 1 - Operational Info'!$B$29:$N$48,3,0))*(IF(F83="Yes",1-F84,1)))/(F77/3))*(F76/168))</f>
        <v>63217</v>
      </c>
      <c r="G111" s="95">
        <f>IF(G76&lt;168,G68*(((VLOOKUP(G60,'Table 1 - Operational Info'!$B$5:$N$24,3,0))*(IF(G83="Yes",1-G84,1)))/(G77/3))*(G76/72),G68*(((VLOOKUP(G60,'Table 1 - Operational Info'!$B$29:$N$48,3,0))*(IF(G83="Yes",1-G84,1)))/(G77/3))*(G76/168))</f>
        <v>63217</v>
      </c>
      <c r="H111" s="95">
        <f>IF(H76&lt;168,H68*(((VLOOKUP(H60,'Table 1 - Operational Info'!$B$5:$N$24,3,0))*(IF(H83="Yes",1-H84,1)))/(H77/3))*(H76/72),H68*(((VLOOKUP(H60,'Table 1 - Operational Info'!$B$29:$N$48,3,0))*(IF(H83="Yes",1-H84,1)))/(H77/3))*(H76/168))</f>
        <v>9363.7786666666652</v>
      </c>
      <c r="I111" s="95">
        <f>IF(I76&lt;168,I68*(((VLOOKUP(I60,'Table 1 - Operational Info'!$B$5:$N$24,3,0))*(IF(I83="Yes",1-I84,1)))/(I77/3))*(I76/72),I68*(((VLOOKUP(I60,'Table 1 - Operational Info'!$B$29:$N$48,3,0))*(IF(I83="Yes",1-I84,1)))/(I77/3))*(I76/168))</f>
        <v>9363.7786666666652</v>
      </c>
      <c r="J111" s="95">
        <f>IF(J76&lt;168,J68*(((VLOOKUP(J60,'Table 1 - Operational Info'!$B$5:$N$24,3,0))*(IF(J83="Yes",1-J84,1)))/(J77/3))*(J76/72),J68*(((VLOOKUP(J60,'Table 1 - Operational Info'!$B$29:$N$48,3,0))*(IF(J83="Yes",1-J84,1)))/(J77/3))*(J76/168))</f>
        <v>9363.7786666666652</v>
      </c>
      <c r="K111" s="95">
        <f>IF(K76&lt;168,K68*(((VLOOKUP(K60,'Table 1 - Operational Info'!$B$5:$N$24,3,0))*(IF(K83="Yes",1-K84,1)))/(K77/3))*(K76/72),K68*(((VLOOKUP(K60,'Table 1 - Operational Info'!$B$29:$N$48,3,0))*(IF(K83="Yes",1-K84,1)))/(K77/3))*(K76/168))</f>
        <v>9363.7786666666652</v>
      </c>
      <c r="L111" s="95">
        <f>IF(L76&lt;168,L68*(((VLOOKUP(L60,'Table 1 - Operational Info'!$B$5:$N$24,3,0))*(IF(L83="Yes",1-L84,1)))/(L77/3))*(L76/72),L68*(((VLOOKUP(L60,'Table 1 - Operational Info'!$B$29:$N$48,3,0))*(IF(L83="Yes",1-L84,1)))/(L77/3))*(L76/168))</f>
        <v>7202.9066666666658</v>
      </c>
      <c r="M111" s="95">
        <f>IF(M76&lt;168,M68*(((VLOOKUP(M60,'Table 1 - Operational Info'!$B$5:$N$24,3,0))*(IF(M83="Yes",1-M84,1)))/(M77/3))*(M76/72),M68*(((VLOOKUP(M60,'Table 1 - Operational Info'!$B$29:$N$48,3,0))*(IF(M83="Yes",1-M84,1)))/(M77/3))*(M76/168))</f>
        <v>7202.9066666666658</v>
      </c>
      <c r="N111" s="95">
        <f>IF(N76&lt;168,N68*(((VLOOKUP(N60,'Table 1 - Operational Info'!$B$5:$N$24,3,0))*(IF(N83="Yes",1-N84,1)))/(N77/3))*(N76/72),N68*(((VLOOKUP(N60,'Table 1 - Operational Info'!$B$29:$N$48,3,0))*(IF(N83="Yes",1-N84,1)))/(N77/3))*(N76/168))</f>
        <v>7202.9066666666658</v>
      </c>
      <c r="O111" s="95">
        <f>IF(O76&lt;168,O68*(((VLOOKUP(O60,'Table 1 - Operational Info'!$B$5:$N$24,3,0))*(IF(O83="Yes",1-O84,1)))/(O77/3))*(O76/72),O68*(((VLOOKUP(O60,'Table 1 - Operational Info'!$B$29:$N$48,3,0))*(IF(O83="Yes",1-O84,1)))/(O77/3))*(O76/168))</f>
        <v>7202.9066666666658</v>
      </c>
      <c r="P111" s="95">
        <f>IF(P76&lt;168,P68*(((VLOOKUP(P60,'Table 1 - Operational Info'!$B$5:$N$24,3,0))*(IF(P83="Yes",1-P84,1)))/(P77/3))*(P76/72),P68*(((VLOOKUP(P60,'Table 1 - Operational Info'!$B$29:$N$48,3,0))*(IF(P83="Yes",1-P84,1)))/(P77/3))*(P76/168))</f>
        <v>3160.85</v>
      </c>
      <c r="Q111" s="95">
        <f>IF(Q76&lt;168,Q68*(((VLOOKUP(Q60,'Table 1 - Operational Info'!$B$5:$N$24,3,0))*(IF(Q83="Yes",1-Q84,1)))/(Q77/3))*(Q76/72),Q68*(((VLOOKUP(Q60,'Table 1 - Operational Info'!$B$29:$N$48,3,0))*(IF(Q83="Yes",1-Q84,1)))/(Q77/3))*(Q76/168))</f>
        <v>3160.85</v>
      </c>
      <c r="R111" s="95">
        <f>IF(R76&lt;168,R68*(((VLOOKUP(R60,'Table 1 - Operational Info'!$B$5:$N$24,3,0))*(IF(R83="Yes",1-R84,1)))/(R77/3))*(R76/72),R68*(((VLOOKUP(R60,'Table 1 - Operational Info'!$B$29:$N$48,3,0))*(IF(R83="Yes",1-R84,1)))/(R77/3))*(R76/168))</f>
        <v>3160.85</v>
      </c>
      <c r="S111" s="95">
        <f>IF(S76&lt;168,S68*(((VLOOKUP(S60,'Table 1 - Operational Info'!$B$5:$N$24,3,0))*(IF(S83="Yes",1-S84,1)))/(S77/3))*(S76/72),S68*(((VLOOKUP(S60,'Table 1 - Operational Info'!$B$29:$N$48,3,0))*(IF(S83="Yes",1-S84,1)))/(S77/3))*(S76/168))</f>
        <v>3160.85</v>
      </c>
      <c r="T111" s="95">
        <f>IF(T76&lt;168,T68*(((VLOOKUP(T60,'Table 1 - Operational Info'!$B$5:$N$24,3,0))*(IF(T83="Yes",1-T84,1)))/(T77/3))*(T76/72),T68*(((VLOOKUP(T60,'Table 1 - Operational Info'!$B$29:$N$48,3,0))*(IF(T83="Yes",1-T84,1)))/(T77/3))*(T76/168))</f>
        <v>7202.9066666666658</v>
      </c>
      <c r="U111" s="95">
        <f>IF(U76&lt;168,U68*(((VLOOKUP(U60,'Table 1 - Operational Info'!$B$5:$N$24,3,0))*(IF(U83="Yes",1-U84,1)))/(U77/3))*(U76/72),U68*(((VLOOKUP(U60,'Table 1 - Operational Info'!$B$29:$N$48,3,0))*(IF(U83="Yes",1-U84,1)))/(U77/3))*(U76/168))</f>
        <v>7202.9066666666658</v>
      </c>
      <c r="V111" s="95">
        <f>IF(V76&lt;168,V68*(((VLOOKUP(V60,'Table 1 - Operational Info'!$B$5:$N$24,3,0))*(IF(V83="Yes",1-V84,1)))/(V77/3))*(V76/72),V68*(((VLOOKUP(V60,'Table 1 - Operational Info'!$B$29:$N$48,3,0))*(IF(V83="Yes",1-V84,1)))/(V77/3))*(V76/168))</f>
        <v>7202.9066666666658</v>
      </c>
      <c r="W111" s="126"/>
      <c r="X111" s="126"/>
      <c r="Y111" s="126"/>
      <c r="Z111" s="126"/>
      <c r="AA111" s="126"/>
      <c r="AB111" s="126"/>
    </row>
    <row r="112" spans="1:28" ht="13.5" hidden="1" customHeight="1" outlineLevel="1">
      <c r="A112" s="124"/>
      <c r="B112" s="94" t="s">
        <v>170</v>
      </c>
      <c r="C112" s="95">
        <f t="shared" ref="C112:V112" si="52">C111*C79</f>
        <v>2474.9389311646742</v>
      </c>
      <c r="D112" s="95">
        <f t="shared" si="52"/>
        <v>8507.6025758785672</v>
      </c>
      <c r="E112" s="95">
        <f t="shared" si="52"/>
        <v>8507.6025758785672</v>
      </c>
      <c r="F112" s="95">
        <f t="shared" si="52"/>
        <v>8507.6025758785672</v>
      </c>
      <c r="G112" s="95">
        <f t="shared" si="52"/>
        <v>8507.6025758785672</v>
      </c>
      <c r="H112" s="95">
        <f t="shared" si="52"/>
        <v>1260.1564057846797</v>
      </c>
      <c r="I112" s="95">
        <f t="shared" si="52"/>
        <v>1260.1564057846797</v>
      </c>
      <c r="J112" s="95">
        <f t="shared" si="52"/>
        <v>1260.1564057846797</v>
      </c>
      <c r="K112" s="95">
        <f t="shared" si="52"/>
        <v>1260.1564057846797</v>
      </c>
      <c r="L112" s="95">
        <f t="shared" si="52"/>
        <v>969.35108137283055</v>
      </c>
      <c r="M112" s="95">
        <f t="shared" si="52"/>
        <v>969.35108137283055</v>
      </c>
      <c r="N112" s="95">
        <f t="shared" si="52"/>
        <v>969.35108137283055</v>
      </c>
      <c r="O112" s="95">
        <f t="shared" si="52"/>
        <v>969.35108137283055</v>
      </c>
      <c r="P112" s="95">
        <f t="shared" si="52"/>
        <v>425.38012879392835</v>
      </c>
      <c r="Q112" s="95">
        <f t="shared" si="52"/>
        <v>425.38012879392835</v>
      </c>
      <c r="R112" s="95">
        <f t="shared" si="52"/>
        <v>425.38012879392835</v>
      </c>
      <c r="S112" s="95">
        <f t="shared" si="52"/>
        <v>425.38012879392835</v>
      </c>
      <c r="T112" s="95">
        <f t="shared" si="52"/>
        <v>969.35108137283055</v>
      </c>
      <c r="U112" s="95">
        <f t="shared" si="52"/>
        <v>969.35108137283055</v>
      </c>
      <c r="V112" s="95">
        <f t="shared" si="52"/>
        <v>969.35108137283055</v>
      </c>
      <c r="W112" s="126"/>
      <c r="X112" s="126"/>
      <c r="Y112" s="126"/>
      <c r="Z112" s="126"/>
      <c r="AA112" s="126"/>
      <c r="AB112" s="126"/>
    </row>
    <row r="113" spans="1:28" ht="13.5" hidden="1" customHeight="1" outlineLevel="1">
      <c r="A113" s="124"/>
      <c r="B113" s="94" t="s">
        <v>172</v>
      </c>
      <c r="C113" s="96">
        <f>IF(C76&lt;168,(IF(C73="Electricity",((VLOOKUP(C60,'Table 1 - Operational Info'!$B$5:$N$24,7,0))*(IF(C83="Yes",1-C85,1))),IF(C73="Steam",((VLOOKUP(C60,'Table 1 - Operational Info'!$B$5:$N$24,8,0))*(IF(C83="Yes",1-C85,1))),((VLOOKUP(C60,'Table 1 - Operational Info'!$B$5:$N$24,6,0))*(IF(C83="Yes",1-C85,1))))))*(C76/72)*C68/(C78),(IF(C73="Electricity",((VLOOKUP(C60,'Table 1 - Operational Info'!$B$29:$N$48,7,0))*(IF(C83="Yes",1-C85,1))),IF(C73="Steam",((VLOOKUP(C60,'Table 1 - Operational Info'!$B$29:$N$48,8,0))*(IF(C83="Yes",1-C85,1))),((VLOOKUP(C60,'Table 1 - Operational Info'!$B$29:$N$48,6,0))*(IF(C83="Yes",1-C85,1))))))*(C76/168)*C68/(C78))</f>
        <v>213.27503999999999</v>
      </c>
      <c r="D113" s="96">
        <f>IF(D76&lt;168,(IF(D73="Electricity",((VLOOKUP(D60,'Table 1 - Operational Info'!$B$5:$N$24,7,0))*(IF(D83="Yes",1-D85,1))),IF(D73="Steam",((VLOOKUP(D60,'Table 1 - Operational Info'!$B$5:$N$24,8,0))*(IF(D83="Yes",1-D85,1))),((VLOOKUP(D60,'Table 1 - Operational Info'!$B$5:$N$24,6,0))*(IF(D83="Yes",1-D85,1))))))*(D76/72)*D68/(D78),(IF(D73="Electricity",((VLOOKUP(D60,'Table 1 - Operational Info'!$B$29:$N$48,7,0))*(IF(D83="Yes",1-D85,1))),IF(D73="Steam",((VLOOKUP(D60,'Table 1 - Operational Info'!$B$29:$N$48,8,0))*(IF(D83="Yes",1-D85,1))),((VLOOKUP(D60,'Table 1 - Operational Info'!$B$29:$N$48,6,0))*(IF(D83="Yes",1-D85,1))))))*(D76/168)*D68/(D78))</f>
        <v>733.13294999999994</v>
      </c>
      <c r="E113" s="96">
        <f>IF(E76&lt;168,(IF(E73="Electricity",((VLOOKUP(E60,'Table 1 - Operational Info'!$B$5:$N$24,7,0))*(IF(E83="Yes",1-E85,1))),IF(E73="Steam",((VLOOKUP(E60,'Table 1 - Operational Info'!$B$5:$N$24,8,0))*(IF(E83="Yes",1-E85,1))),((VLOOKUP(E60,'Table 1 - Operational Info'!$B$5:$N$24,6,0))*(IF(E83="Yes",1-E85,1))))))*(E76/72)*E68/(E78),(IF(E73="Electricity",((VLOOKUP(E60,'Table 1 - Operational Info'!$B$29:$N$48,7,0))*(IF(E83="Yes",1-E85,1))),IF(E73="Steam",((VLOOKUP(E60,'Table 1 - Operational Info'!$B$29:$N$48,8,0))*(IF(E83="Yes",1-E85,1))),((VLOOKUP(E60,'Table 1 - Operational Info'!$B$29:$N$48,6,0))*(IF(E83="Yes",1-E85,1))))))*(E76/168)*E68/(E78))</f>
        <v>733.13294999999994</v>
      </c>
      <c r="F113" s="96">
        <f>IF(F76&lt;168,(IF(F73="Electricity",((VLOOKUP(F60,'Table 1 - Operational Info'!$B$5:$N$24,7,0))*(IF(F83="Yes",1-F85,1))),IF(F73="Steam",((VLOOKUP(F60,'Table 1 - Operational Info'!$B$5:$N$24,8,0))*(IF(F83="Yes",1-F85,1))),((VLOOKUP(F60,'Table 1 - Operational Info'!$B$5:$N$24,6,0))*(IF(F83="Yes",1-F85,1))))))*(F76/72)*F68/(F78),(IF(F73="Electricity",((VLOOKUP(F60,'Table 1 - Operational Info'!$B$29:$N$48,7,0))*(IF(F83="Yes",1-F85,1))),IF(F73="Steam",((VLOOKUP(F60,'Table 1 - Operational Info'!$B$29:$N$48,8,0))*(IF(F83="Yes",1-F85,1))),((VLOOKUP(F60,'Table 1 - Operational Info'!$B$29:$N$48,6,0))*(IF(F83="Yes",1-F85,1))))))*(F76/168)*F68/(F78))</f>
        <v>733.13294999999994</v>
      </c>
      <c r="G113" s="96">
        <f>IF(G76&lt;168,(IF(G73="Electricity",((VLOOKUP(G60,'Table 1 - Operational Info'!$B$5:$N$24,7,0))*(IF(G83="Yes",1-G85,1))),IF(G73="Steam",((VLOOKUP(G60,'Table 1 - Operational Info'!$B$5:$N$24,8,0))*(IF(G83="Yes",1-G85,1))),((VLOOKUP(G60,'Table 1 - Operational Info'!$B$5:$N$24,6,0))*(IF(G83="Yes",1-G85,1))))))*(G76/72)*G68/(G78),(IF(G73="Electricity",((VLOOKUP(G60,'Table 1 - Operational Info'!$B$29:$N$48,7,0))*(IF(G83="Yes",1-G85,1))),IF(G73="Steam",((VLOOKUP(G60,'Table 1 - Operational Info'!$B$29:$N$48,8,0))*(IF(G83="Yes",1-G85,1))),((VLOOKUP(G60,'Table 1 - Operational Info'!$B$29:$N$48,6,0))*(IF(G83="Yes",1-G85,1))))))*(G76/168)*G68/(G78))</f>
        <v>733.13294999999994</v>
      </c>
      <c r="H113" s="96">
        <f>IF(H76&lt;168,(IF(H73="Electricity",((VLOOKUP(H60,'Table 1 - Operational Info'!$B$5:$N$24,7,0))*(IF(H83="Yes",1-H85,1))),IF(H73="Steam",((VLOOKUP(H60,'Table 1 - Operational Info'!$B$5:$N$24,8,0))*(IF(H83="Yes",1-H85,1))),((VLOOKUP(H60,'Table 1 - Operational Info'!$B$5:$N$24,6,0))*(IF(H83="Yes",1-H85,1))))))*(H76/72)*H68/(H78),(IF(H73="Electricity",((VLOOKUP(H60,'Table 1 - Operational Info'!$B$29:$N$48,7,0))*(IF(H83="Yes",1-H85,1))),IF(H73="Steam",((VLOOKUP(H60,'Table 1 - Operational Info'!$B$29:$N$48,8,0))*(IF(H83="Yes",1-H85,1))),((VLOOKUP(H60,'Table 1 - Operational Info'!$B$29:$N$48,6,0))*(IF(H83="Yes",1-H85,1))))))*(H76/168)*H68/(H78))</f>
        <v>108.59254119999999</v>
      </c>
      <c r="I113" s="96">
        <f>IF(I76&lt;168,(IF(I73="Electricity",((VLOOKUP(I60,'Table 1 - Operational Info'!$B$5:$N$24,7,0))*(IF(I83="Yes",1-I85,1))),IF(I73="Steam",((VLOOKUP(I60,'Table 1 - Operational Info'!$B$5:$N$24,8,0))*(IF(I83="Yes",1-I85,1))),((VLOOKUP(I60,'Table 1 - Operational Info'!$B$5:$N$24,6,0))*(IF(I83="Yes",1-I85,1))))))*(I76/72)*I68/(I78),(IF(I73="Electricity",((VLOOKUP(I60,'Table 1 - Operational Info'!$B$29:$N$48,7,0))*(IF(I83="Yes",1-I85,1))),IF(I73="Steam",((VLOOKUP(I60,'Table 1 - Operational Info'!$B$29:$N$48,8,0))*(IF(I83="Yes",1-I85,1))),((VLOOKUP(I60,'Table 1 - Operational Info'!$B$29:$N$48,6,0))*(IF(I83="Yes",1-I85,1))))))*(I76/168)*I68/(I78))</f>
        <v>108.59254119999999</v>
      </c>
      <c r="J113" s="96">
        <f>IF(J76&lt;168,(IF(J73="Electricity",((VLOOKUP(J60,'Table 1 - Operational Info'!$B$5:$N$24,7,0))*(IF(J83="Yes",1-J85,1))),IF(J73="Steam",((VLOOKUP(J60,'Table 1 - Operational Info'!$B$5:$N$24,8,0))*(IF(J83="Yes",1-J85,1))),((VLOOKUP(J60,'Table 1 - Operational Info'!$B$5:$N$24,6,0))*(IF(J83="Yes",1-J85,1))))))*(J76/72)*J68/(J78),(IF(J73="Electricity",((VLOOKUP(J60,'Table 1 - Operational Info'!$B$29:$N$48,7,0))*(IF(J83="Yes",1-J85,1))),IF(J73="Steam",((VLOOKUP(J60,'Table 1 - Operational Info'!$B$29:$N$48,8,0))*(IF(J83="Yes",1-J85,1))),((VLOOKUP(J60,'Table 1 - Operational Info'!$B$29:$N$48,6,0))*(IF(J83="Yes",1-J85,1))))))*(J76/168)*J68/(J78))</f>
        <v>108.59254119999999</v>
      </c>
      <c r="K113" s="96">
        <f>IF(K76&lt;168,(IF(K73="Electricity",((VLOOKUP(K60,'Table 1 - Operational Info'!$B$5:$N$24,7,0))*(IF(K83="Yes",1-K85,1))),IF(K73="Steam",((VLOOKUP(K60,'Table 1 - Operational Info'!$B$5:$N$24,8,0))*(IF(K83="Yes",1-K85,1))),((VLOOKUP(K60,'Table 1 - Operational Info'!$B$5:$N$24,6,0))*(IF(K83="Yes",1-K85,1))))))*(K76/72)*K68/(K78),(IF(K73="Electricity",((VLOOKUP(K60,'Table 1 - Operational Info'!$B$29:$N$48,7,0))*(IF(K83="Yes",1-K85,1))),IF(K73="Steam",((VLOOKUP(K60,'Table 1 - Operational Info'!$B$29:$N$48,8,0))*(IF(K83="Yes",1-K85,1))),((VLOOKUP(K60,'Table 1 - Operational Info'!$B$29:$N$48,6,0))*(IF(K83="Yes",1-K85,1))))))*(K76/168)*K68/(K78))</f>
        <v>108.59254119999999</v>
      </c>
      <c r="L113" s="96">
        <f>IF(L76&lt;168,(IF(L73="Electricity",((VLOOKUP(L60,'Table 1 - Operational Info'!$B$5:$N$24,7,0))*(IF(L83="Yes",1-L85,1))),IF(L73="Steam",((VLOOKUP(L60,'Table 1 - Operational Info'!$B$5:$N$24,8,0))*(IF(L83="Yes",1-L85,1))),((VLOOKUP(L60,'Table 1 - Operational Info'!$B$5:$N$24,6,0))*(IF(L83="Yes",1-L85,1))))))*(L76/72)*L68/(L78),(IF(L73="Electricity",((VLOOKUP(L60,'Table 1 - Operational Info'!$B$29:$N$48,7,0))*(IF(L83="Yes",1-L85,1))),IF(L73="Steam",((VLOOKUP(L60,'Table 1 - Operational Info'!$B$29:$N$48,8,0))*(IF(L83="Yes",1-L85,1))),((VLOOKUP(L60,'Table 1 - Operational Info'!$B$29:$N$48,6,0))*(IF(L83="Yes",1-L85,1))))))*(L76/168)*L68/(L78))</f>
        <v>83.532723999999988</v>
      </c>
      <c r="M113" s="96">
        <f>IF(M76&lt;168,(IF(M73="Electricity",((VLOOKUP(M60,'Table 1 - Operational Info'!$B$5:$N$24,7,0))*(IF(M83="Yes",1-M85,1))),IF(M73="Steam",((VLOOKUP(M60,'Table 1 - Operational Info'!$B$5:$N$24,8,0))*(IF(M83="Yes",1-M85,1))),((VLOOKUP(M60,'Table 1 - Operational Info'!$B$5:$N$24,6,0))*(IF(M83="Yes",1-M85,1))))))*(M76/72)*M68/(M78),(IF(M73="Electricity",((VLOOKUP(M60,'Table 1 - Operational Info'!$B$29:$N$48,7,0))*(IF(M83="Yes",1-M85,1))),IF(M73="Steam",((VLOOKUP(M60,'Table 1 - Operational Info'!$B$29:$N$48,8,0))*(IF(M83="Yes",1-M85,1))),((VLOOKUP(M60,'Table 1 - Operational Info'!$B$29:$N$48,6,0))*(IF(M83="Yes",1-M85,1))))))*(M76/168)*M68/(M78))</f>
        <v>83.532723999999988</v>
      </c>
      <c r="N113" s="96">
        <f>IF(N76&lt;168,(IF(N73="Electricity",((VLOOKUP(N60,'Table 1 - Operational Info'!$B$5:$N$24,7,0))*(IF(N83="Yes",1-N85,1))),IF(N73="Steam",((VLOOKUP(N60,'Table 1 - Operational Info'!$B$5:$N$24,8,0))*(IF(N83="Yes",1-N85,1))),((VLOOKUP(N60,'Table 1 - Operational Info'!$B$5:$N$24,6,0))*(IF(N83="Yes",1-N85,1))))))*(N76/72)*N68/(N78),(IF(N73="Electricity",((VLOOKUP(N60,'Table 1 - Operational Info'!$B$29:$N$48,7,0))*(IF(N83="Yes",1-N85,1))),IF(N73="Steam",((VLOOKUP(N60,'Table 1 - Operational Info'!$B$29:$N$48,8,0))*(IF(N83="Yes",1-N85,1))),((VLOOKUP(N60,'Table 1 - Operational Info'!$B$29:$N$48,6,0))*(IF(N83="Yes",1-N85,1))))))*(N76/168)*N68/(N78))</f>
        <v>83.532723999999988</v>
      </c>
      <c r="O113" s="96">
        <f>IF(O76&lt;168,(IF(O73="Electricity",((VLOOKUP(O60,'Table 1 - Operational Info'!$B$5:$N$24,7,0))*(IF(O83="Yes",1-O85,1))),IF(O73="Steam",((VLOOKUP(O60,'Table 1 - Operational Info'!$B$5:$N$24,8,0))*(IF(O83="Yes",1-O85,1))),((VLOOKUP(O60,'Table 1 - Operational Info'!$B$5:$N$24,6,0))*(IF(O83="Yes",1-O85,1))))))*(O76/72)*O68/(O78),(IF(O73="Electricity",((VLOOKUP(O60,'Table 1 - Operational Info'!$B$29:$N$48,7,0))*(IF(O83="Yes",1-O85,1))),IF(O73="Steam",((VLOOKUP(O60,'Table 1 - Operational Info'!$B$29:$N$48,8,0))*(IF(O83="Yes",1-O85,1))),((VLOOKUP(O60,'Table 1 - Operational Info'!$B$29:$N$48,6,0))*(IF(O83="Yes",1-O85,1))))))*(O76/168)*O68/(O78))</f>
        <v>83.532723999999988</v>
      </c>
      <c r="P113" s="96">
        <f>IF(P76&lt;168,(IF(P73="Electricity",((VLOOKUP(P60,'Table 1 - Operational Info'!$B$5:$N$24,7,0))*(IF(P83="Yes",1-P85,1))),IF(P73="Steam",((VLOOKUP(P60,'Table 1 - Operational Info'!$B$5:$N$24,8,0))*(IF(P83="Yes",1-P85,1))),((VLOOKUP(P60,'Table 1 - Operational Info'!$B$5:$N$24,6,0))*(IF(P83="Yes",1-P85,1))))))*(P76/72)*P68/(P78),(IF(P73="Electricity",((VLOOKUP(P60,'Table 1 - Operational Info'!$B$29:$N$48,7,0))*(IF(P83="Yes",1-P85,1))),IF(P73="Steam",((VLOOKUP(P60,'Table 1 - Operational Info'!$B$29:$N$48,8,0))*(IF(P83="Yes",1-P85,1))),((VLOOKUP(P60,'Table 1 - Operational Info'!$B$29:$N$48,6,0))*(IF(P83="Yes",1-P85,1))))))*(P76/168)*P68/(P78))</f>
        <v>36.656647499999998</v>
      </c>
      <c r="Q113" s="96">
        <f>IF(Q76&lt;168,(IF(Q73="Electricity",((VLOOKUP(Q60,'Table 1 - Operational Info'!$B$5:$N$24,7,0))*(IF(Q83="Yes",1-Q85,1))),IF(Q73="Steam",((VLOOKUP(Q60,'Table 1 - Operational Info'!$B$5:$N$24,8,0))*(IF(Q83="Yes",1-Q85,1))),((VLOOKUP(Q60,'Table 1 - Operational Info'!$B$5:$N$24,6,0))*(IF(Q83="Yes",1-Q85,1))))))*(Q76/72)*Q68/(Q78),(IF(Q73="Electricity",((VLOOKUP(Q60,'Table 1 - Operational Info'!$B$29:$N$48,7,0))*(IF(Q83="Yes",1-Q85,1))),IF(Q73="Steam",((VLOOKUP(Q60,'Table 1 - Operational Info'!$B$29:$N$48,8,0))*(IF(Q83="Yes",1-Q85,1))),((VLOOKUP(Q60,'Table 1 - Operational Info'!$B$29:$N$48,6,0))*(IF(Q83="Yes",1-Q85,1))))))*(Q76/168)*Q68/(Q78))</f>
        <v>36.656647499999998</v>
      </c>
      <c r="R113" s="96">
        <f>IF(R76&lt;168,(IF(R73="Electricity",((VLOOKUP(R60,'Table 1 - Operational Info'!$B$5:$N$24,7,0))*(IF(R83="Yes",1-R85,1))),IF(R73="Steam",((VLOOKUP(R60,'Table 1 - Operational Info'!$B$5:$N$24,8,0))*(IF(R83="Yes",1-R85,1))),((VLOOKUP(R60,'Table 1 - Operational Info'!$B$5:$N$24,6,0))*(IF(R83="Yes",1-R85,1))))))*(R76/72)*R68/(R78),(IF(R73="Electricity",((VLOOKUP(R60,'Table 1 - Operational Info'!$B$29:$N$48,7,0))*(IF(R83="Yes",1-R85,1))),IF(R73="Steam",((VLOOKUP(R60,'Table 1 - Operational Info'!$B$29:$N$48,8,0))*(IF(R83="Yes",1-R85,1))),((VLOOKUP(R60,'Table 1 - Operational Info'!$B$29:$N$48,6,0))*(IF(R83="Yes",1-R85,1))))))*(R76/168)*R68/(R78))</f>
        <v>36.656647499999998</v>
      </c>
      <c r="S113" s="96">
        <f>IF(S76&lt;168,(IF(S73="Electricity",((VLOOKUP(S60,'Table 1 - Operational Info'!$B$5:$N$24,7,0))*(IF(S83="Yes",1-S85,1))),IF(S73="Steam",((VLOOKUP(S60,'Table 1 - Operational Info'!$B$5:$N$24,8,0))*(IF(S83="Yes",1-S85,1))),((VLOOKUP(S60,'Table 1 - Operational Info'!$B$5:$N$24,6,0))*(IF(S83="Yes",1-S85,1))))))*(S76/72)*S68/(S78),(IF(S73="Electricity",((VLOOKUP(S60,'Table 1 - Operational Info'!$B$29:$N$48,7,0))*(IF(S83="Yes",1-S85,1))),IF(S73="Steam",((VLOOKUP(S60,'Table 1 - Operational Info'!$B$29:$N$48,8,0))*(IF(S83="Yes",1-S85,1))),((VLOOKUP(S60,'Table 1 - Operational Info'!$B$29:$N$48,6,0))*(IF(S83="Yes",1-S85,1))))))*(S76/168)*S68/(S78))</f>
        <v>36.656647499999998</v>
      </c>
      <c r="T113" s="96">
        <f>IF(T76&lt;168,(IF(T73="Electricity",((VLOOKUP(T60,'Table 1 - Operational Info'!$B$5:$N$24,7,0))*(IF(T83="Yes",1-T85,1))),IF(T73="Steam",((VLOOKUP(T60,'Table 1 - Operational Info'!$B$5:$N$24,8,0))*(IF(T83="Yes",1-T85,1))),((VLOOKUP(T60,'Table 1 - Operational Info'!$B$5:$N$24,6,0))*(IF(T83="Yes",1-T85,1))))))*(T76/72)*T68/(T78),(IF(T73="Electricity",((VLOOKUP(T60,'Table 1 - Operational Info'!$B$29:$N$48,7,0))*(IF(T83="Yes",1-T85,1))),IF(T73="Steam",((VLOOKUP(T60,'Table 1 - Operational Info'!$B$29:$N$48,8,0))*(IF(T83="Yes",1-T85,1))),((VLOOKUP(T60,'Table 1 - Operational Info'!$B$29:$N$48,6,0))*(IF(T83="Yes",1-T85,1))))))*(T76/168)*T68/(T78))</f>
        <v>83.532723999999988</v>
      </c>
      <c r="U113" s="96">
        <f>IF(U76&lt;168,(IF(U73="Electricity",((VLOOKUP(U60,'Table 1 - Operational Info'!$B$5:$N$24,7,0))*(IF(U83="Yes",1-U85,1))),IF(U73="Steam",((VLOOKUP(U60,'Table 1 - Operational Info'!$B$5:$N$24,8,0))*(IF(U83="Yes",1-U85,1))),((VLOOKUP(U60,'Table 1 - Operational Info'!$B$5:$N$24,6,0))*(IF(U83="Yes",1-U85,1))))))*(U76/72)*U68/(U78),(IF(U73="Electricity",((VLOOKUP(U60,'Table 1 - Operational Info'!$B$29:$N$48,7,0))*(IF(U83="Yes",1-U85,1))),IF(U73="Steam",((VLOOKUP(U60,'Table 1 - Operational Info'!$B$29:$N$48,8,0))*(IF(U83="Yes",1-U85,1))),((VLOOKUP(U60,'Table 1 - Operational Info'!$B$29:$N$48,6,0))*(IF(U83="Yes",1-U85,1))))))*(U76/168)*U68/(U78))</f>
        <v>83.532723999999988</v>
      </c>
      <c r="V113" s="96">
        <f>IF(V76&lt;168,(IF(V73="Electricity",((VLOOKUP(V60,'Table 1 - Operational Info'!$B$5:$N$24,7,0))*(IF(V83="Yes",1-V85,1))),IF(V73="Steam",((VLOOKUP(V60,'Table 1 - Operational Info'!$B$5:$N$24,8,0))*(IF(V83="Yes",1-V85,1))),((VLOOKUP(V60,'Table 1 - Operational Info'!$B$5:$N$24,6,0))*(IF(V83="Yes",1-V85,1))))))*(V76/72)*V68/(V78),(IF(V73="Electricity",((VLOOKUP(V60,'Table 1 - Operational Info'!$B$29:$N$48,7,0))*(IF(V83="Yes",1-V85,1))),IF(V73="Steam",((VLOOKUP(V60,'Table 1 - Operational Info'!$B$29:$N$48,8,0))*(IF(V83="Yes",1-V85,1))),((VLOOKUP(V60,'Table 1 - Operational Info'!$B$29:$N$48,6,0))*(IF(V83="Yes",1-V85,1))))))*(V76/168)*V68/(V78))</f>
        <v>83.532723999999988</v>
      </c>
      <c r="W113" s="126"/>
      <c r="X113" s="126"/>
      <c r="Y113" s="126"/>
      <c r="Z113" s="126"/>
      <c r="AA113" s="126"/>
      <c r="AB113" s="126"/>
    </row>
    <row r="114" spans="1:28" ht="13.5" hidden="1" customHeight="1" outlineLevel="1">
      <c r="A114" s="124"/>
      <c r="B114" s="94" t="s">
        <v>174</v>
      </c>
      <c r="C114" s="95">
        <f t="shared" ref="C114:V114" si="53">C80*C113</f>
        <v>163.08239015990159</v>
      </c>
      <c r="D114" s="95">
        <f t="shared" si="53"/>
        <v>560.59571617466167</v>
      </c>
      <c r="E114" s="95">
        <f t="shared" si="53"/>
        <v>560.59571617466167</v>
      </c>
      <c r="F114" s="95">
        <f t="shared" si="53"/>
        <v>560.59571617466167</v>
      </c>
      <c r="G114" s="95">
        <f t="shared" si="53"/>
        <v>560.59571617466167</v>
      </c>
      <c r="H114" s="95">
        <f t="shared" si="53"/>
        <v>83.036116989749885</v>
      </c>
      <c r="I114" s="95">
        <f t="shared" si="53"/>
        <v>83.036116989749885</v>
      </c>
      <c r="J114" s="95">
        <f t="shared" si="53"/>
        <v>83.036116989749885</v>
      </c>
      <c r="K114" s="95">
        <f t="shared" si="53"/>
        <v>83.036116989749885</v>
      </c>
      <c r="L114" s="95">
        <f t="shared" si="53"/>
        <v>63.873936145961444</v>
      </c>
      <c r="M114" s="95">
        <f t="shared" si="53"/>
        <v>63.873936145961444</v>
      </c>
      <c r="N114" s="95">
        <f t="shared" si="53"/>
        <v>63.873936145961444</v>
      </c>
      <c r="O114" s="95">
        <f t="shared" si="53"/>
        <v>63.873936145961444</v>
      </c>
      <c r="P114" s="95">
        <f t="shared" si="53"/>
        <v>28.029785808733084</v>
      </c>
      <c r="Q114" s="95">
        <f t="shared" si="53"/>
        <v>28.029785808733084</v>
      </c>
      <c r="R114" s="95">
        <f t="shared" si="53"/>
        <v>28.029785808733084</v>
      </c>
      <c r="S114" s="95">
        <f t="shared" si="53"/>
        <v>28.029785808733084</v>
      </c>
      <c r="T114" s="95">
        <f t="shared" si="53"/>
        <v>63.873936145961444</v>
      </c>
      <c r="U114" s="95">
        <f t="shared" si="53"/>
        <v>63.873936145961444</v>
      </c>
      <c r="V114" s="95">
        <f t="shared" si="53"/>
        <v>63.873936145961444</v>
      </c>
      <c r="W114" s="126"/>
      <c r="X114" s="126"/>
      <c r="Y114" s="126"/>
      <c r="Z114" s="126"/>
      <c r="AA114" s="126"/>
      <c r="AB114" s="126"/>
    </row>
    <row r="115" spans="1:28" ht="13.5" hidden="1" customHeight="1" outlineLevel="1">
      <c r="A115" s="124"/>
      <c r="B115" s="12"/>
      <c r="C115" s="97">
        <f>' Calculation'!B66</f>
        <v>0</v>
      </c>
      <c r="D115" s="97"/>
      <c r="E115" s="97"/>
      <c r="F115" s="97"/>
      <c r="G115" s="97"/>
      <c r="H115" s="97"/>
      <c r="I115" s="97"/>
      <c r="J115" s="97"/>
      <c r="K115" s="97"/>
      <c r="L115" s="97"/>
      <c r="M115" s="97"/>
      <c r="N115" s="97"/>
      <c r="O115" s="97"/>
      <c r="P115" s="97"/>
      <c r="Q115" s="97"/>
      <c r="R115" s="97"/>
      <c r="S115" s="97"/>
      <c r="T115" s="97"/>
      <c r="U115" s="97"/>
      <c r="V115" s="97"/>
      <c r="W115" s="126"/>
      <c r="X115" s="126"/>
      <c r="Y115" s="126"/>
      <c r="Z115" s="126"/>
      <c r="AA115" s="126"/>
      <c r="AB115" s="126"/>
    </row>
    <row r="116" spans="1:28" ht="13.5" hidden="1" customHeight="1" outlineLevel="1">
      <c r="A116" s="124"/>
      <c r="B116" s="29" t="s">
        <v>175</v>
      </c>
      <c r="C116" s="99">
        <f>' Calculation'!B67</f>
        <v>0</v>
      </c>
      <c r="D116" s="99"/>
      <c r="E116" s="99"/>
      <c r="F116" s="99"/>
      <c r="G116" s="99"/>
      <c r="H116" s="99"/>
      <c r="I116" s="99"/>
      <c r="J116" s="99"/>
      <c r="K116" s="99"/>
      <c r="L116" s="99"/>
      <c r="M116" s="99"/>
      <c r="N116" s="99"/>
      <c r="O116" s="99"/>
      <c r="P116" s="99"/>
      <c r="Q116" s="99"/>
      <c r="R116" s="99"/>
      <c r="S116" s="99"/>
      <c r="T116" s="99"/>
      <c r="U116" s="99"/>
      <c r="V116" s="99"/>
      <c r="W116" s="126"/>
      <c r="X116" s="126"/>
      <c r="Y116" s="126"/>
      <c r="Z116" s="126"/>
      <c r="AA116" s="126"/>
      <c r="AB116" s="126"/>
    </row>
    <row r="117" spans="1:28" ht="13.5" hidden="1" customHeight="1" outlineLevel="1">
      <c r="A117" s="124"/>
      <c r="B117" s="94" t="s">
        <v>176</v>
      </c>
      <c r="C117" s="100">
        <f>' Calculation'!B68</f>
        <v>0.34868366013071905</v>
      </c>
      <c r="D117" s="100">
        <f t="shared" ref="D117:V117" si="54">IF(D88="No",0,((((((D65-D68)*1.699)/60)/60)*D90/0.00401865)/(D91*D92))/1000)</f>
        <v>0</v>
      </c>
      <c r="E117" s="100">
        <f t="shared" si="54"/>
        <v>0</v>
      </c>
      <c r="F117" s="100">
        <f t="shared" si="54"/>
        <v>0</v>
      </c>
      <c r="G117" s="100">
        <f t="shared" si="54"/>
        <v>0</v>
      </c>
      <c r="H117" s="100">
        <f t="shared" si="54"/>
        <v>0.33971638908112267</v>
      </c>
      <c r="I117" s="100">
        <f t="shared" si="54"/>
        <v>0.43153162937331807</v>
      </c>
      <c r="J117" s="100">
        <f t="shared" si="54"/>
        <v>0.44071315340253758</v>
      </c>
      <c r="K117" s="100">
        <f t="shared" si="54"/>
        <v>0.48049975752915547</v>
      </c>
      <c r="L117" s="100">
        <f t="shared" si="54"/>
        <v>0.35334758169934638</v>
      </c>
      <c r="M117" s="100">
        <f t="shared" si="54"/>
        <v>0.44884692810457522</v>
      </c>
      <c r="N117" s="100">
        <f t="shared" si="54"/>
        <v>0.458396862745098</v>
      </c>
      <c r="O117" s="100">
        <f t="shared" si="54"/>
        <v>0.49977991285403056</v>
      </c>
      <c r="P117" s="100">
        <f t="shared" si="54"/>
        <v>0.37884564590542097</v>
      </c>
      <c r="Q117" s="100">
        <f t="shared" si="54"/>
        <v>0.48123636101499428</v>
      </c>
      <c r="R117" s="100">
        <f t="shared" si="54"/>
        <v>0.49147543252595149</v>
      </c>
      <c r="S117" s="100">
        <f t="shared" si="54"/>
        <v>0.53584474240676661</v>
      </c>
      <c r="T117" s="100">
        <f t="shared" si="54"/>
        <v>0.35334758169934638</v>
      </c>
      <c r="U117" s="100">
        <f t="shared" si="54"/>
        <v>0.44884692810457522</v>
      </c>
      <c r="V117" s="100">
        <f t="shared" si="54"/>
        <v>0.458396862745098</v>
      </c>
      <c r="W117" s="126"/>
      <c r="X117" s="126"/>
      <c r="Y117" s="126"/>
      <c r="Z117" s="126"/>
      <c r="AA117" s="126"/>
      <c r="AB117" s="126"/>
    </row>
    <row r="118" spans="1:28" ht="13.5" hidden="1" customHeight="1" outlineLevel="1">
      <c r="A118" s="124"/>
      <c r="B118" s="94" t="s">
        <v>179</v>
      </c>
      <c r="C118" s="103">
        <f>' Calculation'!B69</f>
        <v>175.68745348680264</v>
      </c>
      <c r="D118" s="103">
        <f t="shared" ref="D118:V118" si="55">IF(D88="No",0,D117*D76*52*D79)</f>
        <v>0</v>
      </c>
      <c r="E118" s="103">
        <f t="shared" si="55"/>
        <v>0</v>
      </c>
      <c r="F118" s="103">
        <f t="shared" si="55"/>
        <v>0</v>
      </c>
      <c r="G118" s="103">
        <f t="shared" si="55"/>
        <v>0</v>
      </c>
      <c r="H118" s="103">
        <f t="shared" si="55"/>
        <v>171.1692118954447</v>
      </c>
      <c r="I118" s="103">
        <f t="shared" si="55"/>
        <v>217.43116105637577</v>
      </c>
      <c r="J118" s="103">
        <f t="shared" si="55"/>
        <v>222.05735597246886</v>
      </c>
      <c r="K118" s="103">
        <f t="shared" si="55"/>
        <v>242.10420060887225</v>
      </c>
      <c r="L118" s="103">
        <f t="shared" si="55"/>
        <v>178.03741305573431</v>
      </c>
      <c r="M118" s="103">
        <f t="shared" si="55"/>
        <v>226.15563280052743</v>
      </c>
      <c r="N118" s="103">
        <f t="shared" si="55"/>
        <v>230.96745477500664</v>
      </c>
      <c r="O118" s="103">
        <f t="shared" si="55"/>
        <v>251.81868333108375</v>
      </c>
      <c r="P118" s="103">
        <f t="shared" si="55"/>
        <v>190.88484607719803</v>
      </c>
      <c r="Q118" s="103">
        <f t="shared" si="55"/>
        <v>242.47534501698135</v>
      </c>
      <c r="R118" s="103">
        <f t="shared" si="55"/>
        <v>247.6343949109596</v>
      </c>
      <c r="S118" s="103">
        <f t="shared" si="55"/>
        <v>269.99027778486567</v>
      </c>
      <c r="T118" s="103">
        <f t="shared" si="55"/>
        <v>178.03741305573431</v>
      </c>
      <c r="U118" s="103">
        <f t="shared" si="55"/>
        <v>226.15563280052743</v>
      </c>
      <c r="V118" s="103">
        <f t="shared" si="55"/>
        <v>230.96745477500664</v>
      </c>
      <c r="W118" s="126"/>
      <c r="X118" s="126"/>
      <c r="Y118" s="126"/>
      <c r="Z118" s="126"/>
      <c r="AA118" s="126"/>
      <c r="AB118" s="126"/>
    </row>
    <row r="119" spans="1:28" ht="13.5" hidden="1" customHeight="1" outlineLevel="1">
      <c r="A119" s="124"/>
      <c r="B119" s="94" t="s">
        <v>181</v>
      </c>
      <c r="C119" s="103">
        <f>' Calculation'!B70</f>
        <v>875</v>
      </c>
      <c r="D119" s="103">
        <f>IF(D88="No",0,((12/D94)*VLOOKUP(D89,'Table 2 - Filtration Info'!$B$3:$H$11,3,0))*(ROUNDUP((((((D65-D68)*1.699)/60)/60/(D93/196.85))*10.7639),0)))</f>
        <v>0</v>
      </c>
      <c r="E119" s="103">
        <f>IF(E88="No",0,((12/E94)*VLOOKUP(E89,'Table 2 - Filtration Info'!$B$3:$H$11,3,0))*(ROUNDUP((((((E65-E68)*1.699)/60)/60/(E93/196.85))*10.7639),0)))</f>
        <v>0</v>
      </c>
      <c r="F119" s="103">
        <f>IF(F88="No",0,((12/F94)*VLOOKUP(F89,'Table 2 - Filtration Info'!$B$3:$H$11,3,0))*(ROUNDUP((((((F65-F68)*1.699)/60)/60/(F93/196.85))*10.7639),0)))</f>
        <v>0</v>
      </c>
      <c r="G119" s="103">
        <f>IF(G88="No",0,((12/G94)*VLOOKUP(G89,'Table 2 - Filtration Info'!$B$3:$H$11,3,0))*(ROUNDUP((((((G65-G68)*1.699)/60)/60/(G93/196.85))*10.7639),0)))</f>
        <v>0</v>
      </c>
      <c r="H119" s="103">
        <f>IF(H88="No",0,((12/H94)*VLOOKUP(H89,'Table 2 - Filtration Info'!$B$3:$H$11,3,0))*(ROUNDUP((((((H65-H68)*1.699)/60)/60/(H93/196.85))*10.7639),0)))</f>
        <v>160</v>
      </c>
      <c r="I119" s="103">
        <f>IF(I88="No",0,((12/I94)*VLOOKUP(I89,'Table 2 - Filtration Info'!$B$3:$H$11,3,0))*(ROUNDUP((((((I65-I68)*1.699)/60)/60/(I93/196.85))*10.7639),0)))</f>
        <v>210</v>
      </c>
      <c r="J119" s="103">
        <f>IF(J88="No",0,((12/J94)*VLOOKUP(J89,'Table 2 - Filtration Info'!$B$3:$H$11,3,0))*(ROUNDUP((((((J65-J68)*1.699)/60)/60/(J93/196.85))*10.7639),0)))</f>
        <v>330</v>
      </c>
      <c r="K119" s="103">
        <f>IF(K88="No",0,((12/K94)*VLOOKUP(K89,'Table 2 - Filtration Info'!$B$3:$H$11,3,0))*(ROUNDUP((((((K65-K68)*1.699)/60)/60/(K93/196.85))*10.7639),0)))</f>
        <v>1250</v>
      </c>
      <c r="L119" s="103">
        <f>IF(L88="No",0,((12/L94)*VLOOKUP(L89,'Table 2 - Filtration Info'!$B$3:$H$11,3,0))*(ROUNDUP((((((L65-L68)*1.699)/60)/60/(L93/196.85))*10.7639),0)))</f>
        <v>160</v>
      </c>
      <c r="M119" s="103">
        <f>IF(M88="No",0,((12/M94)*VLOOKUP(M89,'Table 2 - Filtration Info'!$B$3:$H$11,3,0))*(ROUNDUP((((((M65-M68)*1.699)/60)/60/(M93/196.85))*10.7639),0)))</f>
        <v>210</v>
      </c>
      <c r="N119" s="103">
        <f>IF(N88="No",0,((12/N94)*VLOOKUP(N89,'Table 2 - Filtration Info'!$B$3:$H$11,3,0))*(ROUNDUP((((((N65-N68)*1.699)/60)/60/(N93/196.85))*10.7639),0)))</f>
        <v>330</v>
      </c>
      <c r="O119" s="103">
        <f>IF(O88="No",0,((12/O94)*VLOOKUP(O89,'Table 2 - Filtration Info'!$B$3:$H$11,3,0))*(ROUNDUP((((((O65-O68)*1.699)/60)/60/(O93/196.85))*10.7639),0)))</f>
        <v>1250</v>
      </c>
      <c r="P119" s="103">
        <f>IF(P88="No",0,((12/P94)*VLOOKUP(P89,'Table 2 - Filtration Info'!$B$3:$H$11,3,0))*(ROUNDUP((((((P65-P68)*1.699)/60)/60/(P93/196.85))*10.7639),0)))</f>
        <v>176</v>
      </c>
      <c r="Q119" s="103">
        <f>IF(Q88="No",0,((12/Q94)*VLOOKUP(Q89,'Table 2 - Filtration Info'!$B$3:$H$11,3,0))*(ROUNDUP((((((Q65-Q68)*1.699)/60)/60/(Q93/196.85))*10.7639),0)))</f>
        <v>231</v>
      </c>
      <c r="R119" s="103">
        <f>IF(R88="No",0,((12/R94)*VLOOKUP(R89,'Table 2 - Filtration Info'!$B$3:$H$11,3,0))*(ROUNDUP((((((R65-R68)*1.699)/60)/60/(R93/196.85))*10.7639),0)))</f>
        <v>363</v>
      </c>
      <c r="S119" s="103">
        <f>IF(S88="No",0,((12/S94)*VLOOKUP(S89,'Table 2 - Filtration Info'!$B$3:$H$11,3,0))*(ROUNDUP((((((S65-S68)*1.699)/60)/60/(S93/196.85))*10.7639),0)))</f>
        <v>1375</v>
      </c>
      <c r="T119" s="103">
        <f>IF(T88="No",0,((12/T94)*VLOOKUP(T89,'Table 2 - Filtration Info'!$B$3:$H$11,3,0))*(ROUNDUP((((((T65-T68)*1.699)/60)/60/(T93/196.85))*10.7639),0)))</f>
        <v>160</v>
      </c>
      <c r="U119" s="103">
        <f>IF(U88="No",0,((12/U94)*VLOOKUP(U89,'Table 2 - Filtration Info'!$B$3:$H$11,3,0))*(ROUNDUP((((((U65-U68)*1.699)/60)/60/(U93/196.85))*10.7639),0)))</f>
        <v>210</v>
      </c>
      <c r="V119" s="103">
        <f>IF(V88="No",0,((12/V94)*VLOOKUP(V89,'Table 2 - Filtration Info'!$B$3:$H$11,3,0))*(ROUNDUP((((((V65-V68)*1.699)/60)/60/(V93/196.85))*10.7639),0)))</f>
        <v>330</v>
      </c>
      <c r="W119" s="126"/>
      <c r="X119" s="126"/>
      <c r="Y119" s="126"/>
      <c r="Z119" s="126"/>
      <c r="AA119" s="126"/>
      <c r="AB119" s="126"/>
    </row>
    <row r="120" spans="1:28" ht="13.5" hidden="1" customHeight="1" outlineLevel="1">
      <c r="A120" s="124"/>
      <c r="B120" s="94" t="s">
        <v>183</v>
      </c>
      <c r="C120" s="103">
        <f>' Calculation'!B71</f>
        <v>35</v>
      </c>
      <c r="D120" s="103">
        <f t="shared" ref="D120:V120" si="56">IF(D88="No",0,D95*(12/D94)*(ROUNDUP((((((D65-D68)*1.699)/60)/60/(D93/196.85))*10.7639),0)))</f>
        <v>0</v>
      </c>
      <c r="E120" s="103">
        <f t="shared" si="56"/>
        <v>0</v>
      </c>
      <c r="F120" s="103">
        <f t="shared" si="56"/>
        <v>0</v>
      </c>
      <c r="G120" s="103">
        <f t="shared" si="56"/>
        <v>0</v>
      </c>
      <c r="H120" s="103">
        <f t="shared" si="56"/>
        <v>200</v>
      </c>
      <c r="I120" s="103">
        <f t="shared" si="56"/>
        <v>150</v>
      </c>
      <c r="J120" s="103">
        <f t="shared" si="56"/>
        <v>150</v>
      </c>
      <c r="K120" s="103">
        <f t="shared" si="56"/>
        <v>50</v>
      </c>
      <c r="L120" s="103">
        <f t="shared" si="56"/>
        <v>200</v>
      </c>
      <c r="M120" s="103">
        <f t="shared" si="56"/>
        <v>150</v>
      </c>
      <c r="N120" s="103">
        <f t="shared" si="56"/>
        <v>150</v>
      </c>
      <c r="O120" s="103">
        <f t="shared" si="56"/>
        <v>50</v>
      </c>
      <c r="P120" s="103">
        <f t="shared" si="56"/>
        <v>220</v>
      </c>
      <c r="Q120" s="103">
        <f t="shared" si="56"/>
        <v>165</v>
      </c>
      <c r="R120" s="103">
        <f t="shared" si="56"/>
        <v>165</v>
      </c>
      <c r="S120" s="103">
        <f t="shared" si="56"/>
        <v>55</v>
      </c>
      <c r="T120" s="103">
        <f t="shared" si="56"/>
        <v>200</v>
      </c>
      <c r="U120" s="103">
        <f t="shared" si="56"/>
        <v>150</v>
      </c>
      <c r="V120" s="103">
        <f t="shared" si="56"/>
        <v>150</v>
      </c>
      <c r="W120" s="126"/>
      <c r="X120" s="126"/>
      <c r="Y120" s="126"/>
      <c r="Z120" s="126"/>
      <c r="AA120" s="126"/>
      <c r="AB120" s="126"/>
    </row>
    <row r="121" spans="1:28" ht="13.5" hidden="1" customHeight="1" outlineLevel="1">
      <c r="A121" s="124"/>
      <c r="B121" s="94" t="s">
        <v>185</v>
      </c>
      <c r="C121" s="103">
        <f>' Calculation'!B72</f>
        <v>1085.6874534868027</v>
      </c>
      <c r="D121" s="103">
        <f t="shared" ref="D121:V121" si="57">IF(D88="No",0,D118+D119+D120)</f>
        <v>0</v>
      </c>
      <c r="E121" s="103">
        <f t="shared" si="57"/>
        <v>0</v>
      </c>
      <c r="F121" s="103">
        <f t="shared" si="57"/>
        <v>0</v>
      </c>
      <c r="G121" s="103">
        <f t="shared" si="57"/>
        <v>0</v>
      </c>
      <c r="H121" s="103">
        <f t="shared" si="57"/>
        <v>531.16921189544473</v>
      </c>
      <c r="I121" s="103">
        <f t="shared" si="57"/>
        <v>577.4311610563758</v>
      </c>
      <c r="J121" s="103">
        <f t="shared" si="57"/>
        <v>702.05735597246883</v>
      </c>
      <c r="K121" s="103">
        <f t="shared" si="57"/>
        <v>1542.1042006088724</v>
      </c>
      <c r="L121" s="103">
        <f t="shared" si="57"/>
        <v>538.03741305573431</v>
      </c>
      <c r="M121" s="103">
        <f t="shared" si="57"/>
        <v>586.15563280052743</v>
      </c>
      <c r="N121" s="103">
        <f t="shared" si="57"/>
        <v>710.96745477500667</v>
      </c>
      <c r="O121" s="103">
        <f t="shared" si="57"/>
        <v>1551.8186833310838</v>
      </c>
      <c r="P121" s="103">
        <f t="shared" si="57"/>
        <v>586.88484607719806</v>
      </c>
      <c r="Q121" s="103">
        <f t="shared" si="57"/>
        <v>638.47534501698135</v>
      </c>
      <c r="R121" s="103">
        <f t="shared" si="57"/>
        <v>775.6343949109596</v>
      </c>
      <c r="S121" s="103">
        <f t="shared" si="57"/>
        <v>1699.9902777848656</v>
      </c>
      <c r="T121" s="103">
        <f t="shared" si="57"/>
        <v>538.03741305573431</v>
      </c>
      <c r="U121" s="103">
        <f t="shared" si="57"/>
        <v>586.15563280052743</v>
      </c>
      <c r="V121" s="103">
        <f t="shared" si="57"/>
        <v>710.96745477500667</v>
      </c>
      <c r="W121" s="126"/>
      <c r="X121" s="126"/>
      <c r="Y121" s="126"/>
      <c r="Z121" s="126"/>
      <c r="AA121" s="126"/>
      <c r="AB121" s="126"/>
    </row>
    <row r="122" spans="1:28" ht="13.5" hidden="1" customHeight="1" outlineLevel="1">
      <c r="A122" s="124"/>
      <c r="B122" s="10"/>
      <c r="C122" s="10">
        <f>' Calculation'!B73</f>
        <v>0</v>
      </c>
      <c r="D122" s="10"/>
      <c r="E122" s="10"/>
      <c r="F122" s="10"/>
      <c r="G122" s="10"/>
      <c r="H122" s="10"/>
      <c r="I122" s="10"/>
      <c r="J122" s="10"/>
      <c r="K122" s="10"/>
      <c r="L122" s="10"/>
      <c r="M122" s="10"/>
      <c r="N122" s="10"/>
      <c r="O122" s="10"/>
      <c r="P122" s="10"/>
      <c r="Q122" s="10"/>
      <c r="R122" s="10"/>
      <c r="S122" s="10"/>
      <c r="T122" s="10"/>
      <c r="U122" s="10"/>
      <c r="V122" s="10"/>
      <c r="W122" s="126"/>
      <c r="X122" s="126"/>
      <c r="Y122" s="126"/>
      <c r="Z122" s="126"/>
      <c r="AA122" s="126"/>
      <c r="AB122" s="126"/>
    </row>
    <row r="123" spans="1:28" ht="13.5" hidden="1" customHeight="1">
      <c r="A123" s="124"/>
      <c r="B123" s="29" t="s">
        <v>187</v>
      </c>
      <c r="C123" s="71">
        <f>' Calculation'!B74</f>
        <v>0</v>
      </c>
      <c r="D123" s="71"/>
      <c r="E123" s="71"/>
      <c r="F123" s="71"/>
      <c r="G123" s="71"/>
      <c r="H123" s="71"/>
      <c r="I123" s="71"/>
      <c r="J123" s="71"/>
      <c r="K123" s="71"/>
      <c r="L123" s="71"/>
      <c r="M123" s="71"/>
      <c r="N123" s="71"/>
      <c r="O123" s="71"/>
      <c r="P123" s="71"/>
      <c r="Q123" s="71"/>
      <c r="R123" s="71"/>
      <c r="S123" s="71"/>
      <c r="T123" s="71"/>
      <c r="U123" s="71"/>
      <c r="V123" s="71"/>
      <c r="W123" s="126"/>
      <c r="X123" s="126"/>
      <c r="Y123" s="126"/>
      <c r="Z123" s="126"/>
      <c r="AA123" s="126"/>
      <c r="AB123" s="126"/>
    </row>
    <row r="124" spans="1:28" ht="13.5" hidden="1" customHeight="1">
      <c r="A124" s="124"/>
      <c r="B124" s="94" t="s">
        <v>188</v>
      </c>
      <c r="C124" s="95">
        <f>' Calculation'!B75</f>
        <v>0</v>
      </c>
      <c r="D124" s="95">
        <f t="shared" ref="D124:V124" si="58">IF(D99="Yes",D105*D76*D100*52,0)</f>
        <v>0</v>
      </c>
      <c r="E124" s="95">
        <f t="shared" si="58"/>
        <v>0</v>
      </c>
      <c r="F124" s="95">
        <f t="shared" si="58"/>
        <v>0</v>
      </c>
      <c r="G124" s="95">
        <f t="shared" si="58"/>
        <v>0</v>
      </c>
      <c r="H124" s="95">
        <f t="shared" si="58"/>
        <v>0</v>
      </c>
      <c r="I124" s="95">
        <f t="shared" si="58"/>
        <v>0</v>
      </c>
      <c r="J124" s="95">
        <f t="shared" si="58"/>
        <v>0</v>
      </c>
      <c r="K124" s="95">
        <f t="shared" si="58"/>
        <v>0</v>
      </c>
      <c r="L124" s="95">
        <f t="shared" si="58"/>
        <v>0</v>
      </c>
      <c r="M124" s="95">
        <f t="shared" si="58"/>
        <v>0</v>
      </c>
      <c r="N124" s="95">
        <f t="shared" si="58"/>
        <v>0</v>
      </c>
      <c r="O124" s="95">
        <f t="shared" si="58"/>
        <v>0</v>
      </c>
      <c r="P124" s="95">
        <f t="shared" si="58"/>
        <v>0</v>
      </c>
      <c r="Q124" s="95">
        <f t="shared" si="58"/>
        <v>0</v>
      </c>
      <c r="R124" s="95">
        <f t="shared" si="58"/>
        <v>0</v>
      </c>
      <c r="S124" s="95">
        <f t="shared" si="58"/>
        <v>0</v>
      </c>
      <c r="T124" s="95">
        <f t="shared" si="58"/>
        <v>0</v>
      </c>
      <c r="U124" s="95">
        <f t="shared" si="58"/>
        <v>0</v>
      </c>
      <c r="V124" s="95">
        <f t="shared" si="58"/>
        <v>0</v>
      </c>
      <c r="W124" s="126"/>
      <c r="X124" s="126"/>
      <c r="Y124" s="126"/>
      <c r="Z124" s="126"/>
      <c r="AA124" s="126"/>
      <c r="AB124" s="126"/>
    </row>
    <row r="125" spans="1:28" ht="13.5" hidden="1" customHeight="1">
      <c r="A125" s="124"/>
      <c r="B125" s="94" t="s">
        <v>189</v>
      </c>
      <c r="C125" s="95">
        <f>' Calculation'!B76</f>
        <v>0</v>
      </c>
      <c r="D125" s="95">
        <f t="shared" ref="D125:V125" si="59">IF(D99="Yes",D124*D79,0)</f>
        <v>0</v>
      </c>
      <c r="E125" s="95">
        <f t="shared" si="59"/>
        <v>0</v>
      </c>
      <c r="F125" s="95">
        <f t="shared" si="59"/>
        <v>0</v>
      </c>
      <c r="G125" s="95">
        <f t="shared" si="59"/>
        <v>0</v>
      </c>
      <c r="H125" s="95">
        <f t="shared" si="59"/>
        <v>0</v>
      </c>
      <c r="I125" s="95">
        <f t="shared" si="59"/>
        <v>0</v>
      </c>
      <c r="J125" s="95">
        <f t="shared" si="59"/>
        <v>0</v>
      </c>
      <c r="K125" s="95">
        <f t="shared" si="59"/>
        <v>0</v>
      </c>
      <c r="L125" s="95">
        <f t="shared" si="59"/>
        <v>0</v>
      </c>
      <c r="M125" s="95">
        <f t="shared" si="59"/>
        <v>0</v>
      </c>
      <c r="N125" s="95">
        <f t="shared" si="59"/>
        <v>0</v>
      </c>
      <c r="O125" s="95">
        <f t="shared" si="59"/>
        <v>0</v>
      </c>
      <c r="P125" s="95">
        <f t="shared" si="59"/>
        <v>0</v>
      </c>
      <c r="Q125" s="95">
        <f t="shared" si="59"/>
        <v>0</v>
      </c>
      <c r="R125" s="95">
        <f t="shared" si="59"/>
        <v>0</v>
      </c>
      <c r="S125" s="95">
        <f t="shared" si="59"/>
        <v>0</v>
      </c>
      <c r="T125" s="95">
        <f t="shared" si="59"/>
        <v>0</v>
      </c>
      <c r="U125" s="95">
        <f t="shared" si="59"/>
        <v>0</v>
      </c>
      <c r="V125" s="95">
        <f t="shared" si="59"/>
        <v>0</v>
      </c>
      <c r="W125" s="126"/>
      <c r="X125" s="126"/>
      <c r="Y125" s="126"/>
      <c r="Z125" s="126"/>
      <c r="AA125" s="126"/>
      <c r="AB125" s="126"/>
    </row>
    <row r="126" spans="1:28" ht="13.5" hidden="1" customHeight="1">
      <c r="A126" s="124"/>
      <c r="B126" s="94" t="s">
        <v>190</v>
      </c>
      <c r="C126" s="95">
        <f>' Calculation'!B77</f>
        <v>0</v>
      </c>
      <c r="D126" s="95">
        <f t="shared" ref="D126:V126" si="60">IF(D99="Yes",(D108*D100)*(12/D106),0)</f>
        <v>0</v>
      </c>
      <c r="E126" s="95">
        <f t="shared" si="60"/>
        <v>0</v>
      </c>
      <c r="F126" s="95">
        <f t="shared" si="60"/>
        <v>0</v>
      </c>
      <c r="G126" s="95">
        <f t="shared" si="60"/>
        <v>0</v>
      </c>
      <c r="H126" s="95">
        <f t="shared" si="60"/>
        <v>0</v>
      </c>
      <c r="I126" s="95">
        <f t="shared" si="60"/>
        <v>0</v>
      </c>
      <c r="J126" s="95">
        <f t="shared" si="60"/>
        <v>0</v>
      </c>
      <c r="K126" s="95">
        <f t="shared" si="60"/>
        <v>0</v>
      </c>
      <c r="L126" s="95">
        <f t="shared" si="60"/>
        <v>0</v>
      </c>
      <c r="M126" s="95">
        <f t="shared" si="60"/>
        <v>0</v>
      </c>
      <c r="N126" s="95">
        <f t="shared" si="60"/>
        <v>0</v>
      </c>
      <c r="O126" s="95">
        <f t="shared" si="60"/>
        <v>0</v>
      </c>
      <c r="P126" s="95">
        <f t="shared" si="60"/>
        <v>0</v>
      </c>
      <c r="Q126" s="95">
        <f t="shared" si="60"/>
        <v>0</v>
      </c>
      <c r="R126" s="95">
        <f t="shared" si="60"/>
        <v>0</v>
      </c>
      <c r="S126" s="95">
        <f t="shared" si="60"/>
        <v>0</v>
      </c>
      <c r="T126" s="95">
        <f t="shared" si="60"/>
        <v>0</v>
      </c>
      <c r="U126" s="95">
        <f t="shared" si="60"/>
        <v>0</v>
      </c>
      <c r="V126" s="95">
        <f t="shared" si="60"/>
        <v>0</v>
      </c>
      <c r="W126" s="126"/>
      <c r="X126" s="126"/>
      <c r="Y126" s="126"/>
      <c r="Z126" s="126"/>
      <c r="AA126" s="126"/>
      <c r="AB126" s="126"/>
    </row>
    <row r="127" spans="1:28" ht="13.5" hidden="1" customHeight="1">
      <c r="A127" s="124"/>
      <c r="B127" s="94" t="s">
        <v>191</v>
      </c>
      <c r="C127" s="95">
        <f>' Calculation'!B78</f>
        <v>0</v>
      </c>
      <c r="D127" s="95">
        <f t="shared" ref="D127:V127" si="61">IF(D99="Yes",D107*(12/D106)*D100,0)</f>
        <v>0</v>
      </c>
      <c r="E127" s="95">
        <f t="shared" si="61"/>
        <v>0</v>
      </c>
      <c r="F127" s="95">
        <f t="shared" si="61"/>
        <v>0</v>
      </c>
      <c r="G127" s="95">
        <f t="shared" si="61"/>
        <v>0</v>
      </c>
      <c r="H127" s="95">
        <f t="shared" si="61"/>
        <v>0</v>
      </c>
      <c r="I127" s="95">
        <f t="shared" si="61"/>
        <v>0</v>
      </c>
      <c r="J127" s="95">
        <f t="shared" si="61"/>
        <v>0</v>
      </c>
      <c r="K127" s="95">
        <f t="shared" si="61"/>
        <v>0</v>
      </c>
      <c r="L127" s="95">
        <f t="shared" si="61"/>
        <v>0</v>
      </c>
      <c r="M127" s="95">
        <f t="shared" si="61"/>
        <v>0</v>
      </c>
      <c r="N127" s="95">
        <f t="shared" si="61"/>
        <v>0</v>
      </c>
      <c r="O127" s="95">
        <f t="shared" si="61"/>
        <v>0</v>
      </c>
      <c r="P127" s="95">
        <f t="shared" si="61"/>
        <v>0</v>
      </c>
      <c r="Q127" s="95">
        <f t="shared" si="61"/>
        <v>0</v>
      </c>
      <c r="R127" s="95">
        <f t="shared" si="61"/>
        <v>0</v>
      </c>
      <c r="S127" s="95">
        <f t="shared" si="61"/>
        <v>0</v>
      </c>
      <c r="T127" s="95">
        <f t="shared" si="61"/>
        <v>0</v>
      </c>
      <c r="U127" s="95">
        <f t="shared" si="61"/>
        <v>0</v>
      </c>
      <c r="V127" s="95">
        <f t="shared" si="61"/>
        <v>0</v>
      </c>
      <c r="W127" s="126"/>
      <c r="X127" s="126"/>
      <c r="Y127" s="126"/>
      <c r="Z127" s="126"/>
      <c r="AA127" s="126"/>
      <c r="AB127" s="126"/>
    </row>
    <row r="128" spans="1:28" ht="13.5" hidden="1" customHeight="1">
      <c r="A128" s="124"/>
      <c r="B128" s="94" t="s">
        <v>192</v>
      </c>
      <c r="C128" s="95">
        <f>' Calculation'!B79</f>
        <v>0</v>
      </c>
      <c r="D128" s="95">
        <f t="shared" ref="D128:V128" si="62">IF(D99="Yes",D125+D126+D127,0)</f>
        <v>0</v>
      </c>
      <c r="E128" s="95">
        <f t="shared" si="62"/>
        <v>0</v>
      </c>
      <c r="F128" s="95">
        <f t="shared" si="62"/>
        <v>0</v>
      </c>
      <c r="G128" s="95">
        <f t="shared" si="62"/>
        <v>0</v>
      </c>
      <c r="H128" s="95">
        <f t="shared" si="62"/>
        <v>0</v>
      </c>
      <c r="I128" s="95">
        <f t="shared" si="62"/>
        <v>0</v>
      </c>
      <c r="J128" s="95">
        <f t="shared" si="62"/>
        <v>0</v>
      </c>
      <c r="K128" s="95">
        <f t="shared" si="62"/>
        <v>0</v>
      </c>
      <c r="L128" s="95">
        <f t="shared" si="62"/>
        <v>0</v>
      </c>
      <c r="M128" s="95">
        <f t="shared" si="62"/>
        <v>0</v>
      </c>
      <c r="N128" s="95">
        <f t="shared" si="62"/>
        <v>0</v>
      </c>
      <c r="O128" s="95">
        <f t="shared" si="62"/>
        <v>0</v>
      </c>
      <c r="P128" s="95">
        <f t="shared" si="62"/>
        <v>0</v>
      </c>
      <c r="Q128" s="95">
        <f t="shared" si="62"/>
        <v>0</v>
      </c>
      <c r="R128" s="95">
        <f t="shared" si="62"/>
        <v>0</v>
      </c>
      <c r="S128" s="95">
        <f t="shared" si="62"/>
        <v>0</v>
      </c>
      <c r="T128" s="95">
        <f t="shared" si="62"/>
        <v>0</v>
      </c>
      <c r="U128" s="95">
        <f t="shared" si="62"/>
        <v>0</v>
      </c>
      <c r="V128" s="95">
        <f t="shared" si="62"/>
        <v>0</v>
      </c>
      <c r="W128" s="126"/>
      <c r="X128" s="126"/>
      <c r="Y128" s="126"/>
      <c r="Z128" s="126"/>
      <c r="AA128" s="126"/>
      <c r="AB128" s="126"/>
    </row>
    <row r="129" spans="1:28" ht="13.5" hidden="1" customHeight="1">
      <c r="A129" s="124"/>
      <c r="B129" s="94" t="s">
        <v>194</v>
      </c>
      <c r="C129" s="95">
        <f>' Calculation'!B80</f>
        <v>0</v>
      </c>
      <c r="D129" s="95">
        <f t="shared" ref="D129:V129" si="63">IF(D99="Yes",D104*D100,0)</f>
        <v>0</v>
      </c>
      <c r="E129" s="95">
        <f t="shared" si="63"/>
        <v>0</v>
      </c>
      <c r="F129" s="95">
        <f t="shared" si="63"/>
        <v>0</v>
      </c>
      <c r="G129" s="95">
        <f t="shared" si="63"/>
        <v>0</v>
      </c>
      <c r="H129" s="95">
        <f t="shared" si="63"/>
        <v>0</v>
      </c>
      <c r="I129" s="95">
        <f t="shared" si="63"/>
        <v>0</v>
      </c>
      <c r="J129" s="95">
        <f t="shared" si="63"/>
        <v>0</v>
      </c>
      <c r="K129" s="95">
        <f t="shared" si="63"/>
        <v>0</v>
      </c>
      <c r="L129" s="95">
        <f t="shared" si="63"/>
        <v>0</v>
      </c>
      <c r="M129" s="95">
        <f t="shared" si="63"/>
        <v>0</v>
      </c>
      <c r="N129" s="95">
        <f t="shared" si="63"/>
        <v>0</v>
      </c>
      <c r="O129" s="95">
        <f t="shared" si="63"/>
        <v>0</v>
      </c>
      <c r="P129" s="95">
        <f t="shared" si="63"/>
        <v>0</v>
      </c>
      <c r="Q129" s="95">
        <f t="shared" si="63"/>
        <v>0</v>
      </c>
      <c r="R129" s="95">
        <f t="shared" si="63"/>
        <v>0</v>
      </c>
      <c r="S129" s="95">
        <f t="shared" si="63"/>
        <v>0</v>
      </c>
      <c r="T129" s="95">
        <f t="shared" si="63"/>
        <v>0</v>
      </c>
      <c r="U129" s="95">
        <f t="shared" si="63"/>
        <v>0</v>
      </c>
      <c r="V129" s="95">
        <f t="shared" si="63"/>
        <v>0</v>
      </c>
      <c r="W129" s="126"/>
      <c r="X129" s="126"/>
      <c r="Y129" s="126"/>
      <c r="Z129" s="126"/>
      <c r="AA129" s="126"/>
      <c r="AB129" s="126"/>
    </row>
    <row r="130" spans="1:28" ht="13.5" hidden="1" customHeight="1">
      <c r="A130" s="124"/>
      <c r="B130" s="12"/>
      <c r="C130" s="68">
        <f>' Calculation'!B81</f>
        <v>0</v>
      </c>
      <c r="D130" s="68"/>
      <c r="E130" s="68"/>
      <c r="F130" s="68"/>
      <c r="G130" s="68"/>
      <c r="H130" s="68"/>
      <c r="I130" s="68"/>
      <c r="J130" s="68"/>
      <c r="K130" s="68"/>
      <c r="L130" s="68"/>
      <c r="M130" s="68"/>
      <c r="N130" s="68"/>
      <c r="O130" s="68"/>
      <c r="P130" s="68"/>
      <c r="Q130" s="68"/>
      <c r="R130" s="68"/>
      <c r="S130" s="68"/>
      <c r="T130" s="68"/>
      <c r="U130" s="68"/>
      <c r="V130" s="68"/>
      <c r="W130" s="126"/>
      <c r="X130" s="126"/>
      <c r="Y130" s="126"/>
      <c r="Z130" s="126"/>
      <c r="AA130" s="126"/>
      <c r="AB130" s="126"/>
    </row>
    <row r="131" spans="1:28" ht="13.5" hidden="1" customHeight="1">
      <c r="A131" s="124"/>
      <c r="B131" s="29" t="s">
        <v>195</v>
      </c>
      <c r="C131" s="99">
        <f>' Calculation'!B82</f>
        <v>0</v>
      </c>
      <c r="D131" s="99"/>
      <c r="E131" s="99"/>
      <c r="F131" s="99"/>
      <c r="G131" s="99"/>
      <c r="H131" s="99"/>
      <c r="I131" s="99"/>
      <c r="J131" s="99"/>
      <c r="K131" s="99"/>
      <c r="L131" s="99"/>
      <c r="M131" s="99"/>
      <c r="N131" s="99"/>
      <c r="O131" s="99"/>
      <c r="P131" s="99"/>
      <c r="Q131" s="99"/>
      <c r="R131" s="99"/>
      <c r="S131" s="99"/>
      <c r="T131" s="99"/>
      <c r="U131" s="99"/>
      <c r="V131" s="99"/>
      <c r="W131" s="126"/>
      <c r="X131" s="126"/>
      <c r="Y131" s="126"/>
      <c r="Z131" s="126"/>
      <c r="AA131" s="126"/>
      <c r="AB131" s="126"/>
    </row>
    <row r="132" spans="1:28" ht="13.5" hidden="1" customHeight="1">
      <c r="A132" s="124"/>
      <c r="B132" s="94" t="str">
        <f>B69</f>
        <v>Outside air ACH</v>
      </c>
      <c r="C132" s="106">
        <f>' Calculation'!B83</f>
        <v>1.9393939393939394</v>
      </c>
      <c r="D132" s="106">
        <f t="shared" ref="D132:V132" si="64">D69</f>
        <v>6.6666666666666661</v>
      </c>
      <c r="E132" s="106">
        <f t="shared" si="64"/>
        <v>6.6666666666666661</v>
      </c>
      <c r="F132" s="106">
        <f t="shared" si="64"/>
        <v>6.6666666666666661</v>
      </c>
      <c r="G132" s="106">
        <f t="shared" si="64"/>
        <v>6.6666666666666661</v>
      </c>
      <c r="H132" s="106">
        <f t="shared" si="64"/>
        <v>0.98747474747474739</v>
      </c>
      <c r="I132" s="106">
        <f t="shared" si="64"/>
        <v>0.98747474747474739</v>
      </c>
      <c r="J132" s="106">
        <f t="shared" si="64"/>
        <v>0.98747474747474739</v>
      </c>
      <c r="K132" s="106">
        <f t="shared" si="64"/>
        <v>0.98747474747474739</v>
      </c>
      <c r="L132" s="106">
        <f t="shared" si="64"/>
        <v>0.7595959595959596</v>
      </c>
      <c r="M132" s="106">
        <f t="shared" si="64"/>
        <v>0.7595959595959596</v>
      </c>
      <c r="N132" s="106">
        <f t="shared" si="64"/>
        <v>0.7595959595959596</v>
      </c>
      <c r="O132" s="106">
        <f t="shared" si="64"/>
        <v>0.7595959595959596</v>
      </c>
      <c r="P132" s="106">
        <f t="shared" si="64"/>
        <v>0.33333333333333337</v>
      </c>
      <c r="Q132" s="106">
        <f t="shared" si="64"/>
        <v>0.33333333333333337</v>
      </c>
      <c r="R132" s="106">
        <f t="shared" si="64"/>
        <v>0.33333333333333337</v>
      </c>
      <c r="S132" s="106">
        <f t="shared" si="64"/>
        <v>0.33333333333333337</v>
      </c>
      <c r="T132" s="106">
        <f t="shared" si="64"/>
        <v>0.7595959595959596</v>
      </c>
      <c r="U132" s="106">
        <f t="shared" si="64"/>
        <v>0.7595959595959596</v>
      </c>
      <c r="V132" s="106">
        <f t="shared" si="64"/>
        <v>0.7595959595959596</v>
      </c>
      <c r="W132" s="126"/>
      <c r="X132" s="126"/>
      <c r="Y132" s="126"/>
      <c r="Z132" s="126"/>
      <c r="AA132" s="126"/>
      <c r="AB132" s="126"/>
    </row>
    <row r="133" spans="1:28" ht="13.5" hidden="1" customHeight="1">
      <c r="A133" s="124"/>
      <c r="B133" s="94" t="str">
        <f>B96</f>
        <v>Filtration ACH</v>
      </c>
      <c r="C133" s="108">
        <f>' Calculation'!B84</f>
        <v>3.915151515151515</v>
      </c>
      <c r="D133" s="108">
        <f t="shared" ref="D133:V133" si="65">IF(D88="No",0,D96)</f>
        <v>0</v>
      </c>
      <c r="E133" s="108">
        <f t="shared" si="65"/>
        <v>0</v>
      </c>
      <c r="F133" s="108">
        <f t="shared" si="65"/>
        <v>0</v>
      </c>
      <c r="G133" s="108">
        <f t="shared" si="65"/>
        <v>0</v>
      </c>
      <c r="H133" s="108">
        <f t="shared" si="65"/>
        <v>2.498844444444444</v>
      </c>
      <c r="I133" s="108">
        <f t="shared" si="65"/>
        <v>4.0890181818181812</v>
      </c>
      <c r="J133" s="108">
        <f t="shared" si="65"/>
        <v>4.9408969696969693</v>
      </c>
      <c r="K133" s="108">
        <f t="shared" si="65"/>
        <v>5.3952323232323227</v>
      </c>
      <c r="L133" s="108">
        <f t="shared" si="65"/>
        <v>2.5991111111111111</v>
      </c>
      <c r="M133" s="108">
        <f t="shared" si="65"/>
        <v>4.2530909090909086</v>
      </c>
      <c r="N133" s="108">
        <f t="shared" si="65"/>
        <v>5.1391515151515152</v>
      </c>
      <c r="O133" s="108">
        <f t="shared" si="65"/>
        <v>5.6117171717171717</v>
      </c>
      <c r="P133" s="108">
        <f t="shared" si="65"/>
        <v>2.7866666666666666</v>
      </c>
      <c r="Q133" s="108">
        <f t="shared" si="65"/>
        <v>4.5599999999999996</v>
      </c>
      <c r="R133" s="108">
        <f t="shared" si="65"/>
        <v>5.51</v>
      </c>
      <c r="S133" s="108">
        <f t="shared" si="65"/>
        <v>6.0166666666666657</v>
      </c>
      <c r="T133" s="108">
        <f t="shared" si="65"/>
        <v>2.5991111111111111</v>
      </c>
      <c r="U133" s="108">
        <f t="shared" si="65"/>
        <v>4.2530909090909086</v>
      </c>
      <c r="V133" s="108">
        <f t="shared" si="65"/>
        <v>5.1391515151515152</v>
      </c>
      <c r="W133" s="126"/>
      <c r="X133" s="126"/>
      <c r="Y133" s="126"/>
      <c r="Z133" s="126"/>
      <c r="AA133" s="126"/>
      <c r="AB133" s="126"/>
    </row>
    <row r="134" spans="1:28" ht="13.5" hidden="1" customHeight="1">
      <c r="A134" s="124"/>
      <c r="B134" s="94" t="str">
        <f>B103</f>
        <v>Additional ACH</v>
      </c>
      <c r="C134" s="108">
        <f>' Calculation'!B85</f>
        <v>0</v>
      </c>
      <c r="D134" s="108">
        <f t="shared" ref="D134:V134" si="66">IF(D99="Yes",D103,0)</f>
        <v>0</v>
      </c>
      <c r="E134" s="108">
        <f t="shared" si="66"/>
        <v>0</v>
      </c>
      <c r="F134" s="108">
        <f t="shared" si="66"/>
        <v>0</v>
      </c>
      <c r="G134" s="108">
        <f t="shared" si="66"/>
        <v>0</v>
      </c>
      <c r="H134" s="108">
        <f t="shared" si="66"/>
        <v>0</v>
      </c>
      <c r="I134" s="108">
        <f t="shared" si="66"/>
        <v>0</v>
      </c>
      <c r="J134" s="108">
        <f t="shared" si="66"/>
        <v>0</v>
      </c>
      <c r="K134" s="108">
        <f t="shared" si="66"/>
        <v>0</v>
      </c>
      <c r="L134" s="108">
        <f t="shared" si="66"/>
        <v>0</v>
      </c>
      <c r="M134" s="108">
        <f t="shared" si="66"/>
        <v>0</v>
      </c>
      <c r="N134" s="108">
        <f t="shared" si="66"/>
        <v>0</v>
      </c>
      <c r="O134" s="108">
        <f t="shared" si="66"/>
        <v>0</v>
      </c>
      <c r="P134" s="108">
        <f t="shared" si="66"/>
        <v>0</v>
      </c>
      <c r="Q134" s="108">
        <f t="shared" si="66"/>
        <v>0</v>
      </c>
      <c r="R134" s="108">
        <f t="shared" si="66"/>
        <v>0</v>
      </c>
      <c r="S134" s="108">
        <f t="shared" si="66"/>
        <v>0</v>
      </c>
      <c r="T134" s="108">
        <f t="shared" si="66"/>
        <v>0</v>
      </c>
      <c r="U134" s="108">
        <f t="shared" si="66"/>
        <v>0</v>
      </c>
      <c r="V134" s="108">
        <f t="shared" si="66"/>
        <v>0</v>
      </c>
      <c r="W134" s="126"/>
      <c r="X134" s="126"/>
      <c r="Y134" s="126"/>
      <c r="Z134" s="126"/>
      <c r="AA134" s="126"/>
      <c r="AB134" s="126"/>
    </row>
    <row r="135" spans="1:28" ht="13.5" hidden="1" customHeight="1">
      <c r="A135" s="124"/>
      <c r="B135" s="36" t="s">
        <v>196</v>
      </c>
      <c r="C135" s="108">
        <f>' Calculation'!B86</f>
        <v>5.8545454545454545</v>
      </c>
      <c r="D135" s="108">
        <f t="shared" ref="D135:V135" si="67">SUM(D132:D134)</f>
        <v>6.6666666666666661</v>
      </c>
      <c r="E135" s="108">
        <f t="shared" si="67"/>
        <v>6.6666666666666661</v>
      </c>
      <c r="F135" s="108">
        <f t="shared" si="67"/>
        <v>6.6666666666666661</v>
      </c>
      <c r="G135" s="108">
        <f t="shared" si="67"/>
        <v>6.6666666666666661</v>
      </c>
      <c r="H135" s="108">
        <f t="shared" si="67"/>
        <v>3.4863191919191916</v>
      </c>
      <c r="I135" s="108">
        <f t="shared" si="67"/>
        <v>5.0764929292929288</v>
      </c>
      <c r="J135" s="108">
        <f t="shared" si="67"/>
        <v>5.928371717171717</v>
      </c>
      <c r="K135" s="108">
        <f t="shared" si="67"/>
        <v>6.3827070707070703</v>
      </c>
      <c r="L135" s="108">
        <f t="shared" si="67"/>
        <v>3.3587070707070708</v>
      </c>
      <c r="M135" s="108">
        <f t="shared" si="67"/>
        <v>5.0126868686868686</v>
      </c>
      <c r="N135" s="108">
        <f t="shared" si="67"/>
        <v>5.8987474747474753</v>
      </c>
      <c r="O135" s="108">
        <f t="shared" si="67"/>
        <v>6.3713131313131317</v>
      </c>
      <c r="P135" s="108">
        <f t="shared" si="67"/>
        <v>3.12</v>
      </c>
      <c r="Q135" s="108">
        <f t="shared" si="67"/>
        <v>4.8933333333333326</v>
      </c>
      <c r="R135" s="108">
        <f t="shared" si="67"/>
        <v>5.8433333333333328</v>
      </c>
      <c r="S135" s="108">
        <f t="shared" si="67"/>
        <v>6.3499999999999988</v>
      </c>
      <c r="T135" s="108">
        <f t="shared" si="67"/>
        <v>3.3587070707070708</v>
      </c>
      <c r="U135" s="108">
        <f t="shared" si="67"/>
        <v>5.0126868686868686</v>
      </c>
      <c r="V135" s="108">
        <f t="shared" si="67"/>
        <v>5.8987474747474753</v>
      </c>
      <c r="W135" s="126"/>
      <c r="X135" s="126"/>
      <c r="Y135" s="126"/>
      <c r="Z135" s="126"/>
      <c r="AA135" s="126"/>
      <c r="AB135" s="126"/>
    </row>
    <row r="136" spans="1:28" ht="13.5" hidden="1" customHeight="1">
      <c r="A136" s="124"/>
      <c r="B136" s="110"/>
      <c r="C136" s="110">
        <f>' Calculation'!B87</f>
        <v>0</v>
      </c>
      <c r="D136" s="110"/>
      <c r="E136" s="110"/>
      <c r="F136" s="110"/>
      <c r="G136" s="110"/>
      <c r="H136" s="110"/>
      <c r="I136" s="110"/>
      <c r="J136" s="110"/>
      <c r="K136" s="110"/>
      <c r="L136" s="110"/>
      <c r="M136" s="110"/>
      <c r="N136" s="110"/>
      <c r="O136" s="110"/>
      <c r="P136" s="110"/>
      <c r="Q136" s="110"/>
      <c r="R136" s="110"/>
      <c r="S136" s="110"/>
      <c r="T136" s="110"/>
      <c r="U136" s="110"/>
      <c r="V136" s="110"/>
      <c r="W136" s="126"/>
      <c r="X136" s="126"/>
      <c r="Y136" s="126"/>
      <c r="Z136" s="126"/>
      <c r="AA136" s="126"/>
      <c r="AB136" s="126"/>
    </row>
    <row r="137" spans="1:28" ht="13.5" hidden="1" customHeight="1">
      <c r="A137" s="124"/>
      <c r="B137" s="29" t="s">
        <v>198</v>
      </c>
      <c r="C137" s="99">
        <f>' Calculation'!B88</f>
        <v>0</v>
      </c>
      <c r="D137" s="99"/>
      <c r="E137" s="99"/>
      <c r="F137" s="99"/>
      <c r="G137" s="99"/>
      <c r="H137" s="99"/>
      <c r="I137" s="99"/>
      <c r="J137" s="99"/>
      <c r="K137" s="99"/>
      <c r="L137" s="99"/>
      <c r="M137" s="99"/>
      <c r="N137" s="99"/>
      <c r="O137" s="99"/>
      <c r="P137" s="99"/>
      <c r="Q137" s="99"/>
      <c r="R137" s="99"/>
      <c r="S137" s="99"/>
      <c r="T137" s="99"/>
      <c r="U137" s="99"/>
      <c r="V137" s="99"/>
      <c r="W137" s="126"/>
      <c r="X137" s="126"/>
      <c r="Y137" s="126"/>
      <c r="Z137" s="126"/>
      <c r="AA137" s="126"/>
      <c r="AB137" s="126"/>
    </row>
    <row r="138" spans="1:28" ht="13.5" hidden="1" customHeight="1">
      <c r="A138" s="124"/>
      <c r="B138" s="94" t="s">
        <v>199</v>
      </c>
      <c r="C138" s="95">
        <f>' Calculation'!B89</f>
        <v>2638.0213213245756</v>
      </c>
      <c r="D138" s="95">
        <f t="shared" ref="D138:V138" si="68">D114+D112</f>
        <v>9068.1982920532282</v>
      </c>
      <c r="E138" s="95">
        <f t="shared" si="68"/>
        <v>9068.1982920532282</v>
      </c>
      <c r="F138" s="95">
        <f t="shared" si="68"/>
        <v>9068.1982920532282</v>
      </c>
      <c r="G138" s="95">
        <f t="shared" si="68"/>
        <v>9068.1982920532282</v>
      </c>
      <c r="H138" s="95">
        <f t="shared" si="68"/>
        <v>1343.1925227744296</v>
      </c>
      <c r="I138" s="95">
        <f t="shared" si="68"/>
        <v>1343.1925227744296</v>
      </c>
      <c r="J138" s="95">
        <f t="shared" si="68"/>
        <v>1343.1925227744296</v>
      </c>
      <c r="K138" s="95">
        <f t="shared" si="68"/>
        <v>1343.1925227744296</v>
      </c>
      <c r="L138" s="95">
        <f t="shared" si="68"/>
        <v>1033.2250175187919</v>
      </c>
      <c r="M138" s="95">
        <f t="shared" si="68"/>
        <v>1033.2250175187919</v>
      </c>
      <c r="N138" s="95">
        <f t="shared" si="68"/>
        <v>1033.2250175187919</v>
      </c>
      <c r="O138" s="95">
        <f t="shared" si="68"/>
        <v>1033.2250175187919</v>
      </c>
      <c r="P138" s="95">
        <f t="shared" si="68"/>
        <v>453.40991460266144</v>
      </c>
      <c r="Q138" s="95">
        <f t="shared" si="68"/>
        <v>453.40991460266144</v>
      </c>
      <c r="R138" s="95">
        <f t="shared" si="68"/>
        <v>453.40991460266144</v>
      </c>
      <c r="S138" s="95">
        <f t="shared" si="68"/>
        <v>453.40991460266144</v>
      </c>
      <c r="T138" s="95">
        <f t="shared" si="68"/>
        <v>1033.2250175187919</v>
      </c>
      <c r="U138" s="95">
        <f t="shared" si="68"/>
        <v>1033.2250175187919</v>
      </c>
      <c r="V138" s="95">
        <f t="shared" si="68"/>
        <v>1033.2250175187919</v>
      </c>
      <c r="W138" s="126"/>
      <c r="X138" s="126"/>
      <c r="Y138" s="126"/>
      <c r="Z138" s="126"/>
      <c r="AA138" s="126"/>
      <c r="AB138" s="126"/>
    </row>
    <row r="139" spans="1:28" ht="13.5" hidden="1" customHeight="1">
      <c r="A139" s="124"/>
      <c r="B139" s="94" t="s">
        <v>201</v>
      </c>
      <c r="C139" s="103">
        <f>' Calculation'!B90</f>
        <v>1085.6874534868027</v>
      </c>
      <c r="D139" s="103">
        <f t="shared" ref="D139:V139" si="69">D121</f>
        <v>0</v>
      </c>
      <c r="E139" s="103">
        <f t="shared" si="69"/>
        <v>0</v>
      </c>
      <c r="F139" s="103">
        <f t="shared" si="69"/>
        <v>0</v>
      </c>
      <c r="G139" s="103">
        <f t="shared" si="69"/>
        <v>0</v>
      </c>
      <c r="H139" s="103">
        <f t="shared" si="69"/>
        <v>531.16921189544473</v>
      </c>
      <c r="I139" s="103">
        <f t="shared" si="69"/>
        <v>577.4311610563758</v>
      </c>
      <c r="J139" s="103">
        <f t="shared" si="69"/>
        <v>702.05735597246883</v>
      </c>
      <c r="K139" s="103">
        <f t="shared" si="69"/>
        <v>1542.1042006088724</v>
      </c>
      <c r="L139" s="103">
        <f t="shared" si="69"/>
        <v>538.03741305573431</v>
      </c>
      <c r="M139" s="103">
        <f t="shared" si="69"/>
        <v>586.15563280052743</v>
      </c>
      <c r="N139" s="103">
        <f t="shared" si="69"/>
        <v>710.96745477500667</v>
      </c>
      <c r="O139" s="103">
        <f t="shared" si="69"/>
        <v>1551.8186833310838</v>
      </c>
      <c r="P139" s="103">
        <f t="shared" si="69"/>
        <v>586.88484607719806</v>
      </c>
      <c r="Q139" s="103">
        <f t="shared" si="69"/>
        <v>638.47534501698135</v>
      </c>
      <c r="R139" s="103">
        <f t="shared" si="69"/>
        <v>775.6343949109596</v>
      </c>
      <c r="S139" s="103">
        <f t="shared" si="69"/>
        <v>1699.9902777848656</v>
      </c>
      <c r="T139" s="103">
        <f t="shared" si="69"/>
        <v>538.03741305573431</v>
      </c>
      <c r="U139" s="103">
        <f t="shared" si="69"/>
        <v>586.15563280052743</v>
      </c>
      <c r="V139" s="103">
        <f t="shared" si="69"/>
        <v>710.96745477500667</v>
      </c>
      <c r="W139" s="126"/>
      <c r="X139" s="126"/>
      <c r="Y139" s="126"/>
      <c r="Z139" s="126"/>
      <c r="AA139" s="126"/>
      <c r="AB139" s="126"/>
    </row>
    <row r="140" spans="1:28" ht="13.5" hidden="1" customHeight="1">
      <c r="A140" s="124"/>
      <c r="B140" s="94" t="s">
        <v>203</v>
      </c>
      <c r="C140" s="95">
        <f>' Calculation'!B91</f>
        <v>0</v>
      </c>
      <c r="D140" s="95">
        <f t="shared" ref="D140:V140" si="70">D128</f>
        <v>0</v>
      </c>
      <c r="E140" s="95">
        <f t="shared" si="70"/>
        <v>0</v>
      </c>
      <c r="F140" s="95">
        <f t="shared" si="70"/>
        <v>0</v>
      </c>
      <c r="G140" s="95">
        <f t="shared" si="70"/>
        <v>0</v>
      </c>
      <c r="H140" s="95">
        <f t="shared" si="70"/>
        <v>0</v>
      </c>
      <c r="I140" s="95">
        <f t="shared" si="70"/>
        <v>0</v>
      </c>
      <c r="J140" s="95">
        <f t="shared" si="70"/>
        <v>0</v>
      </c>
      <c r="K140" s="95">
        <f t="shared" si="70"/>
        <v>0</v>
      </c>
      <c r="L140" s="95">
        <f t="shared" si="70"/>
        <v>0</v>
      </c>
      <c r="M140" s="95">
        <f t="shared" si="70"/>
        <v>0</v>
      </c>
      <c r="N140" s="95">
        <f t="shared" si="70"/>
        <v>0</v>
      </c>
      <c r="O140" s="95">
        <f t="shared" si="70"/>
        <v>0</v>
      </c>
      <c r="P140" s="95">
        <f t="shared" si="70"/>
        <v>0</v>
      </c>
      <c r="Q140" s="95">
        <f t="shared" si="70"/>
        <v>0</v>
      </c>
      <c r="R140" s="95">
        <f t="shared" si="70"/>
        <v>0</v>
      </c>
      <c r="S140" s="95">
        <f t="shared" si="70"/>
        <v>0</v>
      </c>
      <c r="T140" s="95">
        <f t="shared" si="70"/>
        <v>0</v>
      </c>
      <c r="U140" s="95">
        <f t="shared" si="70"/>
        <v>0</v>
      </c>
      <c r="V140" s="95">
        <f t="shared" si="70"/>
        <v>0</v>
      </c>
      <c r="W140" s="126"/>
      <c r="X140" s="126"/>
      <c r="Y140" s="126"/>
      <c r="Z140" s="126"/>
      <c r="AA140" s="126"/>
      <c r="AB140" s="126"/>
    </row>
    <row r="141" spans="1:28" ht="13.5" hidden="1" customHeight="1">
      <c r="A141" s="124"/>
      <c r="B141" s="94" t="s">
        <v>205</v>
      </c>
      <c r="C141" s="95">
        <f>' Calculation'!B92</f>
        <v>3723.7087748113781</v>
      </c>
      <c r="D141" s="95">
        <f t="shared" ref="D141:V141" si="71">SUM(D138:D140)</f>
        <v>9068.1982920532282</v>
      </c>
      <c r="E141" s="95">
        <f t="shared" si="71"/>
        <v>9068.1982920532282</v>
      </c>
      <c r="F141" s="95">
        <f t="shared" si="71"/>
        <v>9068.1982920532282</v>
      </c>
      <c r="G141" s="95">
        <f t="shared" si="71"/>
        <v>9068.1982920532282</v>
      </c>
      <c r="H141" s="95">
        <f t="shared" si="71"/>
        <v>1874.3617346698743</v>
      </c>
      <c r="I141" s="95">
        <f t="shared" si="71"/>
        <v>1920.6236838308055</v>
      </c>
      <c r="J141" s="95">
        <f t="shared" si="71"/>
        <v>2045.2498787468985</v>
      </c>
      <c r="K141" s="95">
        <f t="shared" si="71"/>
        <v>2885.2967233833019</v>
      </c>
      <c r="L141" s="95">
        <f t="shared" si="71"/>
        <v>1571.2624305745262</v>
      </c>
      <c r="M141" s="95">
        <f t="shared" si="71"/>
        <v>1619.3806503193193</v>
      </c>
      <c r="N141" s="95">
        <f t="shared" si="71"/>
        <v>1744.1924722937986</v>
      </c>
      <c r="O141" s="95">
        <f t="shared" si="71"/>
        <v>2585.0437008498757</v>
      </c>
      <c r="P141" s="95">
        <f t="shared" si="71"/>
        <v>1040.2947606798596</v>
      </c>
      <c r="Q141" s="95">
        <f t="shared" si="71"/>
        <v>1091.8852596196427</v>
      </c>
      <c r="R141" s="95">
        <f t="shared" si="71"/>
        <v>1229.0443095136211</v>
      </c>
      <c r="S141" s="95">
        <f t="shared" si="71"/>
        <v>2153.4001923875271</v>
      </c>
      <c r="T141" s="95">
        <f t="shared" si="71"/>
        <v>1571.2624305745262</v>
      </c>
      <c r="U141" s="95">
        <f t="shared" si="71"/>
        <v>1619.3806503193193</v>
      </c>
      <c r="V141" s="95">
        <f t="shared" si="71"/>
        <v>1744.1924722937986</v>
      </c>
      <c r="W141" s="126"/>
      <c r="X141" s="126"/>
      <c r="Y141" s="126"/>
      <c r="Z141" s="126"/>
      <c r="AA141" s="126"/>
      <c r="AB141" s="126"/>
    </row>
    <row r="142" spans="1:28" ht="13.5" hidden="1" customHeight="1">
      <c r="A142" s="124"/>
      <c r="B142" s="10"/>
      <c r="C142" s="10">
        <f>' Calculation'!B93</f>
        <v>0</v>
      </c>
      <c r="D142" s="10"/>
      <c r="E142" s="10"/>
      <c r="F142" s="10"/>
      <c r="G142" s="10"/>
      <c r="H142" s="10"/>
      <c r="I142" s="10"/>
      <c r="J142" s="10"/>
      <c r="K142" s="10"/>
      <c r="L142" s="10"/>
      <c r="M142" s="10"/>
      <c r="N142" s="10"/>
      <c r="O142" s="10"/>
      <c r="P142" s="10"/>
      <c r="Q142" s="10"/>
      <c r="R142" s="10"/>
      <c r="S142" s="10"/>
      <c r="T142" s="10"/>
      <c r="U142" s="10"/>
      <c r="V142" s="10"/>
      <c r="W142" s="126"/>
      <c r="X142" s="126"/>
      <c r="Y142" s="126"/>
      <c r="Z142" s="126"/>
      <c r="AA142" s="126"/>
      <c r="AB142" s="126"/>
    </row>
    <row r="143" spans="1:28" ht="13.5" hidden="1" customHeight="1">
      <c r="A143" s="124"/>
      <c r="B143" s="29" t="s">
        <v>206</v>
      </c>
      <c r="C143" s="99">
        <f>' Calculation'!B94</f>
        <v>0</v>
      </c>
      <c r="D143" s="99"/>
      <c r="E143" s="99"/>
      <c r="F143" s="99"/>
      <c r="G143" s="99"/>
      <c r="H143" s="99"/>
      <c r="I143" s="99"/>
      <c r="J143" s="99"/>
      <c r="K143" s="99"/>
      <c r="L143" s="99"/>
      <c r="M143" s="99"/>
      <c r="N143" s="99"/>
      <c r="O143" s="99"/>
      <c r="P143" s="99"/>
      <c r="Q143" s="99"/>
      <c r="R143" s="99"/>
      <c r="S143" s="99"/>
      <c r="T143" s="99"/>
      <c r="U143" s="99"/>
      <c r="V143" s="99"/>
      <c r="W143" s="126"/>
      <c r="X143" s="126"/>
      <c r="Y143" s="126"/>
      <c r="Z143" s="126"/>
      <c r="AA143" s="126"/>
      <c r="AB143" s="126"/>
    </row>
    <row r="144" spans="1:28" ht="13.5" hidden="1" customHeight="1">
      <c r="A144" s="124"/>
      <c r="B144" s="94" t="s">
        <v>207</v>
      </c>
      <c r="C144" s="103">
        <f>' Calculation'!B95</f>
        <v>14.132370512000003</v>
      </c>
      <c r="D144" s="103">
        <f t="shared" ref="D144:V144" si="72">D111*(7.07*(10^(-4)))+IF(D73="Electricity",(D113*(7.07*(10^(-4)))),IF(D73="Gas",(D113*0.0053),(D113*0.0549)))</f>
        <v>48.580023635000003</v>
      </c>
      <c r="E144" s="103">
        <f t="shared" si="72"/>
        <v>48.580023635000003</v>
      </c>
      <c r="F144" s="103">
        <f t="shared" si="72"/>
        <v>48.580023635000003</v>
      </c>
      <c r="G144" s="103">
        <f t="shared" si="72"/>
        <v>48.580023635000003</v>
      </c>
      <c r="H144" s="103">
        <f t="shared" si="72"/>
        <v>7.1957319856933326</v>
      </c>
      <c r="I144" s="103">
        <f t="shared" si="72"/>
        <v>7.1957319856933326</v>
      </c>
      <c r="J144" s="103">
        <f t="shared" si="72"/>
        <v>7.1957319856933326</v>
      </c>
      <c r="K144" s="103">
        <f t="shared" si="72"/>
        <v>7.1957319856933326</v>
      </c>
      <c r="L144" s="103">
        <f t="shared" si="72"/>
        <v>5.5351784505333326</v>
      </c>
      <c r="M144" s="103">
        <f t="shared" si="72"/>
        <v>5.5351784505333326</v>
      </c>
      <c r="N144" s="103">
        <f t="shared" si="72"/>
        <v>5.5351784505333326</v>
      </c>
      <c r="O144" s="103">
        <f t="shared" si="72"/>
        <v>5.5351784505333326</v>
      </c>
      <c r="P144" s="103">
        <f t="shared" si="72"/>
        <v>2.4290011817500003</v>
      </c>
      <c r="Q144" s="103">
        <f t="shared" si="72"/>
        <v>2.4290011817500003</v>
      </c>
      <c r="R144" s="103">
        <f t="shared" si="72"/>
        <v>2.4290011817500003</v>
      </c>
      <c r="S144" s="103">
        <f t="shared" si="72"/>
        <v>2.4290011817500003</v>
      </c>
      <c r="T144" s="103">
        <f t="shared" si="72"/>
        <v>5.5351784505333326</v>
      </c>
      <c r="U144" s="103">
        <f t="shared" si="72"/>
        <v>5.5351784505333326</v>
      </c>
      <c r="V144" s="103">
        <f t="shared" si="72"/>
        <v>5.5351784505333326</v>
      </c>
      <c r="W144" s="126"/>
      <c r="X144" s="126"/>
      <c r="Y144" s="126"/>
      <c r="Z144" s="126"/>
      <c r="AA144" s="126"/>
      <c r="AB144" s="126"/>
    </row>
    <row r="145" spans="1:28" ht="13.5" hidden="1" customHeight="1">
      <c r="A145" s="124"/>
      <c r="B145" s="94" t="s">
        <v>209</v>
      </c>
      <c r="C145" s="103">
        <f>' Calculation'!B96</f>
        <v>0.92296843783529448</v>
      </c>
      <c r="D145" s="103">
        <f t="shared" ref="D145:V145" si="73">IF(D88="No",0,D117*D76*52)*(7.07*(10^(-4)))</f>
        <v>0</v>
      </c>
      <c r="E145" s="103">
        <f t="shared" si="73"/>
        <v>0</v>
      </c>
      <c r="F145" s="103">
        <f t="shared" si="73"/>
        <v>0</v>
      </c>
      <c r="G145" s="103">
        <f t="shared" si="73"/>
        <v>0</v>
      </c>
      <c r="H145" s="103">
        <f t="shared" si="73"/>
        <v>0.89923199962884437</v>
      </c>
      <c r="I145" s="103">
        <f t="shared" si="73"/>
        <v>1.142267675204208</v>
      </c>
      <c r="J145" s="103">
        <f t="shared" si="73"/>
        <v>1.1665712427617443</v>
      </c>
      <c r="K145" s="103">
        <f t="shared" si="73"/>
        <v>1.2718867021777349</v>
      </c>
      <c r="L145" s="103">
        <f t="shared" si="73"/>
        <v>0.9353138755388235</v>
      </c>
      <c r="M145" s="103">
        <f t="shared" si="73"/>
        <v>1.1881014094682356</v>
      </c>
      <c r="N145" s="103">
        <f t="shared" si="73"/>
        <v>1.2133801628611764</v>
      </c>
      <c r="O145" s="103">
        <f t="shared" si="73"/>
        <v>1.3229214275639218</v>
      </c>
      <c r="P145" s="103">
        <f t="shared" si="73"/>
        <v>1.0028074554768167</v>
      </c>
      <c r="Q145" s="103">
        <f t="shared" si="73"/>
        <v>1.273836497497578</v>
      </c>
      <c r="R145" s="103">
        <f t="shared" si="73"/>
        <v>1.3009394016996538</v>
      </c>
      <c r="S145" s="103">
        <f t="shared" si="73"/>
        <v>1.4183853199086505</v>
      </c>
      <c r="T145" s="103">
        <f t="shared" si="73"/>
        <v>0.9353138755388235</v>
      </c>
      <c r="U145" s="103">
        <f t="shared" si="73"/>
        <v>1.1881014094682356</v>
      </c>
      <c r="V145" s="103">
        <f t="shared" si="73"/>
        <v>1.2133801628611764</v>
      </c>
      <c r="W145" s="126"/>
      <c r="X145" s="126"/>
      <c r="Y145" s="126"/>
      <c r="Z145" s="126"/>
      <c r="AA145" s="126"/>
      <c r="AB145" s="126"/>
    </row>
    <row r="146" spans="1:28" ht="13.5" hidden="1" customHeight="1">
      <c r="A146" s="124"/>
      <c r="B146" s="94" t="s">
        <v>211</v>
      </c>
      <c r="C146" s="103">
        <f>' Calculation'!B97</f>
        <v>0</v>
      </c>
      <c r="D146" s="103">
        <f t="shared" ref="D146:V146" si="74">IF(D89="No",0,D124)*(7.07*(10^(-4)))</f>
        <v>0</v>
      </c>
      <c r="E146" s="103">
        <f t="shared" si="74"/>
        <v>0</v>
      </c>
      <c r="F146" s="103">
        <f t="shared" si="74"/>
        <v>0</v>
      </c>
      <c r="G146" s="103">
        <f t="shared" si="74"/>
        <v>0</v>
      </c>
      <c r="H146" s="103">
        <f t="shared" si="74"/>
        <v>0</v>
      </c>
      <c r="I146" s="103">
        <f t="shared" si="74"/>
        <v>0</v>
      </c>
      <c r="J146" s="103">
        <f t="shared" si="74"/>
        <v>0</v>
      </c>
      <c r="K146" s="103">
        <f t="shared" si="74"/>
        <v>0</v>
      </c>
      <c r="L146" s="103">
        <f t="shared" si="74"/>
        <v>0</v>
      </c>
      <c r="M146" s="103">
        <f t="shared" si="74"/>
        <v>0</v>
      </c>
      <c r="N146" s="103">
        <f t="shared" si="74"/>
        <v>0</v>
      </c>
      <c r="O146" s="103">
        <f t="shared" si="74"/>
        <v>0</v>
      </c>
      <c r="P146" s="103">
        <f t="shared" si="74"/>
        <v>0</v>
      </c>
      <c r="Q146" s="103">
        <f t="shared" si="74"/>
        <v>0</v>
      </c>
      <c r="R146" s="103">
        <f t="shared" si="74"/>
        <v>0</v>
      </c>
      <c r="S146" s="103">
        <f t="shared" si="74"/>
        <v>0</v>
      </c>
      <c r="T146" s="103">
        <f t="shared" si="74"/>
        <v>0</v>
      </c>
      <c r="U146" s="103">
        <f t="shared" si="74"/>
        <v>0</v>
      </c>
      <c r="V146" s="103">
        <f t="shared" si="74"/>
        <v>0</v>
      </c>
      <c r="W146" s="126"/>
      <c r="X146" s="126"/>
      <c r="Y146" s="126"/>
      <c r="Z146" s="126"/>
      <c r="AA146" s="126"/>
      <c r="AB146" s="126"/>
    </row>
    <row r="147" spans="1:28" ht="13.5" hidden="1" customHeight="1">
      <c r="A147" s="124"/>
      <c r="B147" s="94" t="s">
        <v>213</v>
      </c>
      <c r="C147" s="103">
        <f>' Calculation'!B98</f>
        <v>15.055338949835297</v>
      </c>
      <c r="D147" s="103">
        <f t="shared" ref="D147:V147" si="75">D144+D145+D146</f>
        <v>48.580023635000003</v>
      </c>
      <c r="E147" s="103">
        <f t="shared" si="75"/>
        <v>48.580023635000003</v>
      </c>
      <c r="F147" s="103">
        <f t="shared" si="75"/>
        <v>48.580023635000003</v>
      </c>
      <c r="G147" s="103">
        <f t="shared" si="75"/>
        <v>48.580023635000003</v>
      </c>
      <c r="H147" s="103">
        <f t="shared" si="75"/>
        <v>8.0949639853221775</v>
      </c>
      <c r="I147" s="103">
        <f t="shared" si="75"/>
        <v>8.3379996608975411</v>
      </c>
      <c r="J147" s="103">
        <f t="shared" si="75"/>
        <v>8.362303228455076</v>
      </c>
      <c r="K147" s="103">
        <f t="shared" si="75"/>
        <v>8.4676186878710666</v>
      </c>
      <c r="L147" s="103">
        <f t="shared" si="75"/>
        <v>6.4704923260721561</v>
      </c>
      <c r="M147" s="103">
        <f t="shared" si="75"/>
        <v>6.7232798600015684</v>
      </c>
      <c r="N147" s="103">
        <f t="shared" si="75"/>
        <v>6.7485586133945095</v>
      </c>
      <c r="O147" s="103">
        <f t="shared" si="75"/>
        <v>6.8580998780972546</v>
      </c>
      <c r="P147" s="103">
        <f t="shared" si="75"/>
        <v>3.4318086372268173</v>
      </c>
      <c r="Q147" s="103">
        <f t="shared" si="75"/>
        <v>3.7028376792475783</v>
      </c>
      <c r="R147" s="103">
        <f t="shared" si="75"/>
        <v>3.729940583449654</v>
      </c>
      <c r="S147" s="103">
        <f t="shared" si="75"/>
        <v>3.8473865016586508</v>
      </c>
      <c r="T147" s="103">
        <f t="shared" si="75"/>
        <v>6.4704923260721561</v>
      </c>
      <c r="U147" s="103">
        <f t="shared" si="75"/>
        <v>6.7232798600015684</v>
      </c>
      <c r="V147" s="103">
        <f t="shared" si="75"/>
        <v>6.7485586133945095</v>
      </c>
      <c r="W147" s="126"/>
      <c r="X147" s="126"/>
      <c r="Y147" s="126"/>
      <c r="Z147" s="126"/>
      <c r="AA147" s="126"/>
      <c r="AB147" s="126"/>
    </row>
    <row r="148" spans="1:28" ht="13.5" customHeight="1">
      <c r="A148" s="124"/>
      <c r="B148" s="124"/>
      <c r="C148" s="124"/>
      <c r="D148" s="124"/>
      <c r="E148" s="124"/>
      <c r="F148" s="125"/>
      <c r="G148" s="125"/>
      <c r="H148" s="124"/>
      <c r="I148" s="124"/>
      <c r="J148" s="124"/>
      <c r="K148" s="124"/>
      <c r="L148" s="124"/>
      <c r="M148" s="124"/>
      <c r="N148" s="124"/>
      <c r="O148" s="124"/>
      <c r="P148" s="124"/>
      <c r="Q148" s="124"/>
      <c r="R148" s="124"/>
      <c r="S148" s="124"/>
      <c r="T148" s="124"/>
      <c r="U148" s="124"/>
      <c r="V148" s="124"/>
      <c r="W148" s="126"/>
      <c r="X148" s="126"/>
      <c r="Y148" s="126"/>
      <c r="Z148" s="126"/>
      <c r="AA148" s="126"/>
      <c r="AB148" s="126"/>
    </row>
    <row r="149" spans="1:28" ht="13.5" customHeight="1">
      <c r="A149" s="126"/>
      <c r="B149" s="126"/>
      <c r="C149" s="126"/>
      <c r="D149" s="126"/>
      <c r="E149" s="126"/>
      <c r="F149" s="188"/>
      <c r="G149" s="188"/>
      <c r="H149" s="126"/>
      <c r="I149" s="126"/>
      <c r="J149" s="126"/>
      <c r="K149" s="126"/>
      <c r="L149" s="126"/>
      <c r="M149" s="126"/>
      <c r="N149" s="126"/>
      <c r="O149" s="126"/>
      <c r="P149" s="126"/>
      <c r="Q149" s="126"/>
      <c r="R149" s="126"/>
      <c r="S149" s="126"/>
      <c r="T149" s="126"/>
      <c r="U149" s="126"/>
      <c r="V149" s="126"/>
      <c r="W149" s="126"/>
      <c r="X149" s="126"/>
      <c r="Y149" s="126"/>
      <c r="Z149" s="126"/>
      <c r="AA149" s="126"/>
      <c r="AB149" s="126"/>
    </row>
    <row r="150" spans="1:28" ht="13.5" customHeight="1">
      <c r="A150" s="126"/>
      <c r="B150" s="126"/>
      <c r="C150" s="126"/>
      <c r="D150" s="126"/>
      <c r="E150" s="126"/>
      <c r="F150" s="188"/>
      <c r="G150" s="188"/>
      <c r="H150" s="126"/>
      <c r="I150" s="126"/>
      <c r="J150" s="126"/>
      <c r="K150" s="126"/>
      <c r="L150" s="126"/>
      <c r="M150" s="126"/>
      <c r="N150" s="126"/>
      <c r="O150" s="126"/>
      <c r="P150" s="126"/>
      <c r="Q150" s="126"/>
      <c r="R150" s="126"/>
      <c r="S150" s="126"/>
      <c r="T150" s="126"/>
      <c r="U150" s="126"/>
      <c r="V150" s="126"/>
      <c r="W150" s="126"/>
      <c r="X150" s="126"/>
      <c r="Y150" s="126"/>
      <c r="Z150" s="126"/>
      <c r="AA150" s="126"/>
      <c r="AB150" s="126"/>
    </row>
    <row r="151" spans="1:28" ht="13.5" customHeight="1">
      <c r="A151" s="126"/>
      <c r="B151" s="126"/>
      <c r="C151" s="126"/>
      <c r="D151" s="126"/>
      <c r="E151" s="126"/>
      <c r="F151" s="188"/>
      <c r="G151" s="188"/>
      <c r="H151" s="126"/>
      <c r="I151" s="126"/>
      <c r="J151" s="126"/>
      <c r="K151" s="126"/>
      <c r="L151" s="126"/>
      <c r="M151" s="126"/>
      <c r="N151" s="126"/>
      <c r="O151" s="126"/>
      <c r="P151" s="126"/>
      <c r="Q151" s="126"/>
      <c r="R151" s="126"/>
      <c r="S151" s="126"/>
      <c r="T151" s="126"/>
      <c r="U151" s="126"/>
      <c r="V151" s="126"/>
      <c r="W151" s="126"/>
      <c r="X151" s="126"/>
      <c r="Y151" s="126"/>
      <c r="Z151" s="126"/>
      <c r="AA151" s="126"/>
      <c r="AB151" s="126"/>
    </row>
    <row r="152" spans="1:28" ht="13.5" customHeight="1">
      <c r="A152" s="126"/>
      <c r="B152" s="126"/>
      <c r="C152" s="126"/>
      <c r="D152" s="126"/>
      <c r="E152" s="126"/>
      <c r="F152" s="188"/>
      <c r="G152" s="188"/>
      <c r="H152" s="126"/>
      <c r="I152" s="126"/>
      <c r="J152" s="126"/>
      <c r="K152" s="126"/>
      <c r="L152" s="126"/>
      <c r="M152" s="126"/>
      <c r="N152" s="126"/>
      <c r="O152" s="126"/>
      <c r="P152" s="126"/>
      <c r="Q152" s="126"/>
      <c r="R152" s="126"/>
      <c r="S152" s="126"/>
      <c r="T152" s="126"/>
      <c r="U152" s="126"/>
      <c r="V152" s="126"/>
      <c r="W152" s="126"/>
      <c r="X152" s="126"/>
      <c r="Y152" s="126"/>
      <c r="Z152" s="126"/>
      <c r="AA152" s="126"/>
      <c r="AB152" s="126"/>
    </row>
    <row r="153" spans="1:28" ht="13.5" customHeight="1">
      <c r="A153" s="126"/>
      <c r="B153" s="126"/>
      <c r="C153" s="126"/>
      <c r="D153" s="126"/>
      <c r="E153" s="126"/>
      <c r="F153" s="188"/>
      <c r="G153" s="188"/>
      <c r="H153" s="126"/>
      <c r="I153" s="126"/>
      <c r="J153" s="126"/>
      <c r="K153" s="126"/>
      <c r="L153" s="126"/>
      <c r="M153" s="126"/>
      <c r="N153" s="126"/>
      <c r="O153" s="126"/>
      <c r="P153" s="126"/>
      <c r="Q153" s="126"/>
      <c r="R153" s="126"/>
      <c r="S153" s="126"/>
      <c r="T153" s="126"/>
      <c r="U153" s="126"/>
      <c r="V153" s="126"/>
      <c r="W153" s="126"/>
      <c r="X153" s="126"/>
      <c r="Y153" s="126"/>
      <c r="Z153" s="126"/>
      <c r="AA153" s="126"/>
      <c r="AB153" s="126"/>
    </row>
    <row r="154" spans="1:28" ht="13.5" customHeight="1">
      <c r="A154" s="126"/>
      <c r="B154" s="126"/>
      <c r="C154" s="126"/>
      <c r="D154" s="126"/>
      <c r="E154" s="126"/>
      <c r="F154" s="188"/>
      <c r="G154" s="188"/>
      <c r="H154" s="126"/>
      <c r="I154" s="126"/>
      <c r="J154" s="126"/>
      <c r="K154" s="126"/>
      <c r="L154" s="126"/>
      <c r="M154" s="126"/>
      <c r="N154" s="126"/>
      <c r="O154" s="126"/>
      <c r="P154" s="126"/>
      <c r="Q154" s="126"/>
      <c r="R154" s="126"/>
      <c r="S154" s="126"/>
      <c r="T154" s="126"/>
      <c r="U154" s="126"/>
      <c r="V154" s="126"/>
      <c r="W154" s="126"/>
      <c r="X154" s="126"/>
      <c r="Y154" s="126"/>
      <c r="Z154" s="126"/>
      <c r="AA154" s="126"/>
      <c r="AB154" s="126"/>
    </row>
    <row r="155" spans="1:28" ht="13.5" customHeight="1">
      <c r="A155" s="126"/>
      <c r="B155" s="126"/>
      <c r="C155" s="126"/>
      <c r="D155" s="126"/>
      <c r="E155" s="126"/>
      <c r="F155" s="188"/>
      <c r="G155" s="188"/>
      <c r="H155" s="126"/>
      <c r="I155" s="126"/>
      <c r="J155" s="126"/>
      <c r="K155" s="126"/>
      <c r="L155" s="126"/>
      <c r="M155" s="126"/>
      <c r="N155" s="126"/>
      <c r="O155" s="126"/>
      <c r="P155" s="126"/>
      <c r="Q155" s="126"/>
      <c r="R155" s="126"/>
      <c r="S155" s="126"/>
      <c r="T155" s="126"/>
      <c r="U155" s="126"/>
      <c r="V155" s="126"/>
      <c r="W155" s="126"/>
      <c r="X155" s="126"/>
      <c r="Y155" s="126"/>
      <c r="Z155" s="126"/>
      <c r="AA155" s="126"/>
      <c r="AB155" s="126"/>
    </row>
    <row r="156" spans="1:28" ht="13.5" customHeight="1">
      <c r="A156" s="126"/>
      <c r="B156" s="126"/>
      <c r="C156" s="126"/>
      <c r="D156" s="126"/>
      <c r="E156" s="126"/>
      <c r="F156" s="188"/>
      <c r="G156" s="188"/>
      <c r="H156" s="126"/>
      <c r="I156" s="126"/>
      <c r="J156" s="126"/>
      <c r="K156" s="126"/>
      <c r="L156" s="126"/>
      <c r="M156" s="126"/>
      <c r="N156" s="126"/>
      <c r="O156" s="126"/>
      <c r="P156" s="126"/>
      <c r="Q156" s="126"/>
      <c r="R156" s="126"/>
      <c r="S156" s="126"/>
      <c r="T156" s="126"/>
      <c r="U156" s="126"/>
      <c r="V156" s="126"/>
      <c r="W156" s="126"/>
      <c r="X156" s="126"/>
      <c r="Y156" s="126"/>
      <c r="Z156" s="126"/>
      <c r="AA156" s="126"/>
      <c r="AB156" s="126"/>
    </row>
    <row r="157" spans="1:28" ht="13.5" customHeight="1">
      <c r="A157" s="126"/>
      <c r="B157" s="126"/>
      <c r="C157" s="126"/>
      <c r="D157" s="126"/>
      <c r="E157" s="126"/>
      <c r="F157" s="188"/>
      <c r="G157" s="188"/>
      <c r="H157" s="126"/>
      <c r="I157" s="126"/>
      <c r="J157" s="126"/>
      <c r="K157" s="126"/>
      <c r="L157" s="126"/>
      <c r="M157" s="126"/>
      <c r="N157" s="126"/>
      <c r="O157" s="126"/>
      <c r="P157" s="126"/>
      <c r="Q157" s="126"/>
      <c r="R157" s="126"/>
      <c r="S157" s="126"/>
      <c r="T157" s="126"/>
      <c r="U157" s="126"/>
      <c r="V157" s="126"/>
      <c r="W157" s="126"/>
      <c r="X157" s="126"/>
      <c r="Y157" s="126"/>
      <c r="Z157" s="126"/>
      <c r="AA157" s="126"/>
      <c r="AB157" s="126"/>
    </row>
    <row r="158" spans="1:28" ht="13.5" customHeight="1">
      <c r="A158" s="126"/>
      <c r="B158" s="126"/>
      <c r="C158" s="126"/>
      <c r="D158" s="126"/>
      <c r="E158" s="126"/>
      <c r="F158" s="188"/>
      <c r="G158" s="188"/>
      <c r="H158" s="126"/>
      <c r="I158" s="126"/>
      <c r="J158" s="126"/>
      <c r="K158" s="126"/>
      <c r="L158" s="126"/>
      <c r="M158" s="126"/>
      <c r="N158" s="126"/>
      <c r="O158" s="126"/>
      <c r="P158" s="126"/>
      <c r="Q158" s="126"/>
      <c r="R158" s="126"/>
      <c r="S158" s="126"/>
      <c r="T158" s="126"/>
      <c r="U158" s="126"/>
      <c r="V158" s="126"/>
      <c r="W158" s="126"/>
      <c r="X158" s="126"/>
      <c r="Y158" s="126"/>
      <c r="Z158" s="126"/>
      <c r="AA158" s="126"/>
      <c r="AB158" s="126"/>
    </row>
    <row r="159" spans="1:28" ht="13.5" customHeight="1">
      <c r="A159" s="126"/>
      <c r="B159" s="126"/>
      <c r="C159" s="126"/>
      <c r="D159" s="126"/>
      <c r="E159" s="126"/>
      <c r="F159" s="188"/>
      <c r="G159" s="188"/>
      <c r="H159" s="126"/>
      <c r="I159" s="126"/>
      <c r="J159" s="126"/>
      <c r="K159" s="126"/>
      <c r="L159" s="126"/>
      <c r="M159" s="126"/>
      <c r="N159" s="126"/>
      <c r="O159" s="126"/>
      <c r="P159" s="126"/>
      <c r="Q159" s="126"/>
      <c r="R159" s="126"/>
      <c r="S159" s="126"/>
      <c r="T159" s="126"/>
      <c r="U159" s="126"/>
      <c r="V159" s="126"/>
      <c r="W159" s="126"/>
      <c r="X159" s="126"/>
      <c r="Y159" s="126"/>
      <c r="Z159" s="126"/>
      <c r="AA159" s="126"/>
      <c r="AB159" s="126"/>
    </row>
    <row r="160" spans="1:28" ht="13.5" customHeight="1">
      <c r="A160" s="126"/>
      <c r="B160" s="126"/>
      <c r="C160" s="126"/>
      <c r="D160" s="126"/>
      <c r="E160" s="126"/>
      <c r="F160" s="188"/>
      <c r="G160" s="188"/>
      <c r="H160" s="126"/>
      <c r="I160" s="126"/>
      <c r="J160" s="126"/>
      <c r="K160" s="126"/>
      <c r="L160" s="126"/>
      <c r="M160" s="126"/>
      <c r="N160" s="126"/>
      <c r="O160" s="126"/>
      <c r="P160" s="126"/>
      <c r="Q160" s="126"/>
      <c r="R160" s="126"/>
      <c r="S160" s="126"/>
      <c r="T160" s="126"/>
      <c r="U160" s="126"/>
      <c r="V160" s="126"/>
      <c r="W160" s="126"/>
      <c r="X160" s="126"/>
      <c r="Y160" s="126"/>
      <c r="Z160" s="126"/>
      <c r="AA160" s="126"/>
      <c r="AB160" s="126"/>
    </row>
    <row r="161" spans="1:28" ht="13.5" customHeight="1">
      <c r="A161" s="126"/>
      <c r="B161" s="126"/>
      <c r="C161" s="126"/>
      <c r="D161" s="126"/>
      <c r="E161" s="126"/>
      <c r="F161" s="188"/>
      <c r="G161" s="188"/>
      <c r="H161" s="126"/>
      <c r="I161" s="126"/>
      <c r="J161" s="126"/>
      <c r="K161" s="126"/>
      <c r="L161" s="126"/>
      <c r="M161" s="126"/>
      <c r="N161" s="126"/>
      <c r="O161" s="126"/>
      <c r="P161" s="126"/>
      <c r="Q161" s="126"/>
      <c r="R161" s="126"/>
      <c r="S161" s="126"/>
      <c r="T161" s="126"/>
      <c r="U161" s="126"/>
      <c r="V161" s="126"/>
      <c r="W161" s="126"/>
      <c r="X161" s="126"/>
      <c r="Y161" s="126"/>
      <c r="Z161" s="126"/>
      <c r="AA161" s="126"/>
      <c r="AB161" s="126"/>
    </row>
    <row r="162" spans="1:28" ht="13.5" customHeight="1">
      <c r="A162" s="126"/>
      <c r="B162" s="126"/>
      <c r="C162" s="126"/>
      <c r="D162" s="126"/>
      <c r="E162" s="126"/>
      <c r="F162" s="188"/>
      <c r="G162" s="188"/>
      <c r="H162" s="126"/>
      <c r="I162" s="126"/>
      <c r="J162" s="126"/>
      <c r="K162" s="126"/>
      <c r="L162" s="126"/>
      <c r="M162" s="126"/>
      <c r="N162" s="126"/>
      <c r="O162" s="126"/>
      <c r="P162" s="126"/>
      <c r="Q162" s="126"/>
      <c r="R162" s="126"/>
      <c r="S162" s="126"/>
      <c r="T162" s="126"/>
      <c r="U162" s="126"/>
      <c r="V162" s="126"/>
      <c r="W162" s="126"/>
      <c r="X162" s="126"/>
      <c r="Y162" s="126"/>
      <c r="Z162" s="126"/>
      <c r="AA162" s="126"/>
      <c r="AB162" s="126"/>
    </row>
    <row r="163" spans="1:28" ht="13.5" customHeight="1">
      <c r="A163" s="126"/>
      <c r="B163" s="126"/>
      <c r="C163" s="126"/>
      <c r="D163" s="126"/>
      <c r="E163" s="126"/>
      <c r="F163" s="188"/>
      <c r="G163" s="188"/>
      <c r="H163" s="126"/>
      <c r="I163" s="126"/>
      <c r="J163" s="126"/>
      <c r="K163" s="126"/>
      <c r="L163" s="126"/>
      <c r="M163" s="126"/>
      <c r="N163" s="126"/>
      <c r="O163" s="126"/>
      <c r="P163" s="126"/>
      <c r="Q163" s="126"/>
      <c r="R163" s="126"/>
      <c r="S163" s="126"/>
      <c r="T163" s="126"/>
      <c r="U163" s="126"/>
      <c r="V163" s="126"/>
      <c r="W163" s="126"/>
      <c r="X163" s="126"/>
      <c r="Y163" s="126"/>
      <c r="Z163" s="126"/>
      <c r="AA163" s="126"/>
      <c r="AB163" s="126"/>
    </row>
    <row r="164" spans="1:28" ht="13.5" customHeight="1">
      <c r="A164" s="126"/>
      <c r="B164" s="126"/>
      <c r="C164" s="126"/>
      <c r="D164" s="126"/>
      <c r="E164" s="126"/>
      <c r="F164" s="188"/>
      <c r="G164" s="188"/>
      <c r="H164" s="126"/>
      <c r="I164" s="126"/>
      <c r="J164" s="126"/>
      <c r="K164" s="126"/>
      <c r="L164" s="126"/>
      <c r="M164" s="126"/>
      <c r="N164" s="126"/>
      <c r="O164" s="126"/>
      <c r="P164" s="126"/>
      <c r="Q164" s="126"/>
      <c r="R164" s="126"/>
      <c r="S164" s="126"/>
      <c r="T164" s="126"/>
      <c r="U164" s="126"/>
      <c r="V164" s="126"/>
      <c r="W164" s="126"/>
      <c r="X164" s="126"/>
      <c r="Y164" s="126"/>
      <c r="Z164" s="126"/>
      <c r="AA164" s="126"/>
      <c r="AB164" s="126"/>
    </row>
    <row r="165" spans="1:28" ht="13.5" customHeight="1">
      <c r="A165" s="126"/>
      <c r="B165" s="126"/>
      <c r="C165" s="126"/>
      <c r="D165" s="126"/>
      <c r="E165" s="126"/>
      <c r="F165" s="188"/>
      <c r="G165" s="188"/>
      <c r="H165" s="126"/>
      <c r="I165" s="126"/>
      <c r="J165" s="126"/>
      <c r="K165" s="126"/>
      <c r="L165" s="126"/>
      <c r="M165" s="126"/>
      <c r="N165" s="126"/>
      <c r="O165" s="126"/>
      <c r="P165" s="126"/>
      <c r="Q165" s="126"/>
      <c r="R165" s="126"/>
      <c r="S165" s="126"/>
      <c r="T165" s="126"/>
      <c r="U165" s="126"/>
      <c r="V165" s="126"/>
      <c r="W165" s="126"/>
      <c r="X165" s="126"/>
      <c r="Y165" s="126"/>
      <c r="Z165" s="126"/>
      <c r="AA165" s="126"/>
      <c r="AB165" s="126"/>
    </row>
    <row r="166" spans="1:28" ht="13.5" customHeight="1">
      <c r="A166" s="126"/>
      <c r="B166" s="126"/>
      <c r="C166" s="126"/>
      <c r="D166" s="126"/>
      <c r="E166" s="126"/>
      <c r="F166" s="188"/>
      <c r="G166" s="188"/>
      <c r="H166" s="126"/>
      <c r="I166" s="126"/>
      <c r="J166" s="126"/>
      <c r="K166" s="126"/>
      <c r="L166" s="126"/>
      <c r="M166" s="126"/>
      <c r="N166" s="126"/>
      <c r="O166" s="126"/>
      <c r="P166" s="126"/>
      <c r="Q166" s="126"/>
      <c r="R166" s="126"/>
      <c r="S166" s="126"/>
      <c r="T166" s="126"/>
      <c r="U166" s="126"/>
      <c r="V166" s="126"/>
      <c r="W166" s="126"/>
      <c r="X166" s="126"/>
      <c r="Y166" s="126"/>
      <c r="Z166" s="126"/>
      <c r="AA166" s="126"/>
      <c r="AB166" s="126"/>
    </row>
    <row r="167" spans="1:28" ht="13.5" customHeight="1">
      <c r="A167" s="126"/>
      <c r="B167" s="126"/>
      <c r="C167" s="126"/>
      <c r="D167" s="126"/>
      <c r="E167" s="126"/>
      <c r="F167" s="188"/>
      <c r="G167" s="188"/>
      <c r="H167" s="126"/>
      <c r="I167" s="126"/>
      <c r="J167" s="126"/>
      <c r="K167" s="126"/>
      <c r="L167" s="126"/>
      <c r="M167" s="126"/>
      <c r="N167" s="126"/>
      <c r="O167" s="126"/>
      <c r="P167" s="126"/>
      <c r="Q167" s="126"/>
      <c r="R167" s="126"/>
      <c r="S167" s="126"/>
      <c r="T167" s="126"/>
      <c r="U167" s="126"/>
      <c r="V167" s="126"/>
      <c r="W167" s="126"/>
      <c r="X167" s="126"/>
      <c r="Y167" s="126"/>
      <c r="Z167" s="126"/>
      <c r="AA167" s="126"/>
      <c r="AB167" s="126"/>
    </row>
    <row r="168" spans="1:28" ht="13.5" customHeight="1">
      <c r="A168" s="126"/>
      <c r="B168" s="126"/>
      <c r="C168" s="126"/>
      <c r="D168" s="126"/>
      <c r="E168" s="126"/>
      <c r="F168" s="188"/>
      <c r="G168" s="188"/>
      <c r="H168" s="126"/>
      <c r="I168" s="126"/>
      <c r="J168" s="126"/>
      <c r="K168" s="126"/>
      <c r="L168" s="126"/>
      <c r="M168" s="126"/>
      <c r="N168" s="126"/>
      <c r="O168" s="126"/>
      <c r="P168" s="126"/>
      <c r="Q168" s="126"/>
      <c r="R168" s="126"/>
      <c r="S168" s="126"/>
      <c r="T168" s="126"/>
      <c r="U168" s="126"/>
      <c r="V168" s="126"/>
      <c r="W168" s="126"/>
      <c r="X168" s="126"/>
      <c r="Y168" s="126"/>
      <c r="Z168" s="126"/>
      <c r="AA168" s="126"/>
      <c r="AB168" s="126"/>
    </row>
    <row r="169" spans="1:28" ht="13.5" customHeight="1">
      <c r="A169" s="126"/>
      <c r="B169" s="126"/>
      <c r="C169" s="126"/>
      <c r="D169" s="126"/>
      <c r="E169" s="126"/>
      <c r="F169" s="188"/>
      <c r="G169" s="188"/>
      <c r="H169" s="126"/>
      <c r="I169" s="126"/>
      <c r="J169" s="126"/>
      <c r="K169" s="126"/>
      <c r="L169" s="126"/>
      <c r="M169" s="126"/>
      <c r="N169" s="126"/>
      <c r="O169" s="126"/>
      <c r="P169" s="126"/>
      <c r="Q169" s="126"/>
      <c r="R169" s="126"/>
      <c r="S169" s="126"/>
      <c r="T169" s="126"/>
      <c r="U169" s="126"/>
      <c r="V169" s="126"/>
      <c r="W169" s="126"/>
      <c r="X169" s="126"/>
      <c r="Y169" s="126"/>
      <c r="Z169" s="126"/>
      <c r="AA169" s="126"/>
      <c r="AB169" s="126"/>
    </row>
    <row r="170" spans="1:28" ht="13.5" customHeight="1">
      <c r="A170" s="126"/>
      <c r="B170" s="126"/>
      <c r="C170" s="126"/>
      <c r="D170" s="126"/>
      <c r="E170" s="126"/>
      <c r="F170" s="188"/>
      <c r="G170" s="188"/>
      <c r="H170" s="126"/>
      <c r="I170" s="126"/>
      <c r="J170" s="126"/>
      <c r="K170" s="126"/>
      <c r="L170" s="126"/>
      <c r="M170" s="126"/>
      <c r="N170" s="126"/>
      <c r="O170" s="126"/>
      <c r="P170" s="126"/>
      <c r="Q170" s="126"/>
      <c r="R170" s="126"/>
      <c r="S170" s="126"/>
      <c r="T170" s="126"/>
      <c r="U170" s="126"/>
      <c r="V170" s="126"/>
      <c r="W170" s="126"/>
      <c r="X170" s="126"/>
      <c r="Y170" s="126"/>
      <c r="Z170" s="126"/>
      <c r="AA170" s="126"/>
      <c r="AB170" s="126"/>
    </row>
    <row r="171" spans="1:28" ht="13.5" customHeight="1">
      <c r="A171" s="126"/>
      <c r="B171" s="126"/>
      <c r="C171" s="126"/>
      <c r="D171" s="126"/>
      <c r="E171" s="126"/>
      <c r="F171" s="188"/>
      <c r="G171" s="188"/>
      <c r="H171" s="126"/>
      <c r="I171" s="126"/>
      <c r="J171" s="126"/>
      <c r="K171" s="126"/>
      <c r="L171" s="126"/>
      <c r="M171" s="126"/>
      <c r="N171" s="126"/>
      <c r="O171" s="126"/>
      <c r="P171" s="126"/>
      <c r="Q171" s="126"/>
      <c r="R171" s="126"/>
      <c r="S171" s="126"/>
      <c r="T171" s="126"/>
      <c r="U171" s="126"/>
      <c r="V171" s="126"/>
      <c r="W171" s="126"/>
      <c r="X171" s="126"/>
      <c r="Y171" s="126"/>
      <c r="Z171" s="126"/>
      <c r="AA171" s="126"/>
      <c r="AB171" s="126"/>
    </row>
    <row r="172" spans="1:28" ht="13.5" customHeight="1">
      <c r="A172" s="126"/>
      <c r="B172" s="126"/>
      <c r="C172" s="126"/>
      <c r="D172" s="126"/>
      <c r="E172" s="126"/>
      <c r="F172" s="188"/>
      <c r="G172" s="188"/>
      <c r="H172" s="126"/>
      <c r="I172" s="126"/>
      <c r="J172" s="126"/>
      <c r="K172" s="126"/>
      <c r="L172" s="126"/>
      <c r="M172" s="126"/>
      <c r="N172" s="126"/>
      <c r="O172" s="126"/>
      <c r="P172" s="126"/>
      <c r="Q172" s="126"/>
      <c r="R172" s="126"/>
      <c r="S172" s="126"/>
      <c r="T172" s="126"/>
      <c r="U172" s="126"/>
      <c r="V172" s="126"/>
      <c r="W172" s="126"/>
      <c r="X172" s="126"/>
      <c r="Y172" s="126"/>
      <c r="Z172" s="126"/>
      <c r="AA172" s="126"/>
      <c r="AB172" s="126"/>
    </row>
    <row r="173" spans="1:28" ht="13.5" customHeight="1">
      <c r="A173" s="126"/>
      <c r="B173" s="126"/>
      <c r="C173" s="126"/>
      <c r="D173" s="126"/>
      <c r="E173" s="126"/>
      <c r="F173" s="188"/>
      <c r="G173" s="188"/>
      <c r="H173" s="126"/>
      <c r="I173" s="126"/>
      <c r="J173" s="126"/>
      <c r="K173" s="126"/>
      <c r="L173" s="126"/>
      <c r="M173" s="126"/>
      <c r="N173" s="126"/>
      <c r="O173" s="126"/>
      <c r="P173" s="126"/>
      <c r="Q173" s="126"/>
      <c r="R173" s="126"/>
      <c r="S173" s="126"/>
      <c r="T173" s="126"/>
      <c r="U173" s="126"/>
      <c r="V173" s="126"/>
      <c r="W173" s="126"/>
      <c r="X173" s="126"/>
      <c r="Y173" s="126"/>
      <c r="Z173" s="126"/>
      <c r="AA173" s="126"/>
      <c r="AB173" s="126"/>
    </row>
    <row r="174" spans="1:28" ht="13.5" customHeight="1">
      <c r="A174" s="126"/>
      <c r="B174" s="126"/>
      <c r="C174" s="126"/>
      <c r="D174" s="126"/>
      <c r="E174" s="126"/>
      <c r="F174" s="188"/>
      <c r="G174" s="188"/>
      <c r="H174" s="126"/>
      <c r="I174" s="126"/>
      <c r="J174" s="126"/>
      <c r="K174" s="126"/>
      <c r="L174" s="126"/>
      <c r="M174" s="126"/>
      <c r="N174" s="126"/>
      <c r="O174" s="126"/>
      <c r="P174" s="126"/>
      <c r="Q174" s="126"/>
      <c r="R174" s="126"/>
      <c r="S174" s="126"/>
      <c r="T174" s="126"/>
      <c r="U174" s="126"/>
      <c r="V174" s="126"/>
      <c r="W174" s="126"/>
      <c r="X174" s="126"/>
      <c r="Y174" s="126"/>
      <c r="Z174" s="126"/>
      <c r="AA174" s="126"/>
      <c r="AB174" s="126"/>
    </row>
    <row r="175" spans="1:28" ht="13.5" customHeight="1">
      <c r="A175" s="126"/>
      <c r="B175" s="126"/>
      <c r="C175" s="126"/>
      <c r="D175" s="126"/>
      <c r="E175" s="126"/>
      <c r="F175" s="188"/>
      <c r="G175" s="188"/>
      <c r="H175" s="126"/>
      <c r="I175" s="126"/>
      <c r="J175" s="126"/>
      <c r="K175" s="126"/>
      <c r="L175" s="126"/>
      <c r="M175" s="126"/>
      <c r="N175" s="126"/>
      <c r="O175" s="126"/>
      <c r="P175" s="126"/>
      <c r="Q175" s="126"/>
      <c r="R175" s="126"/>
      <c r="S175" s="126"/>
      <c r="T175" s="126"/>
      <c r="U175" s="126"/>
      <c r="V175" s="126"/>
      <c r="W175" s="126"/>
      <c r="X175" s="126"/>
      <c r="Y175" s="126"/>
      <c r="Z175" s="126"/>
      <c r="AA175" s="126"/>
      <c r="AB175" s="126"/>
    </row>
    <row r="176" spans="1:28" ht="13.5" customHeight="1">
      <c r="A176" s="126"/>
      <c r="B176" s="126"/>
      <c r="C176" s="126"/>
      <c r="D176" s="126"/>
      <c r="E176" s="126"/>
      <c r="F176" s="188"/>
      <c r="G176" s="188"/>
      <c r="H176" s="126"/>
      <c r="I176" s="126"/>
      <c r="J176" s="126"/>
      <c r="K176" s="126"/>
      <c r="L176" s="126"/>
      <c r="M176" s="126"/>
      <c r="N176" s="126"/>
      <c r="O176" s="126"/>
      <c r="P176" s="126"/>
      <c r="Q176" s="126"/>
      <c r="R176" s="126"/>
      <c r="S176" s="126"/>
      <c r="T176" s="126"/>
      <c r="U176" s="126"/>
      <c r="V176" s="126"/>
      <c r="W176" s="126"/>
      <c r="X176" s="126"/>
      <c r="Y176" s="126"/>
      <c r="Z176" s="126"/>
      <c r="AA176" s="126"/>
      <c r="AB176" s="126"/>
    </row>
    <row r="177" spans="1:28" ht="13.5" customHeight="1">
      <c r="A177" s="126"/>
      <c r="B177" s="126"/>
      <c r="C177" s="126"/>
      <c r="D177" s="126"/>
      <c r="E177" s="126"/>
      <c r="F177" s="188"/>
      <c r="G177" s="188"/>
      <c r="H177" s="126"/>
      <c r="I177" s="126"/>
      <c r="J177" s="126"/>
      <c r="K177" s="126"/>
      <c r="L177" s="126"/>
      <c r="M177" s="126"/>
      <c r="N177" s="126"/>
      <c r="O177" s="126"/>
      <c r="P177" s="126"/>
      <c r="Q177" s="126"/>
      <c r="R177" s="126"/>
      <c r="S177" s="126"/>
      <c r="T177" s="126"/>
      <c r="U177" s="126"/>
      <c r="V177" s="126"/>
      <c r="W177" s="126"/>
      <c r="X177" s="126"/>
      <c r="Y177" s="126"/>
      <c r="Z177" s="126"/>
      <c r="AA177" s="126"/>
      <c r="AB177" s="126"/>
    </row>
    <row r="178" spans="1:28" ht="13.5" customHeight="1">
      <c r="A178" s="126"/>
      <c r="B178" s="126"/>
      <c r="C178" s="126"/>
      <c r="D178" s="126"/>
      <c r="E178" s="126"/>
      <c r="F178" s="188"/>
      <c r="G178" s="188"/>
      <c r="H178" s="126"/>
      <c r="I178" s="126"/>
      <c r="J178" s="126"/>
      <c r="K178" s="126"/>
      <c r="L178" s="126"/>
      <c r="M178" s="126"/>
      <c r="N178" s="126"/>
      <c r="O178" s="126"/>
      <c r="P178" s="126"/>
      <c r="Q178" s="126"/>
      <c r="R178" s="126"/>
      <c r="S178" s="126"/>
      <c r="T178" s="126"/>
      <c r="U178" s="126"/>
      <c r="V178" s="126"/>
      <c r="W178" s="126"/>
      <c r="X178" s="126"/>
      <c r="Y178" s="126"/>
      <c r="Z178" s="126"/>
      <c r="AA178" s="126"/>
      <c r="AB178" s="126"/>
    </row>
    <row r="179" spans="1:28" ht="13.5" customHeight="1">
      <c r="A179" s="126"/>
      <c r="B179" s="126"/>
      <c r="C179" s="126"/>
      <c r="D179" s="126"/>
      <c r="E179" s="126"/>
      <c r="F179" s="188"/>
      <c r="G179" s="188"/>
      <c r="H179" s="126"/>
      <c r="I179" s="126"/>
      <c r="J179" s="126"/>
      <c r="K179" s="126"/>
      <c r="L179" s="126"/>
      <c r="M179" s="126"/>
      <c r="N179" s="126"/>
      <c r="O179" s="126"/>
      <c r="P179" s="126"/>
      <c r="Q179" s="126"/>
      <c r="R179" s="126"/>
      <c r="S179" s="126"/>
      <c r="T179" s="126"/>
      <c r="U179" s="126"/>
      <c r="V179" s="126"/>
      <c r="W179" s="126"/>
      <c r="X179" s="126"/>
      <c r="Y179" s="126"/>
      <c r="Z179" s="126"/>
      <c r="AA179" s="126"/>
      <c r="AB179" s="126"/>
    </row>
    <row r="180" spans="1:28" ht="13.5" customHeight="1">
      <c r="A180" s="126"/>
      <c r="B180" s="126"/>
      <c r="C180" s="126"/>
      <c r="D180" s="126"/>
      <c r="E180" s="126"/>
      <c r="F180" s="188"/>
      <c r="G180" s="188"/>
      <c r="H180" s="126"/>
      <c r="I180" s="126"/>
      <c r="J180" s="126"/>
      <c r="K180" s="126"/>
      <c r="L180" s="126"/>
      <c r="M180" s="126"/>
      <c r="N180" s="126"/>
      <c r="O180" s="126"/>
      <c r="P180" s="126"/>
      <c r="Q180" s="126"/>
      <c r="R180" s="126"/>
      <c r="S180" s="126"/>
      <c r="T180" s="126"/>
      <c r="U180" s="126"/>
      <c r="V180" s="126"/>
      <c r="W180" s="126"/>
      <c r="X180" s="126"/>
      <c r="Y180" s="126"/>
      <c r="Z180" s="126"/>
      <c r="AA180" s="126"/>
      <c r="AB180" s="126"/>
    </row>
    <row r="181" spans="1:28" ht="13.5" customHeight="1">
      <c r="A181" s="126"/>
      <c r="B181" s="126"/>
      <c r="C181" s="126"/>
      <c r="D181" s="126"/>
      <c r="E181" s="126"/>
      <c r="F181" s="188"/>
      <c r="G181" s="188"/>
      <c r="H181" s="126"/>
      <c r="I181" s="126"/>
      <c r="J181" s="126"/>
      <c r="K181" s="126"/>
      <c r="L181" s="126"/>
      <c r="M181" s="126"/>
      <c r="N181" s="126"/>
      <c r="O181" s="126"/>
      <c r="P181" s="126"/>
      <c r="Q181" s="126"/>
      <c r="R181" s="126"/>
      <c r="S181" s="126"/>
      <c r="T181" s="126"/>
      <c r="U181" s="126"/>
      <c r="V181" s="126"/>
      <c r="W181" s="126"/>
      <c r="X181" s="126"/>
      <c r="Y181" s="126"/>
      <c r="Z181" s="126"/>
      <c r="AA181" s="126"/>
      <c r="AB181" s="126"/>
    </row>
    <row r="182" spans="1:28" ht="13.5" customHeight="1">
      <c r="A182" s="126"/>
      <c r="B182" s="126"/>
      <c r="C182" s="126"/>
      <c r="D182" s="126"/>
      <c r="E182" s="126"/>
      <c r="F182" s="188"/>
      <c r="G182" s="188"/>
      <c r="H182" s="126"/>
      <c r="I182" s="126"/>
      <c r="J182" s="126"/>
      <c r="K182" s="126"/>
      <c r="L182" s="126"/>
      <c r="M182" s="126"/>
      <c r="N182" s="126"/>
      <c r="O182" s="126"/>
      <c r="P182" s="126"/>
      <c r="Q182" s="126"/>
      <c r="R182" s="126"/>
      <c r="S182" s="126"/>
      <c r="T182" s="126"/>
      <c r="U182" s="126"/>
      <c r="V182" s="126"/>
      <c r="W182" s="126"/>
      <c r="X182" s="126"/>
      <c r="Y182" s="126"/>
      <c r="Z182" s="126"/>
      <c r="AA182" s="126"/>
      <c r="AB182" s="126"/>
    </row>
    <row r="183" spans="1:28" ht="13.5" customHeight="1">
      <c r="A183" s="126"/>
      <c r="B183" s="126"/>
      <c r="C183" s="126"/>
      <c r="D183" s="126"/>
      <c r="E183" s="126"/>
      <c r="F183" s="188"/>
      <c r="G183" s="188"/>
      <c r="H183" s="126"/>
      <c r="I183" s="126"/>
      <c r="J183" s="126"/>
      <c r="K183" s="126"/>
      <c r="L183" s="126"/>
      <c r="M183" s="126"/>
      <c r="N183" s="126"/>
      <c r="O183" s="126"/>
      <c r="P183" s="126"/>
      <c r="Q183" s="126"/>
      <c r="R183" s="126"/>
      <c r="S183" s="126"/>
      <c r="T183" s="126"/>
      <c r="U183" s="126"/>
      <c r="V183" s="126"/>
      <c r="W183" s="126"/>
      <c r="X183" s="126"/>
      <c r="Y183" s="126"/>
      <c r="Z183" s="126"/>
      <c r="AA183" s="126"/>
      <c r="AB183" s="126"/>
    </row>
    <row r="184" spans="1:28" ht="13.5" customHeight="1">
      <c r="A184" s="126"/>
      <c r="B184" s="126"/>
      <c r="C184" s="126"/>
      <c r="D184" s="126"/>
      <c r="E184" s="126"/>
      <c r="F184" s="188"/>
      <c r="G184" s="188"/>
      <c r="H184" s="126"/>
      <c r="I184" s="126"/>
      <c r="J184" s="126"/>
      <c r="K184" s="126"/>
      <c r="L184" s="126"/>
      <c r="M184" s="126"/>
      <c r="N184" s="126"/>
      <c r="O184" s="126"/>
      <c r="P184" s="126"/>
      <c r="Q184" s="126"/>
      <c r="R184" s="126"/>
      <c r="S184" s="126"/>
      <c r="T184" s="126"/>
      <c r="U184" s="126"/>
      <c r="V184" s="126"/>
      <c r="W184" s="126"/>
      <c r="X184" s="126"/>
      <c r="Y184" s="126"/>
      <c r="Z184" s="126"/>
      <c r="AA184" s="126"/>
      <c r="AB184" s="126"/>
    </row>
    <row r="185" spans="1:28" ht="13.5" customHeight="1">
      <c r="A185" s="126"/>
      <c r="B185" s="126"/>
      <c r="C185" s="126"/>
      <c r="D185" s="126"/>
      <c r="E185" s="126"/>
      <c r="F185" s="188"/>
      <c r="G185" s="188"/>
      <c r="H185" s="126"/>
      <c r="I185" s="126"/>
      <c r="J185" s="126"/>
      <c r="K185" s="126"/>
      <c r="L185" s="126"/>
      <c r="M185" s="126"/>
      <c r="N185" s="126"/>
      <c r="O185" s="126"/>
      <c r="P185" s="126"/>
      <c r="Q185" s="126"/>
      <c r="R185" s="126"/>
      <c r="S185" s="126"/>
      <c r="T185" s="126"/>
      <c r="U185" s="126"/>
      <c r="V185" s="126"/>
      <c r="W185" s="126"/>
      <c r="X185" s="126"/>
      <c r="Y185" s="126"/>
      <c r="Z185" s="126"/>
      <c r="AA185" s="126"/>
      <c r="AB185" s="126"/>
    </row>
    <row r="186" spans="1:28" ht="13.5" customHeight="1">
      <c r="A186" s="126"/>
      <c r="B186" s="126"/>
      <c r="C186" s="126"/>
      <c r="D186" s="126"/>
      <c r="E186" s="126"/>
      <c r="F186" s="188"/>
      <c r="G186" s="188"/>
      <c r="H186" s="126"/>
      <c r="I186" s="126"/>
      <c r="J186" s="126"/>
      <c r="K186" s="126"/>
      <c r="L186" s="126"/>
      <c r="M186" s="126"/>
      <c r="N186" s="126"/>
      <c r="O186" s="126"/>
      <c r="P186" s="126"/>
      <c r="Q186" s="126"/>
      <c r="R186" s="126"/>
      <c r="S186" s="126"/>
      <c r="T186" s="126"/>
      <c r="U186" s="126"/>
      <c r="V186" s="126"/>
      <c r="W186" s="126"/>
      <c r="X186" s="126"/>
      <c r="Y186" s="126"/>
      <c r="Z186" s="126"/>
      <c r="AA186" s="126"/>
      <c r="AB186" s="126"/>
    </row>
    <row r="187" spans="1:28" ht="13.5" customHeight="1">
      <c r="A187" s="126"/>
      <c r="B187" s="126"/>
      <c r="C187" s="126"/>
      <c r="D187" s="126"/>
      <c r="E187" s="126"/>
      <c r="F187" s="188"/>
      <c r="G187" s="188"/>
      <c r="H187" s="126"/>
      <c r="I187" s="126"/>
      <c r="J187" s="126"/>
      <c r="K187" s="126"/>
      <c r="L187" s="126"/>
      <c r="M187" s="126"/>
      <c r="N187" s="126"/>
      <c r="O187" s="126"/>
      <c r="P187" s="126"/>
      <c r="Q187" s="126"/>
      <c r="R187" s="126"/>
      <c r="S187" s="126"/>
      <c r="T187" s="126"/>
      <c r="U187" s="126"/>
      <c r="V187" s="126"/>
      <c r="W187" s="126"/>
      <c r="X187" s="126"/>
      <c r="Y187" s="126"/>
      <c r="Z187" s="126"/>
      <c r="AA187" s="126"/>
      <c r="AB187" s="126"/>
    </row>
    <row r="188" spans="1:28" ht="13.5" customHeight="1">
      <c r="A188" s="126"/>
      <c r="B188" s="126"/>
      <c r="C188" s="126"/>
      <c r="D188" s="126"/>
      <c r="E188" s="126"/>
      <c r="F188" s="188"/>
      <c r="G188" s="188"/>
      <c r="H188" s="126"/>
      <c r="I188" s="126"/>
      <c r="J188" s="126"/>
      <c r="K188" s="126"/>
      <c r="L188" s="126"/>
      <c r="M188" s="126"/>
      <c r="N188" s="126"/>
      <c r="O188" s="126"/>
      <c r="P188" s="126"/>
      <c r="Q188" s="126"/>
      <c r="R188" s="126"/>
      <c r="S188" s="126"/>
      <c r="T188" s="126"/>
      <c r="U188" s="126"/>
      <c r="V188" s="126"/>
      <c r="W188" s="126"/>
      <c r="X188" s="126"/>
      <c r="Y188" s="126"/>
      <c r="Z188" s="126"/>
      <c r="AA188" s="126"/>
      <c r="AB188" s="126"/>
    </row>
    <row r="189" spans="1:28" ht="13.5" customHeight="1">
      <c r="A189" s="126"/>
      <c r="B189" s="126"/>
      <c r="C189" s="126"/>
      <c r="D189" s="126"/>
      <c r="E189" s="126"/>
      <c r="F189" s="188"/>
      <c r="G189" s="188"/>
      <c r="H189" s="126"/>
      <c r="I189" s="126"/>
      <c r="J189" s="126"/>
      <c r="K189" s="126"/>
      <c r="L189" s="126"/>
      <c r="M189" s="126"/>
      <c r="N189" s="126"/>
      <c r="O189" s="126"/>
      <c r="P189" s="126"/>
      <c r="Q189" s="126"/>
      <c r="R189" s="126"/>
      <c r="S189" s="126"/>
      <c r="T189" s="126"/>
      <c r="U189" s="126"/>
      <c r="V189" s="126"/>
      <c r="W189" s="126"/>
      <c r="X189" s="126"/>
      <c r="Y189" s="126"/>
      <c r="Z189" s="126"/>
      <c r="AA189" s="126"/>
      <c r="AB189" s="126"/>
    </row>
    <row r="190" spans="1:28" ht="13.5" customHeight="1">
      <c r="A190" s="126"/>
      <c r="B190" s="126"/>
      <c r="C190" s="126"/>
      <c r="D190" s="126"/>
      <c r="E190" s="126"/>
      <c r="F190" s="188"/>
      <c r="G190" s="188"/>
      <c r="H190" s="126"/>
      <c r="I190" s="126"/>
      <c r="J190" s="126"/>
      <c r="K190" s="126"/>
      <c r="L190" s="126"/>
      <c r="M190" s="126"/>
      <c r="N190" s="126"/>
      <c r="O190" s="126"/>
      <c r="P190" s="126"/>
      <c r="Q190" s="126"/>
      <c r="R190" s="126"/>
      <c r="S190" s="126"/>
      <c r="T190" s="126"/>
      <c r="U190" s="126"/>
      <c r="V190" s="126"/>
      <c r="W190" s="126"/>
      <c r="X190" s="126"/>
      <c r="Y190" s="126"/>
      <c r="Z190" s="126"/>
      <c r="AA190" s="126"/>
      <c r="AB190" s="126"/>
    </row>
    <row r="191" spans="1:28" ht="13.5" customHeight="1">
      <c r="A191" s="126"/>
      <c r="B191" s="126"/>
      <c r="C191" s="126"/>
      <c r="D191" s="126"/>
      <c r="E191" s="126"/>
      <c r="F191" s="188"/>
      <c r="G191" s="188"/>
      <c r="H191" s="126"/>
      <c r="I191" s="126"/>
      <c r="J191" s="126"/>
      <c r="K191" s="126"/>
      <c r="L191" s="126"/>
      <c r="M191" s="126"/>
      <c r="N191" s="126"/>
      <c r="O191" s="126"/>
      <c r="P191" s="126"/>
      <c r="Q191" s="126"/>
      <c r="R191" s="126"/>
      <c r="S191" s="126"/>
      <c r="T191" s="126"/>
      <c r="U191" s="126"/>
      <c r="V191" s="126"/>
      <c r="W191" s="126"/>
      <c r="X191" s="126"/>
      <c r="Y191" s="126"/>
      <c r="Z191" s="126"/>
      <c r="AA191" s="126"/>
      <c r="AB191" s="126"/>
    </row>
    <row r="192" spans="1:28" ht="13.5" customHeight="1">
      <c r="A192" s="126"/>
      <c r="B192" s="126"/>
      <c r="C192" s="126"/>
      <c r="D192" s="126"/>
      <c r="E192" s="126"/>
      <c r="F192" s="188"/>
      <c r="G192" s="188"/>
      <c r="H192" s="126"/>
      <c r="I192" s="126"/>
      <c r="J192" s="126"/>
      <c r="K192" s="126"/>
      <c r="L192" s="126"/>
      <c r="M192" s="126"/>
      <c r="N192" s="126"/>
      <c r="O192" s="126"/>
      <c r="P192" s="126"/>
      <c r="Q192" s="126"/>
      <c r="R192" s="126"/>
      <c r="S192" s="126"/>
      <c r="T192" s="126"/>
      <c r="U192" s="126"/>
      <c r="V192" s="126"/>
      <c r="W192" s="126"/>
      <c r="X192" s="126"/>
      <c r="Y192" s="126"/>
      <c r="Z192" s="126"/>
      <c r="AA192" s="126"/>
      <c r="AB192" s="126"/>
    </row>
    <row r="193" spans="1:28" ht="13.5" customHeight="1">
      <c r="A193" s="126"/>
      <c r="B193" s="126"/>
      <c r="C193" s="126"/>
      <c r="D193" s="126"/>
      <c r="E193" s="126"/>
      <c r="F193" s="188"/>
      <c r="G193" s="188"/>
      <c r="H193" s="126"/>
      <c r="I193" s="126"/>
      <c r="J193" s="126"/>
      <c r="K193" s="126"/>
      <c r="L193" s="126"/>
      <c r="M193" s="126"/>
      <c r="N193" s="126"/>
      <c r="O193" s="126"/>
      <c r="P193" s="126"/>
      <c r="Q193" s="126"/>
      <c r="R193" s="126"/>
      <c r="S193" s="126"/>
      <c r="T193" s="126"/>
      <c r="U193" s="126"/>
      <c r="V193" s="126"/>
      <c r="W193" s="126"/>
      <c r="X193" s="126"/>
      <c r="Y193" s="126"/>
      <c r="Z193" s="126"/>
      <c r="AA193" s="126"/>
      <c r="AB193" s="126"/>
    </row>
    <row r="194" spans="1:28" ht="13.5" customHeight="1">
      <c r="A194" s="126"/>
      <c r="B194" s="126"/>
      <c r="C194" s="126"/>
      <c r="D194" s="126"/>
      <c r="E194" s="126"/>
      <c r="F194" s="188"/>
      <c r="G194" s="188"/>
      <c r="H194" s="126"/>
      <c r="I194" s="126"/>
      <c r="J194" s="126"/>
      <c r="K194" s="126"/>
      <c r="L194" s="126"/>
      <c r="M194" s="126"/>
      <c r="N194" s="126"/>
      <c r="O194" s="126"/>
      <c r="P194" s="126"/>
      <c r="Q194" s="126"/>
      <c r="R194" s="126"/>
      <c r="S194" s="126"/>
      <c r="T194" s="126"/>
      <c r="U194" s="126"/>
      <c r="V194" s="126"/>
      <c r="W194" s="126"/>
      <c r="X194" s="126"/>
      <c r="Y194" s="126"/>
      <c r="Z194" s="126"/>
      <c r="AA194" s="126"/>
      <c r="AB194" s="126"/>
    </row>
    <row r="195" spans="1:28" ht="13.5" customHeight="1">
      <c r="A195" s="126"/>
      <c r="B195" s="126"/>
      <c r="C195" s="126"/>
      <c r="D195" s="126"/>
      <c r="E195" s="126"/>
      <c r="F195" s="188"/>
      <c r="G195" s="188"/>
      <c r="H195" s="126"/>
      <c r="I195" s="126"/>
      <c r="J195" s="126"/>
      <c r="K195" s="126"/>
      <c r="L195" s="126"/>
      <c r="M195" s="126"/>
      <c r="N195" s="126"/>
      <c r="O195" s="126"/>
      <c r="P195" s="126"/>
      <c r="Q195" s="126"/>
      <c r="R195" s="126"/>
      <c r="S195" s="126"/>
      <c r="T195" s="126"/>
      <c r="U195" s="126"/>
      <c r="V195" s="126"/>
      <c r="W195" s="126"/>
      <c r="X195" s="126"/>
      <c r="Y195" s="126"/>
      <c r="Z195" s="126"/>
      <c r="AA195" s="126"/>
      <c r="AB195" s="126"/>
    </row>
    <row r="196" spans="1:28" ht="13.5" customHeight="1">
      <c r="A196" s="126"/>
      <c r="B196" s="126"/>
      <c r="C196" s="126"/>
      <c r="D196" s="126"/>
      <c r="E196" s="126"/>
      <c r="F196" s="188"/>
      <c r="G196" s="188"/>
      <c r="H196" s="126"/>
      <c r="I196" s="126"/>
      <c r="J196" s="126"/>
      <c r="K196" s="126"/>
      <c r="L196" s="126"/>
      <c r="M196" s="126"/>
      <c r="N196" s="126"/>
      <c r="O196" s="126"/>
      <c r="P196" s="126"/>
      <c r="Q196" s="126"/>
      <c r="R196" s="126"/>
      <c r="S196" s="126"/>
      <c r="T196" s="126"/>
      <c r="U196" s="126"/>
      <c r="V196" s="126"/>
      <c r="W196" s="126"/>
      <c r="X196" s="126"/>
      <c r="Y196" s="126"/>
      <c r="Z196" s="126"/>
      <c r="AA196" s="126"/>
      <c r="AB196" s="126"/>
    </row>
    <row r="197" spans="1:28" ht="13.5" customHeight="1">
      <c r="A197" s="126"/>
      <c r="B197" s="126"/>
      <c r="C197" s="126"/>
      <c r="D197" s="126"/>
      <c r="E197" s="126"/>
      <c r="F197" s="188"/>
      <c r="G197" s="188"/>
      <c r="H197" s="126"/>
      <c r="I197" s="126"/>
      <c r="J197" s="126"/>
      <c r="K197" s="126"/>
      <c r="L197" s="126"/>
      <c r="M197" s="126"/>
      <c r="N197" s="126"/>
      <c r="O197" s="126"/>
      <c r="P197" s="126"/>
      <c r="Q197" s="126"/>
      <c r="R197" s="126"/>
      <c r="S197" s="126"/>
      <c r="T197" s="126"/>
      <c r="U197" s="126"/>
      <c r="V197" s="126"/>
      <c r="W197" s="126"/>
      <c r="X197" s="126"/>
      <c r="Y197" s="126"/>
      <c r="Z197" s="126"/>
      <c r="AA197" s="126"/>
      <c r="AB197" s="126"/>
    </row>
    <row r="198" spans="1:28" ht="13.5" customHeight="1">
      <c r="A198" s="126"/>
      <c r="B198" s="126"/>
      <c r="C198" s="126"/>
      <c r="D198" s="126"/>
      <c r="E198" s="126"/>
      <c r="F198" s="188"/>
      <c r="G198" s="188"/>
      <c r="H198" s="126"/>
      <c r="I198" s="126"/>
      <c r="J198" s="126"/>
      <c r="K198" s="126"/>
      <c r="L198" s="126"/>
      <c r="M198" s="126"/>
      <c r="N198" s="126"/>
      <c r="O198" s="126"/>
      <c r="P198" s="126"/>
      <c r="Q198" s="126"/>
      <c r="R198" s="126"/>
      <c r="S198" s="126"/>
      <c r="T198" s="126"/>
      <c r="U198" s="126"/>
      <c r="V198" s="126"/>
      <c r="W198" s="126"/>
      <c r="X198" s="126"/>
      <c r="Y198" s="126"/>
      <c r="Z198" s="126"/>
      <c r="AA198" s="126"/>
      <c r="AB198" s="126"/>
    </row>
    <row r="199" spans="1:28" ht="13.5" customHeight="1">
      <c r="A199" s="126"/>
      <c r="B199" s="126"/>
      <c r="C199" s="126"/>
      <c r="D199" s="126"/>
      <c r="E199" s="126"/>
      <c r="F199" s="188"/>
      <c r="G199" s="188"/>
      <c r="H199" s="126"/>
      <c r="I199" s="126"/>
      <c r="J199" s="126"/>
      <c r="K199" s="126"/>
      <c r="L199" s="126"/>
      <c r="M199" s="126"/>
      <c r="N199" s="126"/>
      <c r="O199" s="126"/>
      <c r="P199" s="126"/>
      <c r="Q199" s="126"/>
      <c r="R199" s="126"/>
      <c r="S199" s="126"/>
      <c r="T199" s="126"/>
      <c r="U199" s="126"/>
      <c r="V199" s="126"/>
      <c r="W199" s="126"/>
      <c r="X199" s="126"/>
      <c r="Y199" s="126"/>
      <c r="Z199" s="126"/>
      <c r="AA199" s="126"/>
      <c r="AB199" s="126"/>
    </row>
    <row r="200" spans="1:28" ht="13.5" customHeight="1">
      <c r="A200" s="126"/>
      <c r="B200" s="126"/>
      <c r="C200" s="126"/>
      <c r="D200" s="126"/>
      <c r="E200" s="126"/>
      <c r="F200" s="188"/>
      <c r="G200" s="188"/>
      <c r="H200" s="126"/>
      <c r="I200" s="126"/>
      <c r="J200" s="126"/>
      <c r="K200" s="126"/>
      <c r="L200" s="126"/>
      <c r="M200" s="126"/>
      <c r="N200" s="126"/>
      <c r="O200" s="126"/>
      <c r="P200" s="126"/>
      <c r="Q200" s="126"/>
      <c r="R200" s="126"/>
      <c r="S200" s="126"/>
      <c r="T200" s="126"/>
      <c r="U200" s="126"/>
      <c r="V200" s="126"/>
      <c r="W200" s="126"/>
      <c r="X200" s="126"/>
      <c r="Y200" s="126"/>
      <c r="Z200" s="126"/>
      <c r="AA200" s="126"/>
      <c r="AB200" s="126"/>
    </row>
    <row r="201" spans="1:28" ht="13.5" customHeight="1">
      <c r="A201" s="126"/>
      <c r="B201" s="126"/>
      <c r="C201" s="126"/>
      <c r="D201" s="126"/>
      <c r="E201" s="126"/>
      <c r="F201" s="188"/>
      <c r="G201" s="188"/>
      <c r="H201" s="126"/>
      <c r="I201" s="126"/>
      <c r="J201" s="126"/>
      <c r="K201" s="126"/>
      <c r="L201" s="126"/>
      <c r="M201" s="126"/>
      <c r="N201" s="126"/>
      <c r="O201" s="126"/>
      <c r="P201" s="126"/>
      <c r="Q201" s="126"/>
      <c r="R201" s="126"/>
      <c r="S201" s="126"/>
      <c r="T201" s="126"/>
      <c r="U201" s="126"/>
      <c r="V201" s="126"/>
      <c r="W201" s="126"/>
      <c r="X201" s="126"/>
      <c r="Y201" s="126"/>
      <c r="Z201" s="126"/>
      <c r="AA201" s="126"/>
      <c r="AB201" s="126"/>
    </row>
    <row r="202" spans="1:28" ht="13.5" customHeight="1">
      <c r="A202" s="126"/>
      <c r="B202" s="126"/>
      <c r="C202" s="126"/>
      <c r="D202" s="126"/>
      <c r="E202" s="126"/>
      <c r="F202" s="188"/>
      <c r="G202" s="188"/>
      <c r="H202" s="126"/>
      <c r="I202" s="126"/>
      <c r="J202" s="126"/>
      <c r="K202" s="126"/>
      <c r="L202" s="126"/>
      <c r="M202" s="126"/>
      <c r="N202" s="126"/>
      <c r="O202" s="126"/>
      <c r="P202" s="126"/>
      <c r="Q202" s="126"/>
      <c r="R202" s="126"/>
      <c r="S202" s="126"/>
      <c r="T202" s="126"/>
      <c r="U202" s="126"/>
      <c r="V202" s="126"/>
      <c r="W202" s="126"/>
      <c r="X202" s="126"/>
      <c r="Y202" s="126"/>
      <c r="Z202" s="126"/>
      <c r="AA202" s="126"/>
      <c r="AB202" s="126"/>
    </row>
    <row r="203" spans="1:28" ht="13.5" customHeight="1">
      <c r="A203" s="126"/>
      <c r="B203" s="126"/>
      <c r="C203" s="126"/>
      <c r="D203" s="126"/>
      <c r="E203" s="126"/>
      <c r="F203" s="188"/>
      <c r="G203" s="188"/>
      <c r="H203" s="126"/>
      <c r="I203" s="126"/>
      <c r="J203" s="126"/>
      <c r="K203" s="126"/>
      <c r="L203" s="126"/>
      <c r="M203" s="126"/>
      <c r="N203" s="126"/>
      <c r="O203" s="126"/>
      <c r="P203" s="126"/>
      <c r="Q203" s="126"/>
      <c r="R203" s="126"/>
      <c r="S203" s="126"/>
      <c r="T203" s="126"/>
      <c r="U203" s="126"/>
      <c r="V203" s="126"/>
      <c r="W203" s="126"/>
      <c r="X203" s="126"/>
      <c r="Y203" s="126"/>
      <c r="Z203" s="126"/>
      <c r="AA203" s="126"/>
      <c r="AB203" s="126"/>
    </row>
    <row r="204" spans="1:28" ht="13.5" customHeight="1">
      <c r="A204" s="126"/>
      <c r="B204" s="126"/>
      <c r="C204" s="126"/>
      <c r="D204" s="126"/>
      <c r="E204" s="126"/>
      <c r="F204" s="188"/>
      <c r="G204" s="188"/>
      <c r="H204" s="126"/>
      <c r="I204" s="126"/>
      <c r="J204" s="126"/>
      <c r="K204" s="126"/>
      <c r="L204" s="126"/>
      <c r="M204" s="126"/>
      <c r="N204" s="126"/>
      <c r="O204" s="126"/>
      <c r="P204" s="126"/>
      <c r="Q204" s="126"/>
      <c r="R204" s="126"/>
      <c r="S204" s="126"/>
      <c r="T204" s="126"/>
      <c r="U204" s="126"/>
      <c r="V204" s="126"/>
      <c r="W204" s="126"/>
      <c r="X204" s="126"/>
      <c r="Y204" s="126"/>
      <c r="Z204" s="126"/>
      <c r="AA204" s="126"/>
      <c r="AB204" s="126"/>
    </row>
    <row r="205" spans="1:28" ht="13.5" customHeight="1">
      <c r="A205" s="126"/>
      <c r="B205" s="126"/>
      <c r="C205" s="126"/>
      <c r="D205" s="126"/>
      <c r="E205" s="126"/>
      <c r="F205" s="188"/>
      <c r="G205" s="188"/>
      <c r="H205" s="126"/>
      <c r="I205" s="126"/>
      <c r="J205" s="126"/>
      <c r="K205" s="126"/>
      <c r="L205" s="126"/>
      <c r="M205" s="126"/>
      <c r="N205" s="126"/>
      <c r="O205" s="126"/>
      <c r="P205" s="126"/>
      <c r="Q205" s="126"/>
      <c r="R205" s="126"/>
      <c r="S205" s="126"/>
      <c r="T205" s="126"/>
      <c r="U205" s="126"/>
      <c r="V205" s="126"/>
      <c r="W205" s="126"/>
      <c r="X205" s="126"/>
      <c r="Y205" s="126"/>
      <c r="Z205" s="126"/>
      <c r="AA205" s="126"/>
      <c r="AB205" s="126"/>
    </row>
    <row r="206" spans="1:28" ht="13.5" customHeight="1">
      <c r="A206" s="126"/>
      <c r="B206" s="126"/>
      <c r="C206" s="126"/>
      <c r="D206" s="126"/>
      <c r="E206" s="126"/>
      <c r="F206" s="188"/>
      <c r="G206" s="188"/>
      <c r="H206" s="126"/>
      <c r="I206" s="126"/>
      <c r="J206" s="126"/>
      <c r="K206" s="126"/>
      <c r="L206" s="126"/>
      <c r="M206" s="126"/>
      <c r="N206" s="126"/>
      <c r="O206" s="126"/>
      <c r="P206" s="126"/>
      <c r="Q206" s="126"/>
      <c r="R206" s="126"/>
      <c r="S206" s="126"/>
      <c r="T206" s="126"/>
      <c r="U206" s="126"/>
      <c r="V206" s="126"/>
      <c r="W206" s="126"/>
      <c r="X206" s="126"/>
      <c r="Y206" s="126"/>
      <c r="Z206" s="126"/>
      <c r="AA206" s="126"/>
      <c r="AB206" s="126"/>
    </row>
    <row r="207" spans="1:28" ht="13.5" customHeight="1">
      <c r="A207" s="126"/>
      <c r="B207" s="126"/>
      <c r="C207" s="126"/>
      <c r="D207" s="126"/>
      <c r="E207" s="126"/>
      <c r="F207" s="188"/>
      <c r="G207" s="188"/>
      <c r="H207" s="126"/>
      <c r="I207" s="126"/>
      <c r="J207" s="126"/>
      <c r="K207" s="126"/>
      <c r="L207" s="126"/>
      <c r="M207" s="126"/>
      <c r="N207" s="126"/>
      <c r="O207" s="126"/>
      <c r="P207" s="126"/>
      <c r="Q207" s="126"/>
      <c r="R207" s="126"/>
      <c r="S207" s="126"/>
      <c r="T207" s="126"/>
      <c r="U207" s="126"/>
      <c r="V207" s="126"/>
      <c r="W207" s="126"/>
      <c r="X207" s="126"/>
      <c r="Y207" s="126"/>
      <c r="Z207" s="126"/>
      <c r="AA207" s="126"/>
      <c r="AB207" s="126"/>
    </row>
    <row r="208" spans="1:28" ht="13.5" customHeight="1">
      <c r="A208" s="126"/>
      <c r="B208" s="126"/>
      <c r="C208" s="126"/>
      <c r="D208" s="126"/>
      <c r="E208" s="126"/>
      <c r="F208" s="188"/>
      <c r="G208" s="188"/>
      <c r="H208" s="126"/>
      <c r="I208" s="126"/>
      <c r="J208" s="126"/>
      <c r="K208" s="126"/>
      <c r="L208" s="126"/>
      <c r="M208" s="126"/>
      <c r="N208" s="126"/>
      <c r="O208" s="126"/>
      <c r="P208" s="126"/>
      <c r="Q208" s="126"/>
      <c r="R208" s="126"/>
      <c r="S208" s="126"/>
      <c r="T208" s="126"/>
      <c r="U208" s="126"/>
      <c r="V208" s="126"/>
      <c r="W208" s="126"/>
      <c r="X208" s="126"/>
      <c r="Y208" s="126"/>
      <c r="Z208" s="126"/>
      <c r="AA208" s="126"/>
      <c r="AB208" s="126"/>
    </row>
    <row r="209" spans="1:28" ht="13.5" customHeight="1">
      <c r="A209" s="126"/>
      <c r="B209" s="126"/>
      <c r="C209" s="126"/>
      <c r="D209" s="126"/>
      <c r="E209" s="126"/>
      <c r="F209" s="188"/>
      <c r="G209" s="188"/>
      <c r="H209" s="126"/>
      <c r="I209" s="126"/>
      <c r="J209" s="126"/>
      <c r="K209" s="126"/>
      <c r="L209" s="126"/>
      <c r="M209" s="126"/>
      <c r="N209" s="126"/>
      <c r="O209" s="126"/>
      <c r="P209" s="126"/>
      <c r="Q209" s="126"/>
      <c r="R209" s="126"/>
      <c r="S209" s="126"/>
      <c r="T209" s="126"/>
      <c r="U209" s="126"/>
      <c r="V209" s="126"/>
      <c r="W209" s="126"/>
      <c r="X209" s="126"/>
      <c r="Y209" s="126"/>
      <c r="Z209" s="126"/>
      <c r="AA209" s="126"/>
      <c r="AB209" s="126"/>
    </row>
    <row r="210" spans="1:28" ht="13.5" customHeight="1">
      <c r="A210" s="126"/>
      <c r="B210" s="126"/>
      <c r="C210" s="126"/>
      <c r="D210" s="126"/>
      <c r="E210" s="126"/>
      <c r="F210" s="188"/>
      <c r="G210" s="188"/>
      <c r="H210" s="126"/>
      <c r="I210" s="126"/>
      <c r="J210" s="126"/>
      <c r="K210" s="126"/>
      <c r="L210" s="126"/>
      <c r="M210" s="126"/>
      <c r="N210" s="126"/>
      <c r="O210" s="126"/>
      <c r="P210" s="126"/>
      <c r="Q210" s="126"/>
      <c r="R210" s="126"/>
      <c r="S210" s="126"/>
      <c r="T210" s="126"/>
      <c r="U210" s="126"/>
      <c r="V210" s="126"/>
      <c r="W210" s="126"/>
      <c r="X210" s="126"/>
      <c r="Y210" s="126"/>
      <c r="Z210" s="126"/>
      <c r="AA210" s="126"/>
      <c r="AB210" s="126"/>
    </row>
    <row r="211" spans="1:28" ht="13.5" customHeight="1">
      <c r="A211" s="126"/>
      <c r="B211" s="126"/>
      <c r="C211" s="126"/>
      <c r="D211" s="126"/>
      <c r="E211" s="126"/>
      <c r="F211" s="188"/>
      <c r="G211" s="188"/>
      <c r="H211" s="126"/>
      <c r="I211" s="126"/>
      <c r="J211" s="126"/>
      <c r="K211" s="126"/>
      <c r="L211" s="126"/>
      <c r="M211" s="126"/>
      <c r="N211" s="126"/>
      <c r="O211" s="126"/>
      <c r="P211" s="126"/>
      <c r="Q211" s="126"/>
      <c r="R211" s="126"/>
      <c r="S211" s="126"/>
      <c r="T211" s="126"/>
      <c r="U211" s="126"/>
      <c r="V211" s="126"/>
      <c r="W211" s="126"/>
      <c r="X211" s="126"/>
      <c r="Y211" s="126"/>
      <c r="Z211" s="126"/>
      <c r="AA211" s="126"/>
      <c r="AB211" s="126"/>
    </row>
    <row r="212" spans="1:28" ht="13.5" customHeight="1">
      <c r="A212" s="126"/>
      <c r="B212" s="126"/>
      <c r="C212" s="126"/>
      <c r="D212" s="126"/>
      <c r="E212" s="126"/>
      <c r="F212" s="188"/>
      <c r="G212" s="188"/>
      <c r="H212" s="126"/>
      <c r="I212" s="126"/>
      <c r="J212" s="126"/>
      <c r="K212" s="126"/>
      <c r="L212" s="126"/>
      <c r="M212" s="126"/>
      <c r="N212" s="126"/>
      <c r="O212" s="126"/>
      <c r="P212" s="126"/>
      <c r="Q212" s="126"/>
      <c r="R212" s="126"/>
      <c r="S212" s="126"/>
      <c r="T212" s="126"/>
      <c r="U212" s="126"/>
      <c r="V212" s="126"/>
      <c r="W212" s="126"/>
      <c r="X212" s="126"/>
      <c r="Y212" s="126"/>
      <c r="Z212" s="126"/>
      <c r="AA212" s="126"/>
      <c r="AB212" s="126"/>
    </row>
    <row r="213" spans="1:28" ht="13.5" customHeight="1">
      <c r="A213" s="126"/>
      <c r="B213" s="126"/>
      <c r="C213" s="126"/>
      <c r="D213" s="126"/>
      <c r="E213" s="126"/>
      <c r="F213" s="188"/>
      <c r="G213" s="188"/>
      <c r="H213" s="126"/>
      <c r="I213" s="126"/>
      <c r="J213" s="126"/>
      <c r="K213" s="126"/>
      <c r="L213" s="126"/>
      <c r="M213" s="126"/>
      <c r="N213" s="126"/>
      <c r="O213" s="126"/>
      <c r="P213" s="126"/>
      <c r="Q213" s="126"/>
      <c r="R213" s="126"/>
      <c r="S213" s="126"/>
      <c r="T213" s="126"/>
      <c r="U213" s="126"/>
      <c r="V213" s="126"/>
      <c r="W213" s="126"/>
      <c r="X213" s="126"/>
      <c r="Y213" s="126"/>
      <c r="Z213" s="126"/>
      <c r="AA213" s="126"/>
      <c r="AB213" s="126"/>
    </row>
    <row r="214" spans="1:28" ht="13.5" customHeight="1">
      <c r="A214" s="126"/>
      <c r="B214" s="126"/>
      <c r="C214" s="126"/>
      <c r="D214" s="126"/>
      <c r="E214" s="126"/>
      <c r="F214" s="188"/>
      <c r="G214" s="188"/>
      <c r="H214" s="126"/>
      <c r="I214" s="126"/>
      <c r="J214" s="126"/>
      <c r="K214" s="126"/>
      <c r="L214" s="126"/>
      <c r="M214" s="126"/>
      <c r="N214" s="126"/>
      <c r="O214" s="126"/>
      <c r="P214" s="126"/>
      <c r="Q214" s="126"/>
      <c r="R214" s="126"/>
      <c r="S214" s="126"/>
      <c r="T214" s="126"/>
      <c r="U214" s="126"/>
      <c r="V214" s="126"/>
      <c r="W214" s="126"/>
      <c r="X214" s="126"/>
      <c r="Y214" s="126"/>
      <c r="Z214" s="126"/>
      <c r="AA214" s="126"/>
      <c r="AB214" s="126"/>
    </row>
    <row r="215" spans="1:28" ht="13.5" customHeight="1">
      <c r="A215" s="126"/>
      <c r="B215" s="126"/>
      <c r="C215" s="126"/>
      <c r="D215" s="126"/>
      <c r="E215" s="126"/>
      <c r="F215" s="188"/>
      <c r="G215" s="188"/>
      <c r="H215" s="126"/>
      <c r="I215" s="126"/>
      <c r="J215" s="126"/>
      <c r="K215" s="126"/>
      <c r="L215" s="126"/>
      <c r="M215" s="126"/>
      <c r="N215" s="126"/>
      <c r="O215" s="126"/>
      <c r="P215" s="126"/>
      <c r="Q215" s="126"/>
      <c r="R215" s="126"/>
      <c r="S215" s="126"/>
      <c r="T215" s="126"/>
      <c r="U215" s="126"/>
      <c r="V215" s="126"/>
      <c r="W215" s="126"/>
      <c r="X215" s="126"/>
      <c r="Y215" s="126"/>
      <c r="Z215" s="126"/>
      <c r="AA215" s="126"/>
      <c r="AB215" s="126"/>
    </row>
    <row r="216" spans="1:28" ht="13.5" customHeight="1">
      <c r="A216" s="126"/>
      <c r="B216" s="126"/>
      <c r="C216" s="126"/>
      <c r="D216" s="126"/>
      <c r="E216" s="126"/>
      <c r="F216" s="188"/>
      <c r="G216" s="188"/>
      <c r="H216" s="126"/>
      <c r="I216" s="126"/>
      <c r="J216" s="126"/>
      <c r="K216" s="126"/>
      <c r="L216" s="126"/>
      <c r="M216" s="126"/>
      <c r="N216" s="126"/>
      <c r="O216" s="126"/>
      <c r="P216" s="126"/>
      <c r="Q216" s="126"/>
      <c r="R216" s="126"/>
      <c r="S216" s="126"/>
      <c r="T216" s="126"/>
      <c r="U216" s="126"/>
      <c r="V216" s="126"/>
      <c r="W216" s="126"/>
      <c r="X216" s="126"/>
      <c r="Y216" s="126"/>
      <c r="Z216" s="126"/>
      <c r="AA216" s="126"/>
      <c r="AB216" s="126"/>
    </row>
    <row r="217" spans="1:28" ht="13.5" customHeight="1">
      <c r="A217" s="126"/>
      <c r="B217" s="126"/>
      <c r="C217" s="126"/>
      <c r="D217" s="126"/>
      <c r="E217" s="126"/>
      <c r="F217" s="188"/>
      <c r="G217" s="188"/>
      <c r="H217" s="126"/>
      <c r="I217" s="126"/>
      <c r="J217" s="126"/>
      <c r="K217" s="126"/>
      <c r="L217" s="126"/>
      <c r="M217" s="126"/>
      <c r="N217" s="126"/>
      <c r="O217" s="126"/>
      <c r="P217" s="126"/>
      <c r="Q217" s="126"/>
      <c r="R217" s="126"/>
      <c r="S217" s="126"/>
      <c r="T217" s="126"/>
      <c r="U217" s="126"/>
      <c r="V217" s="126"/>
      <c r="W217" s="126"/>
      <c r="X217" s="126"/>
      <c r="Y217" s="126"/>
      <c r="Z217" s="126"/>
      <c r="AA217" s="126"/>
      <c r="AB217" s="126"/>
    </row>
    <row r="218" spans="1:28" ht="13.5" customHeight="1">
      <c r="A218" s="126"/>
      <c r="B218" s="126"/>
      <c r="C218" s="126"/>
      <c r="D218" s="126"/>
      <c r="E218" s="126"/>
      <c r="F218" s="188"/>
      <c r="G218" s="188"/>
      <c r="H218" s="126"/>
      <c r="I218" s="126"/>
      <c r="J218" s="126"/>
      <c r="K218" s="126"/>
      <c r="L218" s="126"/>
      <c r="M218" s="126"/>
      <c r="N218" s="126"/>
      <c r="O218" s="126"/>
      <c r="P218" s="126"/>
      <c r="Q218" s="126"/>
      <c r="R218" s="126"/>
      <c r="S218" s="126"/>
      <c r="T218" s="126"/>
      <c r="U218" s="126"/>
      <c r="V218" s="126"/>
      <c r="W218" s="126"/>
      <c r="X218" s="126"/>
      <c r="Y218" s="126"/>
      <c r="Z218" s="126"/>
      <c r="AA218" s="126"/>
      <c r="AB218" s="126"/>
    </row>
    <row r="219" spans="1:28" ht="13.5" customHeight="1">
      <c r="A219" s="126"/>
      <c r="B219" s="126"/>
      <c r="C219" s="126"/>
      <c r="D219" s="126"/>
      <c r="E219" s="126"/>
      <c r="F219" s="188"/>
      <c r="G219" s="188"/>
      <c r="H219" s="126"/>
      <c r="I219" s="126"/>
      <c r="J219" s="126"/>
      <c r="K219" s="126"/>
      <c r="L219" s="126"/>
      <c r="M219" s="126"/>
      <c r="N219" s="126"/>
      <c r="O219" s="126"/>
      <c r="P219" s="126"/>
      <c r="Q219" s="126"/>
      <c r="R219" s="126"/>
      <c r="S219" s="126"/>
      <c r="T219" s="126"/>
      <c r="U219" s="126"/>
      <c r="V219" s="126"/>
      <c r="W219" s="126"/>
      <c r="X219" s="126"/>
      <c r="Y219" s="126"/>
      <c r="Z219" s="126"/>
      <c r="AA219" s="126"/>
      <c r="AB219" s="126"/>
    </row>
    <row r="220" spans="1:28" ht="13.5" customHeight="1">
      <c r="A220" s="126"/>
      <c r="B220" s="126"/>
      <c r="C220" s="126"/>
      <c r="D220" s="126"/>
      <c r="E220" s="126"/>
      <c r="F220" s="188"/>
      <c r="G220" s="188"/>
      <c r="H220" s="126"/>
      <c r="I220" s="126"/>
      <c r="J220" s="126"/>
      <c r="K220" s="126"/>
      <c r="L220" s="126"/>
      <c r="M220" s="126"/>
      <c r="N220" s="126"/>
      <c r="O220" s="126"/>
      <c r="P220" s="126"/>
      <c r="Q220" s="126"/>
      <c r="R220" s="126"/>
      <c r="S220" s="126"/>
      <c r="T220" s="126"/>
      <c r="U220" s="126"/>
      <c r="V220" s="126"/>
      <c r="W220" s="126"/>
      <c r="X220" s="126"/>
      <c r="Y220" s="126"/>
      <c r="Z220" s="126"/>
      <c r="AA220" s="126"/>
      <c r="AB220" s="126"/>
    </row>
    <row r="221" spans="1:28" ht="13.5" customHeight="1">
      <c r="A221" s="126"/>
      <c r="B221" s="126"/>
      <c r="C221" s="126"/>
      <c r="D221" s="126"/>
      <c r="E221" s="126"/>
      <c r="F221" s="188"/>
      <c r="G221" s="188"/>
      <c r="H221" s="126"/>
      <c r="I221" s="126"/>
      <c r="J221" s="126"/>
      <c r="K221" s="126"/>
      <c r="L221" s="126"/>
      <c r="M221" s="126"/>
      <c r="N221" s="126"/>
      <c r="O221" s="126"/>
      <c r="P221" s="126"/>
      <c r="Q221" s="126"/>
      <c r="R221" s="126"/>
      <c r="S221" s="126"/>
      <c r="T221" s="126"/>
      <c r="U221" s="126"/>
      <c r="V221" s="126"/>
      <c r="W221" s="126"/>
      <c r="X221" s="126"/>
      <c r="Y221" s="126"/>
      <c r="Z221" s="126"/>
      <c r="AA221" s="126"/>
      <c r="AB221" s="126"/>
    </row>
    <row r="222" spans="1:28" ht="13.5" customHeight="1">
      <c r="A222" s="126"/>
      <c r="B222" s="126"/>
      <c r="C222" s="126"/>
      <c r="D222" s="126"/>
      <c r="E222" s="126"/>
      <c r="F222" s="188"/>
      <c r="G222" s="188"/>
      <c r="H222" s="126"/>
      <c r="I222" s="126"/>
      <c r="J222" s="126"/>
      <c r="K222" s="126"/>
      <c r="L222" s="126"/>
      <c r="M222" s="126"/>
      <c r="N222" s="126"/>
      <c r="O222" s="126"/>
      <c r="P222" s="126"/>
      <c r="Q222" s="126"/>
      <c r="R222" s="126"/>
      <c r="S222" s="126"/>
      <c r="T222" s="126"/>
      <c r="U222" s="126"/>
      <c r="V222" s="126"/>
      <c r="W222" s="126"/>
      <c r="X222" s="126"/>
      <c r="Y222" s="126"/>
      <c r="Z222" s="126"/>
      <c r="AA222" s="126"/>
      <c r="AB222" s="126"/>
    </row>
    <row r="223" spans="1:28" ht="13.5" customHeight="1">
      <c r="A223" s="126"/>
      <c r="B223" s="126"/>
      <c r="C223" s="126"/>
      <c r="D223" s="126"/>
      <c r="E223" s="126"/>
      <c r="F223" s="188"/>
      <c r="G223" s="188"/>
      <c r="H223" s="126"/>
      <c r="I223" s="126"/>
      <c r="J223" s="126"/>
      <c r="K223" s="126"/>
      <c r="L223" s="126"/>
      <c r="M223" s="126"/>
      <c r="N223" s="126"/>
      <c r="O223" s="126"/>
      <c r="P223" s="126"/>
      <c r="Q223" s="126"/>
      <c r="R223" s="126"/>
      <c r="S223" s="126"/>
      <c r="T223" s="126"/>
      <c r="U223" s="126"/>
      <c r="V223" s="126"/>
      <c r="W223" s="126"/>
      <c r="X223" s="126"/>
      <c r="Y223" s="126"/>
      <c r="Z223" s="126"/>
      <c r="AA223" s="126"/>
      <c r="AB223" s="126"/>
    </row>
    <row r="224" spans="1:28" ht="13.5" customHeight="1">
      <c r="A224" s="126"/>
      <c r="B224" s="126"/>
      <c r="C224" s="126"/>
      <c r="D224" s="126"/>
      <c r="E224" s="126"/>
      <c r="F224" s="188"/>
      <c r="G224" s="188"/>
      <c r="H224" s="126"/>
      <c r="I224" s="126"/>
      <c r="J224" s="126"/>
      <c r="K224" s="126"/>
      <c r="L224" s="126"/>
      <c r="M224" s="126"/>
      <c r="N224" s="126"/>
      <c r="O224" s="126"/>
      <c r="P224" s="126"/>
      <c r="Q224" s="126"/>
      <c r="R224" s="126"/>
      <c r="S224" s="126"/>
      <c r="T224" s="126"/>
      <c r="U224" s="126"/>
      <c r="V224" s="126"/>
      <c r="W224" s="126"/>
      <c r="X224" s="126"/>
      <c r="Y224" s="126"/>
      <c r="Z224" s="126"/>
      <c r="AA224" s="126"/>
      <c r="AB224" s="126"/>
    </row>
    <row r="225" spans="1:28" ht="13.5" customHeight="1">
      <c r="A225" s="126"/>
      <c r="B225" s="126"/>
      <c r="C225" s="126"/>
      <c r="D225" s="126"/>
      <c r="E225" s="126"/>
      <c r="F225" s="188"/>
      <c r="G225" s="188"/>
      <c r="H225" s="126"/>
      <c r="I225" s="126"/>
      <c r="J225" s="126"/>
      <c r="K225" s="126"/>
      <c r="L225" s="126"/>
      <c r="M225" s="126"/>
      <c r="N225" s="126"/>
      <c r="O225" s="126"/>
      <c r="P225" s="126"/>
      <c r="Q225" s="126"/>
      <c r="R225" s="126"/>
      <c r="S225" s="126"/>
      <c r="T225" s="126"/>
      <c r="U225" s="126"/>
      <c r="V225" s="126"/>
      <c r="W225" s="126"/>
      <c r="X225" s="126"/>
      <c r="Y225" s="126"/>
      <c r="Z225" s="126"/>
      <c r="AA225" s="126"/>
      <c r="AB225" s="126"/>
    </row>
    <row r="226" spans="1:28" ht="13.5" customHeight="1">
      <c r="A226" s="126"/>
      <c r="B226" s="126"/>
      <c r="C226" s="126"/>
      <c r="D226" s="126"/>
      <c r="E226" s="126"/>
      <c r="F226" s="188"/>
      <c r="G226" s="188"/>
      <c r="H226" s="126"/>
      <c r="I226" s="126"/>
      <c r="J226" s="126"/>
      <c r="K226" s="126"/>
      <c r="L226" s="126"/>
      <c r="M226" s="126"/>
      <c r="N226" s="126"/>
      <c r="O226" s="126"/>
      <c r="P226" s="126"/>
      <c r="Q226" s="126"/>
      <c r="R226" s="126"/>
      <c r="S226" s="126"/>
      <c r="T226" s="126"/>
      <c r="U226" s="126"/>
      <c r="V226" s="126"/>
      <c r="W226" s="126"/>
      <c r="X226" s="126"/>
      <c r="Y226" s="126"/>
      <c r="Z226" s="126"/>
      <c r="AA226" s="126"/>
      <c r="AB226" s="126"/>
    </row>
    <row r="227" spans="1:28" ht="13.5" customHeight="1">
      <c r="A227" s="126"/>
      <c r="B227" s="126"/>
      <c r="C227" s="126"/>
      <c r="D227" s="126"/>
      <c r="E227" s="126"/>
      <c r="F227" s="188"/>
      <c r="G227" s="188"/>
      <c r="H227" s="126"/>
      <c r="I227" s="126"/>
      <c r="J227" s="126"/>
      <c r="K227" s="126"/>
      <c r="L227" s="126"/>
      <c r="M227" s="126"/>
      <c r="N227" s="126"/>
      <c r="O227" s="126"/>
      <c r="P227" s="126"/>
      <c r="Q227" s="126"/>
      <c r="R227" s="126"/>
      <c r="S227" s="126"/>
      <c r="T227" s="126"/>
      <c r="U227" s="126"/>
      <c r="V227" s="126"/>
      <c r="W227" s="126"/>
      <c r="X227" s="126"/>
      <c r="Y227" s="126"/>
      <c r="Z227" s="126"/>
      <c r="AA227" s="126"/>
      <c r="AB227" s="126"/>
    </row>
    <row r="228" spans="1:28" ht="13.5" customHeight="1">
      <c r="A228" s="126"/>
      <c r="B228" s="126"/>
      <c r="C228" s="126"/>
      <c r="D228" s="126"/>
      <c r="E228" s="126"/>
      <c r="F228" s="188"/>
      <c r="G228" s="188"/>
      <c r="H228" s="126"/>
      <c r="I228" s="126"/>
      <c r="J228" s="126"/>
      <c r="K228" s="126"/>
      <c r="L228" s="126"/>
      <c r="M228" s="126"/>
      <c r="N228" s="126"/>
      <c r="O228" s="126"/>
      <c r="P228" s="126"/>
      <c r="Q228" s="126"/>
      <c r="R228" s="126"/>
      <c r="S228" s="126"/>
      <c r="T228" s="126"/>
      <c r="U228" s="126"/>
      <c r="V228" s="126"/>
      <c r="W228" s="126"/>
      <c r="X228" s="126"/>
      <c r="Y228" s="126"/>
      <c r="Z228" s="126"/>
      <c r="AA228" s="126"/>
      <c r="AB228" s="126"/>
    </row>
    <row r="229" spans="1:28" ht="13.5" customHeight="1">
      <c r="A229" s="126"/>
      <c r="B229" s="126"/>
      <c r="C229" s="126"/>
      <c r="D229" s="126"/>
      <c r="E229" s="126"/>
      <c r="F229" s="188"/>
      <c r="G229" s="188"/>
      <c r="H229" s="126"/>
      <c r="I229" s="126"/>
      <c r="J229" s="126"/>
      <c r="K229" s="126"/>
      <c r="L229" s="126"/>
      <c r="M229" s="126"/>
      <c r="N229" s="126"/>
      <c r="O229" s="126"/>
      <c r="P229" s="126"/>
      <c r="Q229" s="126"/>
      <c r="R229" s="126"/>
      <c r="S229" s="126"/>
      <c r="T229" s="126"/>
      <c r="U229" s="126"/>
      <c r="V229" s="126"/>
      <c r="W229" s="126"/>
      <c r="X229" s="126"/>
      <c r="Y229" s="126"/>
      <c r="Z229" s="126"/>
      <c r="AA229" s="126"/>
      <c r="AB229" s="126"/>
    </row>
    <row r="230" spans="1:28" ht="13.5" customHeight="1">
      <c r="A230" s="126"/>
      <c r="B230" s="126"/>
      <c r="C230" s="126"/>
      <c r="D230" s="126"/>
      <c r="E230" s="126"/>
      <c r="F230" s="188"/>
      <c r="G230" s="188"/>
      <c r="H230" s="126"/>
      <c r="I230" s="126"/>
      <c r="J230" s="126"/>
      <c r="K230" s="126"/>
      <c r="L230" s="126"/>
      <c r="M230" s="126"/>
      <c r="N230" s="126"/>
      <c r="O230" s="126"/>
      <c r="P230" s="126"/>
      <c r="Q230" s="126"/>
      <c r="R230" s="126"/>
      <c r="S230" s="126"/>
      <c r="T230" s="126"/>
      <c r="U230" s="126"/>
      <c r="V230" s="126"/>
      <c r="W230" s="126"/>
      <c r="X230" s="126"/>
      <c r="Y230" s="126"/>
      <c r="Z230" s="126"/>
      <c r="AA230" s="126"/>
      <c r="AB230" s="126"/>
    </row>
    <row r="231" spans="1:28" ht="13.5" customHeight="1">
      <c r="A231" s="126"/>
      <c r="B231" s="126"/>
      <c r="C231" s="126"/>
      <c r="D231" s="126"/>
      <c r="E231" s="126"/>
      <c r="F231" s="188"/>
      <c r="G231" s="188"/>
      <c r="H231" s="126"/>
      <c r="I231" s="126"/>
      <c r="J231" s="126"/>
      <c r="K231" s="126"/>
      <c r="L231" s="126"/>
      <c r="M231" s="126"/>
      <c r="N231" s="126"/>
      <c r="O231" s="126"/>
      <c r="P231" s="126"/>
      <c r="Q231" s="126"/>
      <c r="R231" s="126"/>
      <c r="S231" s="126"/>
      <c r="T231" s="126"/>
      <c r="U231" s="126"/>
      <c r="V231" s="126"/>
      <c r="W231" s="126"/>
      <c r="X231" s="126"/>
      <c r="Y231" s="126"/>
      <c r="Z231" s="126"/>
      <c r="AA231" s="126"/>
      <c r="AB231" s="126"/>
    </row>
    <row r="232" spans="1:28" ht="13.5" customHeight="1">
      <c r="A232" s="126"/>
      <c r="B232" s="126"/>
      <c r="C232" s="126"/>
      <c r="D232" s="126"/>
      <c r="E232" s="126"/>
      <c r="F232" s="188"/>
      <c r="G232" s="188"/>
      <c r="H232" s="126"/>
      <c r="I232" s="126"/>
      <c r="J232" s="126"/>
      <c r="K232" s="126"/>
      <c r="L232" s="126"/>
      <c r="M232" s="126"/>
      <c r="N232" s="126"/>
      <c r="O232" s="126"/>
      <c r="P232" s="126"/>
      <c r="Q232" s="126"/>
      <c r="R232" s="126"/>
      <c r="S232" s="126"/>
      <c r="T232" s="126"/>
      <c r="U232" s="126"/>
      <c r="V232" s="126"/>
      <c r="W232" s="126"/>
      <c r="X232" s="126"/>
      <c r="Y232" s="126"/>
      <c r="Z232" s="126"/>
      <c r="AA232" s="126"/>
      <c r="AB232" s="126"/>
    </row>
    <row r="233" spans="1:28" ht="13.5" customHeight="1">
      <c r="A233" s="126"/>
      <c r="B233" s="126"/>
      <c r="C233" s="126"/>
      <c r="D233" s="126"/>
      <c r="E233" s="126"/>
      <c r="F233" s="188"/>
      <c r="G233" s="188"/>
      <c r="H233" s="126"/>
      <c r="I233" s="126"/>
      <c r="J233" s="126"/>
      <c r="K233" s="126"/>
      <c r="L233" s="126"/>
      <c r="M233" s="126"/>
      <c r="N233" s="126"/>
      <c r="O233" s="126"/>
      <c r="P233" s="126"/>
      <c r="Q233" s="126"/>
      <c r="R233" s="126"/>
      <c r="S233" s="126"/>
      <c r="T233" s="126"/>
      <c r="U233" s="126"/>
      <c r="V233" s="126"/>
      <c r="W233" s="126"/>
      <c r="X233" s="126"/>
      <c r="Y233" s="126"/>
      <c r="Z233" s="126"/>
      <c r="AA233" s="126"/>
      <c r="AB233" s="126"/>
    </row>
    <row r="234" spans="1:28" ht="13.5" customHeight="1">
      <c r="A234" s="126"/>
      <c r="B234" s="126"/>
      <c r="C234" s="126"/>
      <c r="D234" s="126"/>
      <c r="E234" s="126"/>
      <c r="F234" s="188"/>
      <c r="G234" s="188"/>
      <c r="H234" s="126"/>
      <c r="I234" s="126"/>
      <c r="J234" s="126"/>
      <c r="K234" s="126"/>
      <c r="L234" s="126"/>
      <c r="M234" s="126"/>
      <c r="N234" s="126"/>
      <c r="O234" s="126"/>
      <c r="P234" s="126"/>
      <c r="Q234" s="126"/>
      <c r="R234" s="126"/>
      <c r="S234" s="126"/>
      <c r="T234" s="126"/>
      <c r="U234" s="126"/>
      <c r="V234" s="126"/>
      <c r="W234" s="126"/>
      <c r="X234" s="126"/>
      <c r="Y234" s="126"/>
      <c r="Z234" s="126"/>
      <c r="AA234" s="126"/>
      <c r="AB234" s="126"/>
    </row>
    <row r="235" spans="1:28" ht="13.5" customHeight="1">
      <c r="A235" s="126"/>
      <c r="B235" s="126"/>
      <c r="C235" s="126"/>
      <c r="D235" s="126"/>
      <c r="E235" s="126"/>
      <c r="F235" s="188"/>
      <c r="G235" s="188"/>
      <c r="H235" s="126"/>
      <c r="I235" s="126"/>
      <c r="J235" s="126"/>
      <c r="K235" s="126"/>
      <c r="L235" s="126"/>
      <c r="M235" s="126"/>
      <c r="N235" s="126"/>
      <c r="O235" s="126"/>
      <c r="P235" s="126"/>
      <c r="Q235" s="126"/>
      <c r="R235" s="126"/>
      <c r="S235" s="126"/>
      <c r="T235" s="126"/>
      <c r="U235" s="126"/>
      <c r="V235" s="126"/>
      <c r="W235" s="126"/>
      <c r="X235" s="126"/>
      <c r="Y235" s="126"/>
      <c r="Z235" s="126"/>
      <c r="AA235" s="126"/>
      <c r="AB235" s="126"/>
    </row>
    <row r="236" spans="1:28" ht="13.5" customHeight="1">
      <c r="A236" s="126"/>
      <c r="B236" s="126"/>
      <c r="C236" s="126"/>
      <c r="D236" s="126"/>
      <c r="E236" s="126"/>
      <c r="F236" s="188"/>
      <c r="G236" s="188"/>
      <c r="H236" s="126"/>
      <c r="I236" s="126"/>
      <c r="J236" s="126"/>
      <c r="K236" s="126"/>
      <c r="L236" s="126"/>
      <c r="M236" s="126"/>
      <c r="N236" s="126"/>
      <c r="O236" s="126"/>
      <c r="P236" s="126"/>
      <c r="Q236" s="126"/>
      <c r="R236" s="126"/>
      <c r="S236" s="126"/>
      <c r="T236" s="126"/>
      <c r="U236" s="126"/>
      <c r="V236" s="126"/>
      <c r="W236" s="126"/>
      <c r="X236" s="126"/>
      <c r="Y236" s="126"/>
      <c r="Z236" s="126"/>
      <c r="AA236" s="126"/>
      <c r="AB236" s="126"/>
    </row>
    <row r="237" spans="1:28" ht="13.5" customHeight="1">
      <c r="A237" s="126"/>
      <c r="B237" s="126"/>
      <c r="C237" s="126"/>
      <c r="D237" s="126"/>
      <c r="E237" s="126"/>
      <c r="F237" s="188"/>
      <c r="G237" s="188"/>
      <c r="H237" s="126"/>
      <c r="I237" s="126"/>
      <c r="J237" s="126"/>
      <c r="K237" s="126"/>
      <c r="L237" s="126"/>
      <c r="M237" s="126"/>
      <c r="N237" s="126"/>
      <c r="O237" s="126"/>
      <c r="P237" s="126"/>
      <c r="Q237" s="126"/>
      <c r="R237" s="126"/>
      <c r="S237" s="126"/>
      <c r="T237" s="126"/>
      <c r="U237" s="126"/>
      <c r="V237" s="126"/>
      <c r="W237" s="126"/>
      <c r="X237" s="126"/>
      <c r="Y237" s="126"/>
      <c r="Z237" s="126"/>
      <c r="AA237" s="126"/>
      <c r="AB237" s="126"/>
    </row>
    <row r="238" spans="1:28" ht="13.5" customHeight="1">
      <c r="A238" s="126"/>
      <c r="B238" s="126"/>
      <c r="C238" s="126"/>
      <c r="D238" s="126"/>
      <c r="E238" s="126"/>
      <c r="F238" s="188"/>
      <c r="G238" s="188"/>
      <c r="H238" s="126"/>
      <c r="I238" s="126"/>
      <c r="J238" s="126"/>
      <c r="K238" s="126"/>
      <c r="L238" s="126"/>
      <c r="M238" s="126"/>
      <c r="N238" s="126"/>
      <c r="O238" s="126"/>
      <c r="P238" s="126"/>
      <c r="Q238" s="126"/>
      <c r="R238" s="126"/>
      <c r="S238" s="126"/>
      <c r="T238" s="126"/>
      <c r="U238" s="126"/>
      <c r="V238" s="126"/>
      <c r="W238" s="126"/>
      <c r="X238" s="126"/>
      <c r="Y238" s="126"/>
      <c r="Z238" s="126"/>
      <c r="AA238" s="126"/>
      <c r="AB238" s="126"/>
    </row>
    <row r="239" spans="1:28" ht="13.5" customHeight="1">
      <c r="A239" s="126"/>
      <c r="B239" s="126"/>
      <c r="C239" s="126"/>
      <c r="D239" s="126"/>
      <c r="E239" s="126"/>
      <c r="F239" s="188"/>
      <c r="G239" s="188"/>
      <c r="H239" s="126"/>
      <c r="I239" s="126"/>
      <c r="J239" s="126"/>
      <c r="K239" s="126"/>
      <c r="L239" s="126"/>
      <c r="M239" s="126"/>
      <c r="N239" s="126"/>
      <c r="O239" s="126"/>
      <c r="P239" s="126"/>
      <c r="Q239" s="126"/>
      <c r="R239" s="126"/>
      <c r="S239" s="126"/>
      <c r="T239" s="126"/>
      <c r="U239" s="126"/>
      <c r="V239" s="126"/>
      <c r="W239" s="126"/>
      <c r="X239" s="126"/>
      <c r="Y239" s="126"/>
      <c r="Z239" s="126"/>
      <c r="AA239" s="126"/>
      <c r="AB239" s="126"/>
    </row>
    <row r="240" spans="1:28" ht="13.5" customHeight="1">
      <c r="A240" s="126"/>
      <c r="B240" s="126"/>
      <c r="C240" s="126"/>
      <c r="D240" s="126"/>
      <c r="E240" s="126"/>
      <c r="F240" s="188"/>
      <c r="G240" s="188"/>
      <c r="H240" s="126"/>
      <c r="I240" s="126"/>
      <c r="J240" s="126"/>
      <c r="K240" s="126"/>
      <c r="L240" s="126"/>
      <c r="M240" s="126"/>
      <c r="N240" s="126"/>
      <c r="O240" s="126"/>
      <c r="P240" s="126"/>
      <c r="Q240" s="126"/>
      <c r="R240" s="126"/>
      <c r="S240" s="126"/>
      <c r="T240" s="126"/>
      <c r="U240" s="126"/>
      <c r="V240" s="126"/>
      <c r="W240" s="126"/>
      <c r="X240" s="126"/>
      <c r="Y240" s="126"/>
      <c r="Z240" s="126"/>
      <c r="AA240" s="126"/>
      <c r="AB240" s="126"/>
    </row>
    <row r="241" spans="1:28" ht="13.5" customHeight="1">
      <c r="A241" s="126"/>
      <c r="B241" s="126"/>
      <c r="C241" s="126"/>
      <c r="D241" s="126"/>
      <c r="E241" s="126"/>
      <c r="F241" s="188"/>
      <c r="G241" s="188"/>
      <c r="H241" s="126"/>
      <c r="I241" s="126"/>
      <c r="J241" s="126"/>
      <c r="K241" s="126"/>
      <c r="L241" s="126"/>
      <c r="M241" s="126"/>
      <c r="N241" s="126"/>
      <c r="O241" s="126"/>
      <c r="P241" s="126"/>
      <c r="Q241" s="126"/>
      <c r="R241" s="126"/>
      <c r="S241" s="126"/>
      <c r="T241" s="126"/>
      <c r="U241" s="126"/>
      <c r="V241" s="126"/>
      <c r="W241" s="126"/>
      <c r="X241" s="126"/>
      <c r="Y241" s="126"/>
      <c r="Z241" s="126"/>
      <c r="AA241" s="126"/>
      <c r="AB241" s="126"/>
    </row>
    <row r="242" spans="1:28" ht="13.5" customHeight="1">
      <c r="A242" s="126"/>
      <c r="B242" s="126"/>
      <c r="C242" s="126"/>
      <c r="D242" s="126"/>
      <c r="E242" s="126"/>
      <c r="F242" s="188"/>
      <c r="G242" s="188"/>
      <c r="H242" s="126"/>
      <c r="I242" s="126"/>
      <c r="J242" s="126"/>
      <c r="K242" s="126"/>
      <c r="L242" s="126"/>
      <c r="M242" s="126"/>
      <c r="N242" s="126"/>
      <c r="O242" s="126"/>
      <c r="P242" s="126"/>
      <c r="Q242" s="126"/>
      <c r="R242" s="126"/>
      <c r="S242" s="126"/>
      <c r="T242" s="126"/>
      <c r="U242" s="126"/>
      <c r="V242" s="126"/>
      <c r="W242" s="126"/>
      <c r="X242" s="126"/>
      <c r="Y242" s="126"/>
      <c r="Z242" s="126"/>
      <c r="AA242" s="126"/>
      <c r="AB242" s="126"/>
    </row>
    <row r="243" spans="1:28" ht="13.5" customHeight="1">
      <c r="A243" s="126"/>
      <c r="B243" s="126"/>
      <c r="C243" s="126"/>
      <c r="D243" s="126"/>
      <c r="E243" s="126"/>
      <c r="F243" s="188"/>
      <c r="G243" s="188"/>
      <c r="H243" s="126"/>
      <c r="I243" s="126"/>
      <c r="J243" s="126"/>
      <c r="K243" s="126"/>
      <c r="L243" s="126"/>
      <c r="M243" s="126"/>
      <c r="N243" s="126"/>
      <c r="O243" s="126"/>
      <c r="P243" s="126"/>
      <c r="Q243" s="126"/>
      <c r="R243" s="126"/>
      <c r="S243" s="126"/>
      <c r="T243" s="126"/>
      <c r="U243" s="126"/>
      <c r="V243" s="126"/>
      <c r="W243" s="126"/>
      <c r="X243" s="126"/>
      <c r="Y243" s="126"/>
      <c r="Z243" s="126"/>
      <c r="AA243" s="126"/>
      <c r="AB243" s="126"/>
    </row>
    <row r="244" spans="1:28" ht="13.5" customHeight="1">
      <c r="A244" s="126"/>
      <c r="B244" s="126"/>
      <c r="C244" s="126"/>
      <c r="D244" s="126"/>
      <c r="E244" s="126"/>
      <c r="F244" s="188"/>
      <c r="G244" s="188"/>
      <c r="H244" s="126"/>
      <c r="I244" s="126"/>
      <c r="J244" s="126"/>
      <c r="K244" s="126"/>
      <c r="L244" s="126"/>
      <c r="M244" s="126"/>
      <c r="N244" s="126"/>
      <c r="O244" s="126"/>
      <c r="P244" s="126"/>
      <c r="Q244" s="126"/>
      <c r="R244" s="126"/>
      <c r="S244" s="126"/>
      <c r="T244" s="126"/>
      <c r="U244" s="126"/>
      <c r="V244" s="126"/>
      <c r="W244" s="126"/>
      <c r="X244" s="126"/>
      <c r="Y244" s="126"/>
      <c r="Z244" s="126"/>
      <c r="AA244" s="126"/>
      <c r="AB244" s="126"/>
    </row>
    <row r="245" spans="1:28" ht="13.5" customHeight="1">
      <c r="A245" s="126"/>
      <c r="B245" s="126"/>
      <c r="C245" s="126"/>
      <c r="D245" s="126"/>
      <c r="E245" s="126"/>
      <c r="F245" s="188"/>
      <c r="G245" s="188"/>
      <c r="H245" s="126"/>
      <c r="I245" s="126"/>
      <c r="J245" s="126"/>
      <c r="K245" s="126"/>
      <c r="L245" s="126"/>
      <c r="M245" s="126"/>
      <c r="N245" s="126"/>
      <c r="O245" s="126"/>
      <c r="P245" s="126"/>
      <c r="Q245" s="126"/>
      <c r="R245" s="126"/>
      <c r="S245" s="126"/>
      <c r="T245" s="126"/>
      <c r="U245" s="126"/>
      <c r="V245" s="126"/>
      <c r="W245" s="126"/>
      <c r="X245" s="126"/>
      <c r="Y245" s="126"/>
      <c r="Z245" s="126"/>
      <c r="AA245" s="126"/>
      <c r="AB245" s="126"/>
    </row>
    <row r="246" spans="1:28" ht="13.5" customHeight="1">
      <c r="A246" s="126"/>
      <c r="B246" s="126"/>
      <c r="C246" s="126"/>
      <c r="D246" s="126"/>
      <c r="E246" s="126"/>
      <c r="F246" s="188"/>
      <c r="G246" s="188"/>
      <c r="H246" s="126"/>
      <c r="I246" s="126"/>
      <c r="J246" s="126"/>
      <c r="K246" s="126"/>
      <c r="L246" s="126"/>
      <c r="M246" s="126"/>
      <c r="N246" s="126"/>
      <c r="O246" s="126"/>
      <c r="P246" s="126"/>
      <c r="Q246" s="126"/>
      <c r="R246" s="126"/>
      <c r="S246" s="126"/>
      <c r="T246" s="126"/>
      <c r="U246" s="126"/>
      <c r="V246" s="126"/>
      <c r="W246" s="126"/>
      <c r="X246" s="126"/>
      <c r="Y246" s="126"/>
      <c r="Z246" s="126"/>
      <c r="AA246" s="126"/>
      <c r="AB246" s="126"/>
    </row>
    <row r="247" spans="1:28" ht="13.5" customHeight="1">
      <c r="A247" s="126"/>
      <c r="B247" s="126"/>
      <c r="C247" s="126"/>
      <c r="D247" s="126"/>
      <c r="E247" s="126"/>
      <c r="F247" s="188"/>
      <c r="G247" s="188"/>
      <c r="H247" s="126"/>
      <c r="I247" s="126"/>
      <c r="J247" s="126"/>
      <c r="K247" s="126"/>
      <c r="L247" s="126"/>
      <c r="M247" s="126"/>
      <c r="N247" s="126"/>
      <c r="O247" s="126"/>
      <c r="P247" s="126"/>
      <c r="Q247" s="126"/>
      <c r="R247" s="126"/>
      <c r="S247" s="126"/>
      <c r="T247" s="126"/>
      <c r="U247" s="126"/>
      <c r="V247" s="126"/>
      <c r="W247" s="126"/>
      <c r="X247" s="126"/>
      <c r="Y247" s="126"/>
      <c r="Z247" s="126"/>
      <c r="AA247" s="126"/>
      <c r="AB247" s="126"/>
    </row>
    <row r="248" spans="1:28" ht="13.5" customHeight="1">
      <c r="A248" s="126"/>
      <c r="B248" s="126"/>
      <c r="C248" s="126"/>
      <c r="D248" s="126"/>
      <c r="E248" s="126"/>
      <c r="F248" s="188"/>
      <c r="G248" s="188"/>
      <c r="H248" s="126"/>
      <c r="I248" s="126"/>
      <c r="J248" s="126"/>
      <c r="K248" s="126"/>
      <c r="L248" s="126"/>
      <c r="M248" s="126"/>
      <c r="N248" s="126"/>
      <c r="O248" s="126"/>
      <c r="P248" s="126"/>
      <c r="Q248" s="126"/>
      <c r="R248" s="126"/>
      <c r="S248" s="126"/>
      <c r="T248" s="126"/>
      <c r="U248" s="126"/>
      <c r="V248" s="126"/>
      <c r="W248" s="126"/>
      <c r="X248" s="126"/>
      <c r="Y248" s="126"/>
      <c r="Z248" s="126"/>
      <c r="AA248" s="126"/>
      <c r="AB248" s="126"/>
    </row>
    <row r="249" spans="1:28" ht="13.5" customHeight="1">
      <c r="A249" s="126"/>
      <c r="B249" s="126"/>
      <c r="C249" s="126"/>
      <c r="D249" s="126"/>
      <c r="E249" s="126"/>
      <c r="F249" s="188"/>
      <c r="G249" s="188"/>
      <c r="H249" s="126"/>
      <c r="I249" s="126"/>
      <c r="J249" s="126"/>
      <c r="K249" s="126"/>
      <c r="L249" s="126"/>
      <c r="M249" s="126"/>
      <c r="N249" s="126"/>
      <c r="O249" s="126"/>
      <c r="P249" s="126"/>
      <c r="Q249" s="126"/>
      <c r="R249" s="126"/>
      <c r="S249" s="126"/>
      <c r="T249" s="126"/>
      <c r="U249" s="126"/>
      <c r="V249" s="126"/>
      <c r="W249" s="126"/>
      <c r="X249" s="126"/>
      <c r="Y249" s="126"/>
      <c r="Z249" s="126"/>
      <c r="AA249" s="126"/>
      <c r="AB249" s="126"/>
    </row>
    <row r="250" spans="1:28" ht="13.5" customHeight="1">
      <c r="A250" s="126"/>
      <c r="B250" s="126"/>
      <c r="C250" s="126"/>
      <c r="D250" s="126"/>
      <c r="E250" s="126"/>
      <c r="F250" s="188"/>
      <c r="G250" s="188"/>
      <c r="H250" s="126"/>
      <c r="I250" s="126"/>
      <c r="J250" s="126"/>
      <c r="K250" s="126"/>
      <c r="L250" s="126"/>
      <c r="M250" s="126"/>
      <c r="N250" s="126"/>
      <c r="O250" s="126"/>
      <c r="P250" s="126"/>
      <c r="Q250" s="126"/>
      <c r="R250" s="126"/>
      <c r="S250" s="126"/>
      <c r="T250" s="126"/>
      <c r="U250" s="126"/>
      <c r="V250" s="126"/>
      <c r="W250" s="126"/>
      <c r="X250" s="126"/>
      <c r="Y250" s="126"/>
      <c r="Z250" s="126"/>
      <c r="AA250" s="126"/>
      <c r="AB250" s="126"/>
    </row>
    <row r="251" spans="1:28" ht="13.5" customHeight="1">
      <c r="A251" s="126"/>
      <c r="B251" s="126"/>
      <c r="C251" s="126"/>
      <c r="D251" s="126"/>
      <c r="E251" s="126"/>
      <c r="F251" s="188"/>
      <c r="G251" s="188"/>
      <c r="H251" s="126"/>
      <c r="I251" s="126"/>
      <c r="J251" s="126"/>
      <c r="K251" s="126"/>
      <c r="L251" s="126"/>
      <c r="M251" s="126"/>
      <c r="N251" s="126"/>
      <c r="O251" s="126"/>
      <c r="P251" s="126"/>
      <c r="Q251" s="126"/>
      <c r="R251" s="126"/>
      <c r="S251" s="126"/>
      <c r="T251" s="126"/>
      <c r="U251" s="126"/>
      <c r="V251" s="126"/>
      <c r="W251" s="126"/>
      <c r="X251" s="126"/>
      <c r="Y251" s="126"/>
      <c r="Z251" s="126"/>
      <c r="AA251" s="126"/>
      <c r="AB251" s="126"/>
    </row>
    <row r="252" spans="1:28" ht="13.5" customHeight="1">
      <c r="A252" s="126"/>
      <c r="B252" s="126"/>
      <c r="C252" s="126"/>
      <c r="D252" s="126"/>
      <c r="E252" s="126"/>
      <c r="F252" s="188"/>
      <c r="G252" s="188"/>
      <c r="H252" s="126"/>
      <c r="I252" s="126"/>
      <c r="J252" s="126"/>
      <c r="K252" s="126"/>
      <c r="L252" s="126"/>
      <c r="M252" s="126"/>
      <c r="N252" s="126"/>
      <c r="O252" s="126"/>
      <c r="P252" s="126"/>
      <c r="Q252" s="126"/>
      <c r="R252" s="126"/>
      <c r="S252" s="126"/>
      <c r="T252" s="126"/>
      <c r="U252" s="126"/>
      <c r="V252" s="126"/>
      <c r="W252" s="126"/>
      <c r="X252" s="126"/>
      <c r="Y252" s="126"/>
      <c r="Z252" s="126"/>
      <c r="AA252" s="126"/>
      <c r="AB252" s="126"/>
    </row>
    <row r="253" spans="1:28" ht="13.5" customHeight="1">
      <c r="A253" s="126"/>
      <c r="B253" s="126"/>
      <c r="C253" s="126"/>
      <c r="D253" s="126"/>
      <c r="E253" s="126"/>
      <c r="F253" s="188"/>
      <c r="G253" s="188"/>
      <c r="H253" s="126"/>
      <c r="I253" s="126"/>
      <c r="J253" s="126"/>
      <c r="K253" s="126"/>
      <c r="L253" s="126"/>
      <c r="M253" s="126"/>
      <c r="N253" s="126"/>
      <c r="O253" s="126"/>
      <c r="P253" s="126"/>
      <c r="Q253" s="126"/>
      <c r="R253" s="126"/>
      <c r="S253" s="126"/>
      <c r="T253" s="126"/>
      <c r="U253" s="126"/>
      <c r="V253" s="126"/>
      <c r="W253" s="126"/>
      <c r="X253" s="126"/>
      <c r="Y253" s="126"/>
      <c r="Z253" s="126"/>
      <c r="AA253" s="126"/>
      <c r="AB253" s="126"/>
    </row>
    <row r="254" spans="1:28" ht="13.5" customHeight="1">
      <c r="A254" s="126"/>
      <c r="B254" s="126"/>
      <c r="C254" s="126"/>
      <c r="D254" s="126"/>
      <c r="E254" s="126"/>
      <c r="F254" s="188"/>
      <c r="G254" s="188"/>
      <c r="H254" s="126"/>
      <c r="I254" s="126"/>
      <c r="J254" s="126"/>
      <c r="K254" s="126"/>
      <c r="L254" s="126"/>
      <c r="M254" s="126"/>
      <c r="N254" s="126"/>
      <c r="O254" s="126"/>
      <c r="P254" s="126"/>
      <c r="Q254" s="126"/>
      <c r="R254" s="126"/>
      <c r="S254" s="126"/>
      <c r="T254" s="126"/>
      <c r="U254" s="126"/>
      <c r="V254" s="126"/>
      <c r="W254" s="126"/>
      <c r="X254" s="126"/>
      <c r="Y254" s="126"/>
      <c r="Z254" s="126"/>
      <c r="AA254" s="126"/>
      <c r="AB254" s="126"/>
    </row>
    <row r="255" spans="1:28" ht="13.5" customHeight="1">
      <c r="A255" s="126"/>
      <c r="B255" s="126"/>
      <c r="C255" s="126"/>
      <c r="D255" s="126"/>
      <c r="E255" s="126"/>
      <c r="F255" s="188"/>
      <c r="G255" s="188"/>
      <c r="H255" s="126"/>
      <c r="I255" s="126"/>
      <c r="J255" s="126"/>
      <c r="K255" s="126"/>
      <c r="L255" s="126"/>
      <c r="M255" s="126"/>
      <c r="N255" s="126"/>
      <c r="O255" s="126"/>
      <c r="P255" s="126"/>
      <c r="Q255" s="126"/>
      <c r="R255" s="126"/>
      <c r="S255" s="126"/>
      <c r="T255" s="126"/>
      <c r="U255" s="126"/>
      <c r="V255" s="126"/>
      <c r="W255" s="126"/>
      <c r="X255" s="126"/>
      <c r="Y255" s="126"/>
      <c r="Z255" s="126"/>
      <c r="AA255" s="126"/>
      <c r="AB255" s="126"/>
    </row>
    <row r="256" spans="1:28" ht="13.5" customHeight="1">
      <c r="A256" s="126"/>
      <c r="B256" s="126"/>
      <c r="C256" s="126"/>
      <c r="D256" s="126"/>
      <c r="E256" s="126"/>
      <c r="F256" s="188"/>
      <c r="G256" s="188"/>
      <c r="H256" s="126"/>
      <c r="I256" s="126"/>
      <c r="J256" s="126"/>
      <c r="K256" s="126"/>
      <c r="L256" s="126"/>
      <c r="M256" s="126"/>
      <c r="N256" s="126"/>
      <c r="O256" s="126"/>
      <c r="P256" s="126"/>
      <c r="Q256" s="126"/>
      <c r="R256" s="126"/>
      <c r="S256" s="126"/>
      <c r="T256" s="126"/>
      <c r="U256" s="126"/>
      <c r="V256" s="126"/>
      <c r="W256" s="126"/>
      <c r="X256" s="126"/>
      <c r="Y256" s="126"/>
      <c r="Z256" s="126"/>
      <c r="AA256" s="126"/>
      <c r="AB256" s="126"/>
    </row>
    <row r="257" spans="1:28" ht="13.5" customHeight="1">
      <c r="A257" s="126"/>
      <c r="B257" s="126"/>
      <c r="C257" s="126"/>
      <c r="D257" s="126"/>
      <c r="E257" s="126"/>
      <c r="F257" s="188"/>
      <c r="G257" s="188"/>
      <c r="H257" s="126"/>
      <c r="I257" s="126"/>
      <c r="J257" s="126"/>
      <c r="K257" s="126"/>
      <c r="L257" s="126"/>
      <c r="M257" s="126"/>
      <c r="N257" s="126"/>
      <c r="O257" s="126"/>
      <c r="P257" s="126"/>
      <c r="Q257" s="126"/>
      <c r="R257" s="126"/>
      <c r="S257" s="126"/>
      <c r="T257" s="126"/>
      <c r="U257" s="126"/>
      <c r="V257" s="126"/>
      <c r="W257" s="126"/>
      <c r="X257" s="126"/>
      <c r="Y257" s="126"/>
      <c r="Z257" s="126"/>
      <c r="AA257" s="126"/>
      <c r="AB257" s="126"/>
    </row>
    <row r="258" spans="1:28" ht="13.5" customHeight="1">
      <c r="A258" s="126"/>
      <c r="B258" s="126"/>
      <c r="C258" s="126"/>
      <c r="D258" s="126"/>
      <c r="E258" s="126"/>
      <c r="F258" s="188"/>
      <c r="G258" s="188"/>
      <c r="H258" s="126"/>
      <c r="I258" s="126"/>
      <c r="J258" s="126"/>
      <c r="K258" s="126"/>
      <c r="L258" s="126"/>
      <c r="M258" s="126"/>
      <c r="N258" s="126"/>
      <c r="O258" s="126"/>
      <c r="P258" s="126"/>
      <c r="Q258" s="126"/>
      <c r="R258" s="126"/>
      <c r="S258" s="126"/>
      <c r="T258" s="126"/>
      <c r="U258" s="126"/>
      <c r="V258" s="126"/>
      <c r="W258" s="126"/>
      <c r="X258" s="126"/>
      <c r="Y258" s="126"/>
      <c r="Z258" s="126"/>
      <c r="AA258" s="126"/>
      <c r="AB258" s="126"/>
    </row>
    <row r="259" spans="1:28" ht="13.5" customHeight="1">
      <c r="A259" s="126"/>
      <c r="B259" s="126"/>
      <c r="C259" s="126"/>
      <c r="D259" s="126"/>
      <c r="E259" s="126"/>
      <c r="F259" s="188"/>
      <c r="G259" s="188"/>
      <c r="H259" s="126"/>
      <c r="I259" s="126"/>
      <c r="J259" s="126"/>
      <c r="K259" s="126"/>
      <c r="L259" s="126"/>
      <c r="M259" s="126"/>
      <c r="N259" s="126"/>
      <c r="O259" s="126"/>
      <c r="P259" s="126"/>
      <c r="Q259" s="126"/>
      <c r="R259" s="126"/>
      <c r="S259" s="126"/>
      <c r="T259" s="126"/>
      <c r="U259" s="126"/>
      <c r="V259" s="126"/>
      <c r="W259" s="126"/>
      <c r="X259" s="126"/>
      <c r="Y259" s="126"/>
      <c r="Z259" s="126"/>
      <c r="AA259" s="126"/>
      <c r="AB259" s="126"/>
    </row>
    <row r="260" spans="1:28" ht="13.5" customHeight="1">
      <c r="A260" s="126"/>
      <c r="B260" s="126"/>
      <c r="C260" s="126"/>
      <c r="D260" s="126"/>
      <c r="E260" s="126"/>
      <c r="F260" s="188"/>
      <c r="G260" s="188"/>
      <c r="H260" s="126"/>
      <c r="I260" s="126"/>
      <c r="J260" s="126"/>
      <c r="K260" s="126"/>
      <c r="L260" s="126"/>
      <c r="M260" s="126"/>
      <c r="N260" s="126"/>
      <c r="O260" s="126"/>
      <c r="P260" s="126"/>
      <c r="Q260" s="126"/>
      <c r="R260" s="126"/>
      <c r="S260" s="126"/>
      <c r="T260" s="126"/>
      <c r="U260" s="126"/>
      <c r="V260" s="126"/>
      <c r="W260" s="126"/>
      <c r="X260" s="126"/>
      <c r="Y260" s="126"/>
      <c r="Z260" s="126"/>
      <c r="AA260" s="126"/>
      <c r="AB260" s="126"/>
    </row>
    <row r="261" spans="1:28" ht="13.5" customHeight="1">
      <c r="A261" s="126"/>
      <c r="B261" s="126"/>
      <c r="C261" s="126"/>
      <c r="D261" s="126"/>
      <c r="E261" s="126"/>
      <c r="F261" s="188"/>
      <c r="G261" s="188"/>
      <c r="H261" s="126"/>
      <c r="I261" s="126"/>
      <c r="J261" s="126"/>
      <c r="K261" s="126"/>
      <c r="L261" s="126"/>
      <c r="M261" s="126"/>
      <c r="N261" s="126"/>
      <c r="O261" s="126"/>
      <c r="P261" s="126"/>
      <c r="Q261" s="126"/>
      <c r="R261" s="126"/>
      <c r="S261" s="126"/>
      <c r="T261" s="126"/>
      <c r="U261" s="126"/>
      <c r="V261" s="126"/>
      <c r="W261" s="126"/>
      <c r="X261" s="126"/>
      <c r="Y261" s="126"/>
      <c r="Z261" s="126"/>
      <c r="AA261" s="126"/>
      <c r="AB261" s="126"/>
    </row>
    <row r="262" spans="1:28" ht="13.5" customHeight="1">
      <c r="A262" s="126"/>
      <c r="B262" s="126"/>
      <c r="C262" s="126"/>
      <c r="D262" s="126"/>
      <c r="E262" s="126"/>
      <c r="F262" s="188"/>
      <c r="G262" s="188"/>
      <c r="H262" s="126"/>
      <c r="I262" s="126"/>
      <c r="J262" s="126"/>
      <c r="K262" s="126"/>
      <c r="L262" s="126"/>
      <c r="M262" s="126"/>
      <c r="N262" s="126"/>
      <c r="O262" s="126"/>
      <c r="P262" s="126"/>
      <c r="Q262" s="126"/>
      <c r="R262" s="126"/>
      <c r="S262" s="126"/>
      <c r="T262" s="126"/>
      <c r="U262" s="126"/>
      <c r="V262" s="126"/>
      <c r="W262" s="126"/>
      <c r="X262" s="126"/>
      <c r="Y262" s="126"/>
      <c r="Z262" s="126"/>
      <c r="AA262" s="126"/>
      <c r="AB262" s="126"/>
    </row>
    <row r="263" spans="1:28" ht="13.5" customHeight="1">
      <c r="A263" s="126"/>
      <c r="B263" s="126"/>
      <c r="C263" s="126"/>
      <c r="D263" s="126"/>
      <c r="E263" s="126"/>
      <c r="F263" s="188"/>
      <c r="G263" s="188"/>
      <c r="H263" s="126"/>
      <c r="I263" s="126"/>
      <c r="J263" s="126"/>
      <c r="K263" s="126"/>
      <c r="L263" s="126"/>
      <c r="M263" s="126"/>
      <c r="N263" s="126"/>
      <c r="O263" s="126"/>
      <c r="P263" s="126"/>
      <c r="Q263" s="126"/>
      <c r="R263" s="126"/>
      <c r="S263" s="126"/>
      <c r="T263" s="126"/>
      <c r="U263" s="126"/>
      <c r="V263" s="126"/>
      <c r="W263" s="126"/>
      <c r="X263" s="126"/>
      <c r="Y263" s="126"/>
      <c r="Z263" s="126"/>
      <c r="AA263" s="126"/>
      <c r="AB263" s="126"/>
    </row>
    <row r="264" spans="1:28" ht="13.5" customHeight="1">
      <c r="A264" s="126"/>
      <c r="B264" s="126"/>
      <c r="C264" s="126"/>
      <c r="D264" s="126"/>
      <c r="E264" s="126"/>
      <c r="F264" s="188"/>
      <c r="G264" s="188"/>
      <c r="H264" s="126"/>
      <c r="I264" s="126"/>
      <c r="J264" s="126"/>
      <c r="K264" s="126"/>
      <c r="L264" s="126"/>
      <c r="M264" s="126"/>
      <c r="N264" s="126"/>
      <c r="O264" s="126"/>
      <c r="P264" s="126"/>
      <c r="Q264" s="126"/>
      <c r="R264" s="126"/>
      <c r="S264" s="126"/>
      <c r="T264" s="126"/>
      <c r="U264" s="126"/>
      <c r="V264" s="126"/>
      <c r="W264" s="126"/>
      <c r="X264" s="126"/>
      <c r="Y264" s="126"/>
      <c r="Z264" s="126"/>
      <c r="AA264" s="126"/>
      <c r="AB264" s="126"/>
    </row>
    <row r="265" spans="1:28" ht="13.5" customHeight="1">
      <c r="A265" s="126"/>
      <c r="B265" s="126"/>
      <c r="C265" s="126"/>
      <c r="D265" s="126"/>
      <c r="E265" s="126"/>
      <c r="F265" s="188"/>
      <c r="G265" s="188"/>
      <c r="H265" s="126"/>
      <c r="I265" s="126"/>
      <c r="J265" s="126"/>
      <c r="K265" s="126"/>
      <c r="L265" s="126"/>
      <c r="M265" s="126"/>
      <c r="N265" s="126"/>
      <c r="O265" s="126"/>
      <c r="P265" s="126"/>
      <c r="Q265" s="126"/>
      <c r="R265" s="126"/>
      <c r="S265" s="126"/>
      <c r="T265" s="126"/>
      <c r="U265" s="126"/>
      <c r="V265" s="126"/>
      <c r="W265" s="126"/>
      <c r="X265" s="126"/>
      <c r="Y265" s="126"/>
      <c r="Z265" s="126"/>
      <c r="AA265" s="126"/>
      <c r="AB265" s="126"/>
    </row>
    <row r="266" spans="1:28" ht="13.5" customHeight="1">
      <c r="A266" s="126"/>
      <c r="B266" s="126"/>
      <c r="C266" s="126"/>
      <c r="D266" s="126"/>
      <c r="E266" s="126"/>
      <c r="F266" s="188"/>
      <c r="G266" s="188"/>
      <c r="H266" s="126"/>
      <c r="I266" s="126"/>
      <c r="J266" s="126"/>
      <c r="K266" s="126"/>
      <c r="L266" s="126"/>
      <c r="M266" s="126"/>
      <c r="N266" s="126"/>
      <c r="O266" s="126"/>
      <c r="P266" s="126"/>
      <c r="Q266" s="126"/>
      <c r="R266" s="126"/>
      <c r="S266" s="126"/>
      <c r="T266" s="126"/>
      <c r="U266" s="126"/>
      <c r="V266" s="126"/>
      <c r="W266" s="126"/>
      <c r="X266" s="126"/>
      <c r="Y266" s="126"/>
      <c r="Z266" s="126"/>
      <c r="AA266" s="126"/>
      <c r="AB266" s="126"/>
    </row>
    <row r="267" spans="1:28" ht="13.5" customHeight="1">
      <c r="A267" s="126"/>
      <c r="B267" s="126"/>
      <c r="C267" s="126"/>
      <c r="D267" s="126"/>
      <c r="E267" s="126"/>
      <c r="F267" s="188"/>
      <c r="G267" s="188"/>
      <c r="H267" s="126"/>
      <c r="I267" s="126"/>
      <c r="J267" s="126"/>
      <c r="K267" s="126"/>
      <c r="L267" s="126"/>
      <c r="M267" s="126"/>
      <c r="N267" s="126"/>
      <c r="O267" s="126"/>
      <c r="P267" s="126"/>
      <c r="Q267" s="126"/>
      <c r="R267" s="126"/>
      <c r="S267" s="126"/>
      <c r="T267" s="126"/>
      <c r="U267" s="126"/>
      <c r="V267" s="126"/>
      <c r="W267" s="126"/>
      <c r="X267" s="126"/>
      <c r="Y267" s="126"/>
      <c r="Z267" s="126"/>
      <c r="AA267" s="126"/>
      <c r="AB267" s="126"/>
    </row>
    <row r="268" spans="1:28" ht="13.5" customHeight="1">
      <c r="A268" s="126"/>
      <c r="B268" s="126"/>
      <c r="C268" s="126"/>
      <c r="D268" s="126"/>
      <c r="E268" s="126"/>
      <c r="F268" s="188"/>
      <c r="G268" s="188"/>
      <c r="H268" s="126"/>
      <c r="I268" s="126"/>
      <c r="J268" s="126"/>
      <c r="K268" s="126"/>
      <c r="L268" s="126"/>
      <c r="M268" s="126"/>
      <c r="N268" s="126"/>
      <c r="O268" s="126"/>
      <c r="P268" s="126"/>
      <c r="Q268" s="126"/>
      <c r="R268" s="126"/>
      <c r="S268" s="126"/>
      <c r="T268" s="126"/>
      <c r="U268" s="126"/>
      <c r="V268" s="126"/>
      <c r="W268" s="126"/>
      <c r="X268" s="126"/>
      <c r="Y268" s="126"/>
      <c r="Z268" s="126"/>
      <c r="AA268" s="126"/>
      <c r="AB268" s="126"/>
    </row>
    <row r="269" spans="1:28" ht="13.5" customHeight="1">
      <c r="A269" s="126"/>
      <c r="B269" s="126"/>
      <c r="C269" s="126"/>
      <c r="D269" s="126"/>
      <c r="E269" s="126"/>
      <c r="F269" s="188"/>
      <c r="G269" s="188"/>
      <c r="H269" s="126"/>
      <c r="I269" s="126"/>
      <c r="J269" s="126"/>
      <c r="K269" s="126"/>
      <c r="L269" s="126"/>
      <c r="M269" s="126"/>
      <c r="N269" s="126"/>
      <c r="O269" s="126"/>
      <c r="P269" s="126"/>
      <c r="Q269" s="126"/>
      <c r="R269" s="126"/>
      <c r="S269" s="126"/>
      <c r="T269" s="126"/>
      <c r="U269" s="126"/>
      <c r="V269" s="126"/>
      <c r="W269" s="126"/>
      <c r="X269" s="126"/>
      <c r="Y269" s="126"/>
      <c r="Z269" s="126"/>
      <c r="AA269" s="126"/>
      <c r="AB269" s="126"/>
    </row>
    <row r="270" spans="1:28" ht="13.5" customHeight="1">
      <c r="A270" s="126"/>
      <c r="B270" s="126"/>
      <c r="C270" s="126"/>
      <c r="D270" s="126"/>
      <c r="E270" s="126"/>
      <c r="F270" s="188"/>
      <c r="G270" s="188"/>
      <c r="H270" s="126"/>
      <c r="I270" s="126"/>
      <c r="J270" s="126"/>
      <c r="K270" s="126"/>
      <c r="L270" s="126"/>
      <c r="M270" s="126"/>
      <c r="N270" s="126"/>
      <c r="O270" s="126"/>
      <c r="P270" s="126"/>
      <c r="Q270" s="126"/>
      <c r="R270" s="126"/>
      <c r="S270" s="126"/>
      <c r="T270" s="126"/>
      <c r="U270" s="126"/>
      <c r="V270" s="126"/>
      <c r="W270" s="126"/>
      <c r="X270" s="126"/>
      <c r="Y270" s="126"/>
      <c r="Z270" s="126"/>
      <c r="AA270" s="126"/>
      <c r="AB270" s="126"/>
    </row>
    <row r="271" spans="1:28" ht="13.5" customHeight="1">
      <c r="A271" s="126"/>
      <c r="B271" s="126"/>
      <c r="C271" s="126"/>
      <c r="D271" s="126"/>
      <c r="E271" s="126"/>
      <c r="F271" s="188"/>
      <c r="G271" s="188"/>
      <c r="H271" s="126"/>
      <c r="I271" s="126"/>
      <c r="J271" s="126"/>
      <c r="K271" s="126"/>
      <c r="L271" s="126"/>
      <c r="M271" s="126"/>
      <c r="N271" s="126"/>
      <c r="O271" s="126"/>
      <c r="P271" s="126"/>
      <c r="Q271" s="126"/>
      <c r="R271" s="126"/>
      <c r="S271" s="126"/>
      <c r="T271" s="126"/>
      <c r="U271" s="126"/>
      <c r="V271" s="126"/>
      <c r="W271" s="126"/>
      <c r="X271" s="126"/>
      <c r="Y271" s="126"/>
      <c r="Z271" s="126"/>
      <c r="AA271" s="126"/>
      <c r="AB271" s="126"/>
    </row>
    <row r="272" spans="1:28" ht="13.5" customHeight="1">
      <c r="A272" s="126"/>
      <c r="B272" s="126"/>
      <c r="C272" s="126"/>
      <c r="D272" s="126"/>
      <c r="E272" s="126"/>
      <c r="F272" s="188"/>
      <c r="G272" s="188"/>
      <c r="H272" s="126"/>
      <c r="I272" s="126"/>
      <c r="J272" s="126"/>
      <c r="K272" s="126"/>
      <c r="L272" s="126"/>
      <c r="M272" s="126"/>
      <c r="N272" s="126"/>
      <c r="O272" s="126"/>
      <c r="P272" s="126"/>
      <c r="Q272" s="126"/>
      <c r="R272" s="126"/>
      <c r="S272" s="126"/>
      <c r="T272" s="126"/>
      <c r="U272" s="126"/>
      <c r="V272" s="126"/>
      <c r="W272" s="126"/>
      <c r="X272" s="126"/>
      <c r="Y272" s="126"/>
      <c r="Z272" s="126"/>
      <c r="AA272" s="126"/>
      <c r="AB272" s="126"/>
    </row>
    <row r="273" spans="1:28" ht="13.5" customHeight="1">
      <c r="A273" s="126"/>
      <c r="B273" s="126"/>
      <c r="C273" s="126"/>
      <c r="D273" s="126"/>
      <c r="E273" s="126"/>
      <c r="F273" s="188"/>
      <c r="G273" s="188"/>
      <c r="H273" s="126"/>
      <c r="I273" s="126"/>
      <c r="J273" s="126"/>
      <c r="K273" s="126"/>
      <c r="L273" s="126"/>
      <c r="M273" s="126"/>
      <c r="N273" s="126"/>
      <c r="O273" s="126"/>
      <c r="P273" s="126"/>
      <c r="Q273" s="126"/>
      <c r="R273" s="126"/>
      <c r="S273" s="126"/>
      <c r="T273" s="126"/>
      <c r="U273" s="126"/>
      <c r="V273" s="126"/>
      <c r="W273" s="126"/>
      <c r="X273" s="126"/>
      <c r="Y273" s="126"/>
      <c r="Z273" s="126"/>
      <c r="AA273" s="126"/>
      <c r="AB273" s="126"/>
    </row>
    <row r="274" spans="1:28" ht="13.5" customHeight="1">
      <c r="A274" s="126"/>
      <c r="B274" s="126"/>
      <c r="C274" s="126"/>
      <c r="D274" s="126"/>
      <c r="E274" s="126"/>
      <c r="F274" s="188"/>
      <c r="G274" s="188"/>
      <c r="H274" s="126"/>
      <c r="I274" s="126"/>
      <c r="J274" s="126"/>
      <c r="K274" s="126"/>
      <c r="L274" s="126"/>
      <c r="M274" s="126"/>
      <c r="N274" s="126"/>
      <c r="O274" s="126"/>
      <c r="P274" s="126"/>
      <c r="Q274" s="126"/>
      <c r="R274" s="126"/>
      <c r="S274" s="126"/>
      <c r="T274" s="126"/>
      <c r="U274" s="126"/>
      <c r="V274" s="126"/>
      <c r="W274" s="126"/>
      <c r="X274" s="126"/>
      <c r="Y274" s="126"/>
      <c r="Z274" s="126"/>
      <c r="AA274" s="126"/>
      <c r="AB274" s="126"/>
    </row>
    <row r="275" spans="1:28" ht="13.5" customHeight="1">
      <c r="A275" s="126"/>
      <c r="B275" s="126"/>
      <c r="C275" s="126"/>
      <c r="D275" s="126"/>
      <c r="E275" s="126"/>
      <c r="F275" s="188"/>
      <c r="G275" s="188"/>
      <c r="H275" s="126"/>
      <c r="I275" s="126"/>
      <c r="J275" s="126"/>
      <c r="K275" s="126"/>
      <c r="L275" s="126"/>
      <c r="M275" s="126"/>
      <c r="N275" s="126"/>
      <c r="O275" s="126"/>
      <c r="P275" s="126"/>
      <c r="Q275" s="126"/>
      <c r="R275" s="126"/>
      <c r="S275" s="126"/>
      <c r="T275" s="126"/>
      <c r="U275" s="126"/>
      <c r="V275" s="126"/>
      <c r="W275" s="126"/>
      <c r="X275" s="126"/>
      <c r="Y275" s="126"/>
      <c r="Z275" s="126"/>
      <c r="AA275" s="126"/>
      <c r="AB275" s="126"/>
    </row>
    <row r="276" spans="1:28" ht="13.5" customHeight="1">
      <c r="A276" s="126"/>
      <c r="B276" s="126"/>
      <c r="C276" s="126"/>
      <c r="D276" s="126"/>
      <c r="E276" s="126"/>
      <c r="F276" s="188"/>
      <c r="G276" s="188"/>
      <c r="H276" s="126"/>
      <c r="I276" s="126"/>
      <c r="J276" s="126"/>
      <c r="K276" s="126"/>
      <c r="L276" s="126"/>
      <c r="M276" s="126"/>
      <c r="N276" s="126"/>
      <c r="O276" s="126"/>
      <c r="P276" s="126"/>
      <c r="Q276" s="126"/>
      <c r="R276" s="126"/>
      <c r="S276" s="126"/>
      <c r="T276" s="126"/>
      <c r="U276" s="126"/>
      <c r="V276" s="126"/>
      <c r="W276" s="126"/>
      <c r="X276" s="126"/>
      <c r="Y276" s="126"/>
      <c r="Z276" s="126"/>
      <c r="AA276" s="126"/>
      <c r="AB276" s="126"/>
    </row>
    <row r="277" spans="1:28" ht="13.5" customHeight="1">
      <c r="A277" s="126"/>
      <c r="B277" s="126"/>
      <c r="C277" s="126"/>
      <c r="D277" s="126"/>
      <c r="E277" s="126"/>
      <c r="F277" s="188"/>
      <c r="G277" s="188"/>
      <c r="H277" s="126"/>
      <c r="I277" s="126"/>
      <c r="J277" s="126"/>
      <c r="K277" s="126"/>
      <c r="L277" s="126"/>
      <c r="M277" s="126"/>
      <c r="N277" s="126"/>
      <c r="O277" s="126"/>
      <c r="P277" s="126"/>
      <c r="Q277" s="126"/>
      <c r="R277" s="126"/>
      <c r="S277" s="126"/>
      <c r="T277" s="126"/>
      <c r="U277" s="126"/>
      <c r="V277" s="126"/>
      <c r="W277" s="126"/>
      <c r="X277" s="126"/>
      <c r="Y277" s="126"/>
      <c r="Z277" s="126"/>
      <c r="AA277" s="126"/>
      <c r="AB277" s="126"/>
    </row>
    <row r="278" spans="1:28" ht="13.5" customHeight="1">
      <c r="A278" s="126"/>
      <c r="B278" s="126"/>
      <c r="C278" s="126"/>
      <c r="D278" s="126"/>
      <c r="E278" s="126"/>
      <c r="F278" s="188"/>
      <c r="G278" s="188"/>
      <c r="H278" s="126"/>
      <c r="I278" s="126"/>
      <c r="J278" s="126"/>
      <c r="K278" s="126"/>
      <c r="L278" s="126"/>
      <c r="M278" s="126"/>
      <c r="N278" s="126"/>
      <c r="O278" s="126"/>
      <c r="P278" s="126"/>
      <c r="Q278" s="126"/>
      <c r="R278" s="126"/>
      <c r="S278" s="126"/>
      <c r="T278" s="126"/>
      <c r="U278" s="126"/>
      <c r="V278" s="126"/>
      <c r="W278" s="126"/>
      <c r="X278" s="126"/>
      <c r="Y278" s="126"/>
      <c r="Z278" s="126"/>
      <c r="AA278" s="126"/>
      <c r="AB278" s="126"/>
    </row>
    <row r="279" spans="1:28" ht="13.5" customHeight="1">
      <c r="A279" s="126"/>
      <c r="B279" s="126"/>
      <c r="C279" s="126"/>
      <c r="D279" s="126"/>
      <c r="E279" s="126"/>
      <c r="F279" s="188"/>
      <c r="G279" s="188"/>
      <c r="H279" s="126"/>
      <c r="I279" s="126"/>
      <c r="J279" s="126"/>
      <c r="K279" s="126"/>
      <c r="L279" s="126"/>
      <c r="M279" s="126"/>
      <c r="N279" s="126"/>
      <c r="O279" s="126"/>
      <c r="P279" s="126"/>
      <c r="Q279" s="126"/>
      <c r="R279" s="126"/>
      <c r="S279" s="126"/>
      <c r="T279" s="126"/>
      <c r="U279" s="126"/>
      <c r="V279" s="126"/>
      <c r="W279" s="126"/>
      <c r="X279" s="126"/>
      <c r="Y279" s="126"/>
      <c r="Z279" s="126"/>
      <c r="AA279" s="126"/>
      <c r="AB279" s="126"/>
    </row>
    <row r="280" spans="1:28" ht="13.5" customHeight="1">
      <c r="A280" s="126"/>
      <c r="B280" s="126"/>
      <c r="C280" s="126"/>
      <c r="D280" s="126"/>
      <c r="E280" s="126"/>
      <c r="F280" s="188"/>
      <c r="G280" s="188"/>
      <c r="H280" s="126"/>
      <c r="I280" s="126"/>
      <c r="J280" s="126"/>
      <c r="K280" s="126"/>
      <c r="L280" s="126"/>
      <c r="M280" s="126"/>
      <c r="N280" s="126"/>
      <c r="O280" s="126"/>
      <c r="P280" s="126"/>
      <c r="Q280" s="126"/>
      <c r="R280" s="126"/>
      <c r="S280" s="126"/>
      <c r="T280" s="126"/>
      <c r="U280" s="126"/>
      <c r="V280" s="126"/>
      <c r="W280" s="126"/>
      <c r="X280" s="126"/>
      <c r="Y280" s="126"/>
      <c r="Z280" s="126"/>
      <c r="AA280" s="126"/>
      <c r="AB280" s="126"/>
    </row>
    <row r="281" spans="1:28" ht="13.5" customHeight="1">
      <c r="A281" s="126"/>
      <c r="B281" s="126"/>
      <c r="C281" s="126"/>
      <c r="D281" s="126"/>
      <c r="E281" s="126"/>
      <c r="F281" s="188"/>
      <c r="G281" s="188"/>
      <c r="H281" s="126"/>
      <c r="I281" s="126"/>
      <c r="J281" s="126"/>
      <c r="K281" s="126"/>
      <c r="L281" s="126"/>
      <c r="M281" s="126"/>
      <c r="N281" s="126"/>
      <c r="O281" s="126"/>
      <c r="P281" s="126"/>
      <c r="Q281" s="126"/>
      <c r="R281" s="126"/>
      <c r="S281" s="126"/>
      <c r="T281" s="126"/>
      <c r="U281" s="126"/>
      <c r="V281" s="126"/>
      <c r="W281" s="126"/>
      <c r="X281" s="126"/>
      <c r="Y281" s="126"/>
      <c r="Z281" s="126"/>
      <c r="AA281" s="126"/>
      <c r="AB281" s="126"/>
    </row>
    <row r="282" spans="1:28" ht="13.5" customHeight="1">
      <c r="A282" s="126"/>
      <c r="B282" s="126"/>
      <c r="C282" s="126"/>
      <c r="D282" s="126"/>
      <c r="E282" s="126"/>
      <c r="F282" s="188"/>
      <c r="G282" s="188"/>
      <c r="H282" s="126"/>
      <c r="I282" s="126"/>
      <c r="J282" s="126"/>
      <c r="K282" s="126"/>
      <c r="L282" s="126"/>
      <c r="M282" s="126"/>
      <c r="N282" s="126"/>
      <c r="O282" s="126"/>
      <c r="P282" s="126"/>
      <c r="Q282" s="126"/>
      <c r="R282" s="126"/>
      <c r="S282" s="126"/>
      <c r="T282" s="126"/>
      <c r="U282" s="126"/>
      <c r="V282" s="126"/>
      <c r="W282" s="126"/>
      <c r="X282" s="126"/>
      <c r="Y282" s="126"/>
      <c r="Z282" s="126"/>
      <c r="AA282" s="126"/>
      <c r="AB282" s="126"/>
    </row>
    <row r="283" spans="1:28" ht="13.5" customHeight="1">
      <c r="A283" s="126"/>
      <c r="B283" s="126"/>
      <c r="C283" s="126"/>
      <c r="D283" s="126"/>
      <c r="E283" s="126"/>
      <c r="F283" s="188"/>
      <c r="G283" s="188"/>
      <c r="H283" s="126"/>
      <c r="I283" s="126"/>
      <c r="J283" s="126"/>
      <c r="K283" s="126"/>
      <c r="L283" s="126"/>
      <c r="M283" s="126"/>
      <c r="N283" s="126"/>
      <c r="O283" s="126"/>
      <c r="P283" s="126"/>
      <c r="Q283" s="126"/>
      <c r="R283" s="126"/>
      <c r="S283" s="126"/>
      <c r="T283" s="126"/>
      <c r="U283" s="126"/>
      <c r="V283" s="126"/>
      <c r="W283" s="126"/>
      <c r="X283" s="126"/>
      <c r="Y283" s="126"/>
      <c r="Z283" s="126"/>
      <c r="AA283" s="126"/>
      <c r="AB283" s="126"/>
    </row>
    <row r="284" spans="1:28" ht="13.5" customHeight="1">
      <c r="A284" s="126"/>
      <c r="B284" s="126"/>
      <c r="C284" s="126"/>
      <c r="D284" s="126"/>
      <c r="E284" s="126"/>
      <c r="F284" s="188"/>
      <c r="G284" s="188"/>
      <c r="H284" s="126"/>
      <c r="I284" s="126"/>
      <c r="J284" s="126"/>
      <c r="K284" s="126"/>
      <c r="L284" s="126"/>
      <c r="M284" s="126"/>
      <c r="N284" s="126"/>
      <c r="O284" s="126"/>
      <c r="P284" s="126"/>
      <c r="Q284" s="126"/>
      <c r="R284" s="126"/>
      <c r="S284" s="126"/>
      <c r="T284" s="126"/>
      <c r="U284" s="126"/>
      <c r="V284" s="126"/>
      <c r="W284" s="126"/>
      <c r="X284" s="126"/>
      <c r="Y284" s="126"/>
      <c r="Z284" s="126"/>
      <c r="AA284" s="126"/>
      <c r="AB284" s="126"/>
    </row>
    <row r="285" spans="1:28" ht="13.5" customHeight="1">
      <c r="A285" s="126"/>
      <c r="B285" s="126"/>
      <c r="C285" s="126"/>
      <c r="D285" s="126"/>
      <c r="E285" s="126"/>
      <c r="F285" s="188"/>
      <c r="G285" s="188"/>
      <c r="H285" s="126"/>
      <c r="I285" s="126"/>
      <c r="J285" s="126"/>
      <c r="K285" s="126"/>
      <c r="L285" s="126"/>
      <c r="M285" s="126"/>
      <c r="N285" s="126"/>
      <c r="O285" s="126"/>
      <c r="P285" s="126"/>
      <c r="Q285" s="126"/>
      <c r="R285" s="126"/>
      <c r="S285" s="126"/>
      <c r="T285" s="126"/>
      <c r="U285" s="126"/>
      <c r="V285" s="126"/>
      <c r="W285" s="126"/>
      <c r="X285" s="126"/>
      <c r="Y285" s="126"/>
      <c r="Z285" s="126"/>
      <c r="AA285" s="126"/>
      <c r="AB285" s="126"/>
    </row>
    <row r="286" spans="1:28" ht="13.5" customHeight="1">
      <c r="A286" s="126"/>
      <c r="B286" s="126"/>
      <c r="C286" s="126"/>
      <c r="D286" s="126"/>
      <c r="E286" s="126"/>
      <c r="F286" s="188"/>
      <c r="G286" s="188"/>
      <c r="H286" s="126"/>
      <c r="I286" s="126"/>
      <c r="J286" s="126"/>
      <c r="K286" s="126"/>
      <c r="L286" s="126"/>
      <c r="M286" s="126"/>
      <c r="N286" s="126"/>
      <c r="O286" s="126"/>
      <c r="P286" s="126"/>
      <c r="Q286" s="126"/>
      <c r="R286" s="126"/>
      <c r="S286" s="126"/>
      <c r="T286" s="126"/>
      <c r="U286" s="126"/>
      <c r="V286" s="126"/>
      <c r="W286" s="126"/>
      <c r="X286" s="126"/>
      <c r="Y286" s="126"/>
      <c r="Z286" s="126"/>
      <c r="AA286" s="126"/>
      <c r="AB286" s="126"/>
    </row>
    <row r="287" spans="1:28" ht="13.5" customHeight="1">
      <c r="A287" s="126"/>
      <c r="B287" s="126"/>
      <c r="C287" s="126"/>
      <c r="D287" s="126"/>
      <c r="E287" s="126"/>
      <c r="F287" s="188"/>
      <c r="G287" s="188"/>
      <c r="H287" s="126"/>
      <c r="I287" s="126"/>
      <c r="J287" s="126"/>
      <c r="K287" s="126"/>
      <c r="L287" s="126"/>
      <c r="M287" s="126"/>
      <c r="N287" s="126"/>
      <c r="O287" s="126"/>
      <c r="P287" s="126"/>
      <c r="Q287" s="126"/>
      <c r="R287" s="126"/>
      <c r="S287" s="126"/>
      <c r="T287" s="126"/>
      <c r="U287" s="126"/>
      <c r="V287" s="126"/>
      <c r="W287" s="126"/>
      <c r="X287" s="126"/>
      <c r="Y287" s="126"/>
      <c r="Z287" s="126"/>
      <c r="AA287" s="126"/>
      <c r="AB287" s="126"/>
    </row>
    <row r="288" spans="1:28" ht="13.5" customHeight="1">
      <c r="A288" s="126"/>
      <c r="B288" s="126"/>
      <c r="C288" s="126"/>
      <c r="D288" s="126"/>
      <c r="E288" s="126"/>
      <c r="F288" s="188"/>
      <c r="G288" s="188"/>
      <c r="H288" s="126"/>
      <c r="I288" s="126"/>
      <c r="J288" s="126"/>
      <c r="K288" s="126"/>
      <c r="L288" s="126"/>
      <c r="M288" s="126"/>
      <c r="N288" s="126"/>
      <c r="O288" s="126"/>
      <c r="P288" s="126"/>
      <c r="Q288" s="126"/>
      <c r="R288" s="126"/>
      <c r="S288" s="126"/>
      <c r="T288" s="126"/>
      <c r="U288" s="126"/>
      <c r="V288" s="126"/>
      <c r="W288" s="126"/>
      <c r="X288" s="126"/>
      <c r="Y288" s="126"/>
      <c r="Z288" s="126"/>
      <c r="AA288" s="126"/>
      <c r="AB288" s="126"/>
    </row>
    <row r="289" spans="1:28" ht="13.5" customHeight="1">
      <c r="A289" s="126"/>
      <c r="B289" s="126"/>
      <c r="C289" s="126"/>
      <c r="D289" s="126"/>
      <c r="E289" s="126"/>
      <c r="F289" s="188"/>
      <c r="G289" s="188"/>
      <c r="H289" s="126"/>
      <c r="I289" s="126"/>
      <c r="J289" s="126"/>
      <c r="K289" s="126"/>
      <c r="L289" s="126"/>
      <c r="M289" s="126"/>
      <c r="N289" s="126"/>
      <c r="O289" s="126"/>
      <c r="P289" s="126"/>
      <c r="Q289" s="126"/>
      <c r="R289" s="126"/>
      <c r="S289" s="126"/>
      <c r="T289" s="126"/>
      <c r="U289" s="126"/>
      <c r="V289" s="126"/>
      <c r="W289" s="126"/>
      <c r="X289" s="126"/>
      <c r="Y289" s="126"/>
      <c r="Z289" s="126"/>
      <c r="AA289" s="126"/>
      <c r="AB289" s="126"/>
    </row>
    <row r="290" spans="1:28" ht="13.5" customHeight="1">
      <c r="A290" s="126"/>
      <c r="B290" s="126"/>
      <c r="C290" s="126"/>
      <c r="D290" s="126"/>
      <c r="E290" s="126"/>
      <c r="F290" s="188"/>
      <c r="G290" s="188"/>
      <c r="H290" s="126"/>
      <c r="I290" s="126"/>
      <c r="J290" s="126"/>
      <c r="K290" s="126"/>
      <c r="L290" s="126"/>
      <c r="M290" s="126"/>
      <c r="N290" s="126"/>
      <c r="O290" s="126"/>
      <c r="P290" s="126"/>
      <c r="Q290" s="126"/>
      <c r="R290" s="126"/>
      <c r="S290" s="126"/>
      <c r="T290" s="126"/>
      <c r="U290" s="126"/>
      <c r="V290" s="126"/>
      <c r="W290" s="126"/>
      <c r="X290" s="126"/>
      <c r="Y290" s="126"/>
      <c r="Z290" s="126"/>
      <c r="AA290" s="126"/>
      <c r="AB290" s="126"/>
    </row>
    <row r="291" spans="1:28" ht="13.5" customHeight="1">
      <c r="A291" s="126"/>
      <c r="B291" s="126"/>
      <c r="C291" s="126"/>
      <c r="D291" s="126"/>
      <c r="E291" s="126"/>
      <c r="F291" s="188"/>
      <c r="G291" s="188"/>
      <c r="H291" s="126"/>
      <c r="I291" s="126"/>
      <c r="J291" s="126"/>
      <c r="K291" s="126"/>
      <c r="L291" s="126"/>
      <c r="M291" s="126"/>
      <c r="N291" s="126"/>
      <c r="O291" s="126"/>
      <c r="P291" s="126"/>
      <c r="Q291" s="126"/>
      <c r="R291" s="126"/>
      <c r="S291" s="126"/>
      <c r="T291" s="126"/>
      <c r="U291" s="126"/>
      <c r="V291" s="126"/>
      <c r="W291" s="126"/>
      <c r="X291" s="126"/>
      <c r="Y291" s="126"/>
      <c r="Z291" s="126"/>
      <c r="AA291" s="126"/>
      <c r="AB291" s="126"/>
    </row>
    <row r="292" spans="1:28" ht="13.5" customHeight="1">
      <c r="A292" s="126"/>
      <c r="B292" s="126"/>
      <c r="C292" s="126"/>
      <c r="D292" s="126"/>
      <c r="E292" s="126"/>
      <c r="F292" s="188"/>
      <c r="G292" s="188"/>
      <c r="H292" s="126"/>
      <c r="I292" s="126"/>
      <c r="J292" s="126"/>
      <c r="K292" s="126"/>
      <c r="L292" s="126"/>
      <c r="M292" s="126"/>
      <c r="N292" s="126"/>
      <c r="O292" s="126"/>
      <c r="P292" s="126"/>
      <c r="Q292" s="126"/>
      <c r="R292" s="126"/>
      <c r="S292" s="126"/>
      <c r="T292" s="126"/>
      <c r="U292" s="126"/>
      <c r="V292" s="126"/>
      <c r="W292" s="126"/>
      <c r="X292" s="126"/>
      <c r="Y292" s="126"/>
      <c r="Z292" s="126"/>
      <c r="AA292" s="126"/>
      <c r="AB292" s="126"/>
    </row>
    <row r="293" spans="1:28" ht="13.5" customHeight="1">
      <c r="A293" s="126"/>
      <c r="B293" s="126"/>
      <c r="C293" s="126"/>
      <c r="D293" s="126"/>
      <c r="E293" s="126"/>
      <c r="F293" s="188"/>
      <c r="G293" s="188"/>
      <c r="H293" s="126"/>
      <c r="I293" s="126"/>
      <c r="J293" s="126"/>
      <c r="K293" s="126"/>
      <c r="L293" s="126"/>
      <c r="M293" s="126"/>
      <c r="N293" s="126"/>
      <c r="O293" s="126"/>
      <c r="P293" s="126"/>
      <c r="Q293" s="126"/>
      <c r="R293" s="126"/>
      <c r="S293" s="126"/>
      <c r="T293" s="126"/>
      <c r="U293" s="126"/>
      <c r="V293" s="126"/>
      <c r="W293" s="126"/>
      <c r="X293" s="126"/>
      <c r="Y293" s="126"/>
      <c r="Z293" s="126"/>
      <c r="AA293" s="126"/>
      <c r="AB293" s="126"/>
    </row>
    <row r="294" spans="1:28" ht="13.5" customHeight="1">
      <c r="A294" s="126"/>
      <c r="B294" s="126"/>
      <c r="C294" s="126"/>
      <c r="D294" s="126"/>
      <c r="E294" s="126"/>
      <c r="F294" s="188"/>
      <c r="G294" s="188"/>
      <c r="H294" s="126"/>
      <c r="I294" s="126"/>
      <c r="J294" s="126"/>
      <c r="K294" s="126"/>
      <c r="L294" s="126"/>
      <c r="M294" s="126"/>
      <c r="N294" s="126"/>
      <c r="O294" s="126"/>
      <c r="P294" s="126"/>
      <c r="Q294" s="126"/>
      <c r="R294" s="126"/>
      <c r="S294" s="126"/>
      <c r="T294" s="126"/>
      <c r="U294" s="126"/>
      <c r="V294" s="126"/>
      <c r="W294" s="126"/>
      <c r="X294" s="126"/>
      <c r="Y294" s="126"/>
      <c r="Z294" s="126"/>
      <c r="AA294" s="126"/>
      <c r="AB294" s="126"/>
    </row>
    <row r="295" spans="1:28" ht="13.5" customHeight="1">
      <c r="A295" s="126"/>
      <c r="B295" s="126"/>
      <c r="C295" s="126"/>
      <c r="D295" s="126"/>
      <c r="E295" s="126"/>
      <c r="F295" s="188"/>
      <c r="G295" s="188"/>
      <c r="H295" s="126"/>
      <c r="I295" s="126"/>
      <c r="J295" s="126"/>
      <c r="K295" s="126"/>
      <c r="L295" s="126"/>
      <c r="M295" s="126"/>
      <c r="N295" s="126"/>
      <c r="O295" s="126"/>
      <c r="P295" s="126"/>
      <c r="Q295" s="126"/>
      <c r="R295" s="126"/>
      <c r="S295" s="126"/>
      <c r="T295" s="126"/>
      <c r="U295" s="126"/>
      <c r="V295" s="126"/>
      <c r="W295" s="126"/>
      <c r="X295" s="126"/>
      <c r="Y295" s="126"/>
      <c r="Z295" s="126"/>
      <c r="AA295" s="126"/>
      <c r="AB295" s="126"/>
    </row>
    <row r="296" spans="1:28" ht="13.5" customHeight="1">
      <c r="A296" s="126"/>
      <c r="B296" s="126"/>
      <c r="C296" s="126"/>
      <c r="D296" s="126"/>
      <c r="E296" s="126"/>
      <c r="F296" s="188"/>
      <c r="G296" s="188"/>
      <c r="H296" s="126"/>
      <c r="I296" s="126"/>
      <c r="J296" s="126"/>
      <c r="K296" s="126"/>
      <c r="L296" s="126"/>
      <c r="M296" s="126"/>
      <c r="N296" s="126"/>
      <c r="O296" s="126"/>
      <c r="P296" s="126"/>
      <c r="Q296" s="126"/>
      <c r="R296" s="126"/>
      <c r="S296" s="126"/>
      <c r="T296" s="126"/>
      <c r="U296" s="126"/>
      <c r="V296" s="126"/>
      <c r="W296" s="126"/>
      <c r="X296" s="126"/>
      <c r="Y296" s="126"/>
      <c r="Z296" s="126"/>
      <c r="AA296" s="126"/>
      <c r="AB296" s="126"/>
    </row>
    <row r="297" spans="1:28" ht="13.5" customHeight="1">
      <c r="A297" s="126"/>
      <c r="B297" s="126"/>
      <c r="C297" s="126"/>
      <c r="D297" s="126"/>
      <c r="E297" s="126"/>
      <c r="F297" s="188"/>
      <c r="G297" s="188"/>
      <c r="H297" s="126"/>
      <c r="I297" s="126"/>
      <c r="J297" s="126"/>
      <c r="K297" s="126"/>
      <c r="L297" s="126"/>
      <c r="M297" s="126"/>
      <c r="N297" s="126"/>
      <c r="O297" s="126"/>
      <c r="P297" s="126"/>
      <c r="Q297" s="126"/>
      <c r="R297" s="126"/>
      <c r="S297" s="126"/>
      <c r="T297" s="126"/>
      <c r="U297" s="126"/>
      <c r="V297" s="126"/>
      <c r="W297" s="126"/>
      <c r="X297" s="126"/>
      <c r="Y297" s="126"/>
      <c r="Z297" s="126"/>
      <c r="AA297" s="126"/>
      <c r="AB297" s="126"/>
    </row>
    <row r="298" spans="1:28" ht="13.5" customHeight="1">
      <c r="A298" s="126"/>
      <c r="B298" s="126"/>
      <c r="C298" s="126"/>
      <c r="D298" s="126"/>
      <c r="E298" s="126"/>
      <c r="F298" s="188"/>
      <c r="G298" s="188"/>
      <c r="H298" s="126"/>
      <c r="I298" s="126"/>
      <c r="J298" s="126"/>
      <c r="K298" s="126"/>
      <c r="L298" s="126"/>
      <c r="M298" s="126"/>
      <c r="N298" s="126"/>
      <c r="O298" s="126"/>
      <c r="P298" s="126"/>
      <c r="Q298" s="126"/>
      <c r="R298" s="126"/>
      <c r="S298" s="126"/>
      <c r="T298" s="126"/>
      <c r="U298" s="126"/>
      <c r="V298" s="126"/>
      <c r="W298" s="126"/>
      <c r="X298" s="126"/>
      <c r="Y298" s="126"/>
      <c r="Z298" s="126"/>
      <c r="AA298" s="126"/>
      <c r="AB298" s="126"/>
    </row>
    <row r="299" spans="1:28" ht="13.5" customHeight="1">
      <c r="A299" s="126"/>
      <c r="B299" s="126"/>
      <c r="C299" s="126"/>
      <c r="D299" s="126"/>
      <c r="E299" s="126"/>
      <c r="F299" s="188"/>
      <c r="G299" s="188"/>
      <c r="H299" s="126"/>
      <c r="I299" s="126"/>
      <c r="J299" s="126"/>
      <c r="K299" s="126"/>
      <c r="L299" s="126"/>
      <c r="M299" s="126"/>
      <c r="N299" s="126"/>
      <c r="O299" s="126"/>
      <c r="P299" s="126"/>
      <c r="Q299" s="126"/>
      <c r="R299" s="126"/>
      <c r="S299" s="126"/>
      <c r="T299" s="126"/>
      <c r="U299" s="126"/>
      <c r="V299" s="126"/>
      <c r="W299" s="126"/>
      <c r="X299" s="126"/>
      <c r="Y299" s="126"/>
      <c r="Z299" s="126"/>
      <c r="AA299" s="126"/>
      <c r="AB299" s="126"/>
    </row>
    <row r="300" spans="1:28" ht="13.5" customHeight="1">
      <c r="A300" s="126"/>
      <c r="B300" s="126"/>
      <c r="C300" s="126"/>
      <c r="D300" s="126"/>
      <c r="E300" s="126"/>
      <c r="F300" s="188"/>
      <c r="G300" s="188"/>
      <c r="H300" s="126"/>
      <c r="I300" s="126"/>
      <c r="J300" s="126"/>
      <c r="K300" s="126"/>
      <c r="L300" s="126"/>
      <c r="M300" s="126"/>
      <c r="N300" s="126"/>
      <c r="O300" s="126"/>
      <c r="P300" s="126"/>
      <c r="Q300" s="126"/>
      <c r="R300" s="126"/>
      <c r="S300" s="126"/>
      <c r="T300" s="126"/>
      <c r="U300" s="126"/>
      <c r="V300" s="126"/>
      <c r="W300" s="126"/>
      <c r="X300" s="126"/>
      <c r="Y300" s="126"/>
      <c r="Z300" s="126"/>
      <c r="AA300" s="126"/>
      <c r="AB300" s="126"/>
    </row>
    <row r="301" spans="1:28" ht="13.5" customHeight="1">
      <c r="A301" s="126"/>
      <c r="B301" s="126"/>
      <c r="C301" s="126"/>
      <c r="D301" s="126"/>
      <c r="E301" s="126"/>
      <c r="F301" s="188"/>
      <c r="G301" s="188"/>
      <c r="H301" s="126"/>
      <c r="I301" s="126"/>
      <c r="J301" s="126"/>
      <c r="K301" s="126"/>
      <c r="L301" s="126"/>
      <c r="M301" s="126"/>
      <c r="N301" s="126"/>
      <c r="O301" s="126"/>
      <c r="P301" s="126"/>
      <c r="Q301" s="126"/>
      <c r="R301" s="126"/>
      <c r="S301" s="126"/>
      <c r="T301" s="126"/>
      <c r="U301" s="126"/>
      <c r="V301" s="126"/>
      <c r="W301" s="126"/>
      <c r="X301" s="126"/>
      <c r="Y301" s="126"/>
      <c r="Z301" s="126"/>
      <c r="AA301" s="126"/>
      <c r="AB301" s="126"/>
    </row>
    <row r="302" spans="1:28" ht="13.5" customHeight="1">
      <c r="A302" s="126"/>
      <c r="B302" s="126"/>
      <c r="C302" s="126"/>
      <c r="D302" s="126"/>
      <c r="E302" s="126"/>
      <c r="F302" s="188"/>
      <c r="G302" s="188"/>
      <c r="H302" s="126"/>
      <c r="I302" s="126"/>
      <c r="J302" s="126"/>
      <c r="K302" s="126"/>
      <c r="L302" s="126"/>
      <c r="M302" s="126"/>
      <c r="N302" s="126"/>
      <c r="O302" s="126"/>
      <c r="P302" s="126"/>
      <c r="Q302" s="126"/>
      <c r="R302" s="126"/>
      <c r="S302" s="126"/>
      <c r="T302" s="126"/>
      <c r="U302" s="126"/>
      <c r="V302" s="126"/>
      <c r="W302" s="126"/>
      <c r="X302" s="126"/>
      <c r="Y302" s="126"/>
      <c r="Z302" s="126"/>
      <c r="AA302" s="126"/>
      <c r="AB302" s="126"/>
    </row>
    <row r="303" spans="1:28" ht="13.5" customHeight="1">
      <c r="A303" s="126"/>
      <c r="B303" s="126"/>
      <c r="C303" s="126"/>
      <c r="D303" s="126"/>
      <c r="E303" s="126"/>
      <c r="F303" s="188"/>
      <c r="G303" s="188"/>
      <c r="H303" s="126"/>
      <c r="I303" s="126"/>
      <c r="J303" s="126"/>
      <c r="K303" s="126"/>
      <c r="L303" s="126"/>
      <c r="M303" s="126"/>
      <c r="N303" s="126"/>
      <c r="O303" s="126"/>
      <c r="P303" s="126"/>
      <c r="Q303" s="126"/>
      <c r="R303" s="126"/>
      <c r="S303" s="126"/>
      <c r="T303" s="126"/>
      <c r="U303" s="126"/>
      <c r="V303" s="126"/>
      <c r="W303" s="126"/>
      <c r="X303" s="126"/>
      <c r="Y303" s="126"/>
      <c r="Z303" s="126"/>
      <c r="AA303" s="126"/>
      <c r="AB303" s="126"/>
    </row>
    <row r="304" spans="1:28" ht="13.5" customHeight="1">
      <c r="A304" s="126"/>
      <c r="B304" s="126"/>
      <c r="C304" s="126"/>
      <c r="D304" s="126"/>
      <c r="E304" s="126"/>
      <c r="F304" s="188"/>
      <c r="G304" s="188"/>
      <c r="H304" s="126"/>
      <c r="I304" s="126"/>
      <c r="J304" s="126"/>
      <c r="K304" s="126"/>
      <c r="L304" s="126"/>
      <c r="M304" s="126"/>
      <c r="N304" s="126"/>
      <c r="O304" s="126"/>
      <c r="P304" s="126"/>
      <c r="Q304" s="126"/>
      <c r="R304" s="126"/>
      <c r="S304" s="126"/>
      <c r="T304" s="126"/>
      <c r="U304" s="126"/>
      <c r="V304" s="126"/>
      <c r="W304" s="126"/>
      <c r="X304" s="126"/>
      <c r="Y304" s="126"/>
      <c r="Z304" s="126"/>
      <c r="AA304" s="126"/>
      <c r="AB304" s="126"/>
    </row>
    <row r="305" spans="1:28" ht="13.5" customHeight="1">
      <c r="A305" s="126"/>
      <c r="B305" s="126"/>
      <c r="C305" s="126"/>
      <c r="D305" s="126"/>
      <c r="E305" s="126"/>
      <c r="F305" s="188"/>
      <c r="G305" s="188"/>
      <c r="H305" s="126"/>
      <c r="I305" s="126"/>
      <c r="J305" s="126"/>
      <c r="K305" s="126"/>
      <c r="L305" s="126"/>
      <c r="M305" s="126"/>
      <c r="N305" s="126"/>
      <c r="O305" s="126"/>
      <c r="P305" s="126"/>
      <c r="Q305" s="126"/>
      <c r="R305" s="126"/>
      <c r="S305" s="126"/>
      <c r="T305" s="126"/>
      <c r="U305" s="126"/>
      <c r="V305" s="126"/>
      <c r="W305" s="126"/>
      <c r="X305" s="126"/>
      <c r="Y305" s="126"/>
      <c r="Z305" s="126"/>
      <c r="AA305" s="126"/>
      <c r="AB305" s="126"/>
    </row>
    <row r="306" spans="1:28" ht="13.5" customHeight="1">
      <c r="A306" s="126"/>
      <c r="B306" s="126"/>
      <c r="C306" s="126"/>
      <c r="D306" s="126"/>
      <c r="E306" s="126"/>
      <c r="F306" s="188"/>
      <c r="G306" s="188"/>
      <c r="H306" s="126"/>
      <c r="I306" s="126"/>
      <c r="J306" s="126"/>
      <c r="K306" s="126"/>
      <c r="L306" s="126"/>
      <c r="M306" s="126"/>
      <c r="N306" s="126"/>
      <c r="O306" s="126"/>
      <c r="P306" s="126"/>
      <c r="Q306" s="126"/>
      <c r="R306" s="126"/>
      <c r="S306" s="126"/>
      <c r="T306" s="126"/>
      <c r="U306" s="126"/>
      <c r="V306" s="126"/>
      <c r="W306" s="126"/>
      <c r="X306" s="126"/>
      <c r="Y306" s="126"/>
      <c r="Z306" s="126"/>
      <c r="AA306" s="126"/>
      <c r="AB306" s="126"/>
    </row>
    <row r="307" spans="1:28" ht="13.5" customHeight="1">
      <c r="A307" s="126"/>
      <c r="B307" s="126"/>
      <c r="C307" s="126"/>
      <c r="D307" s="126"/>
      <c r="E307" s="126"/>
      <c r="F307" s="188"/>
      <c r="G307" s="188"/>
      <c r="H307" s="126"/>
      <c r="I307" s="126"/>
      <c r="J307" s="126"/>
      <c r="K307" s="126"/>
      <c r="L307" s="126"/>
      <c r="M307" s="126"/>
      <c r="N307" s="126"/>
      <c r="O307" s="126"/>
      <c r="P307" s="126"/>
      <c r="Q307" s="126"/>
      <c r="R307" s="126"/>
      <c r="S307" s="126"/>
      <c r="T307" s="126"/>
      <c r="U307" s="126"/>
      <c r="V307" s="126"/>
      <c r="W307" s="126"/>
      <c r="X307" s="126"/>
      <c r="Y307" s="126"/>
      <c r="Z307" s="126"/>
      <c r="AA307" s="126"/>
      <c r="AB307" s="126"/>
    </row>
    <row r="308" spans="1:28" ht="13.5" customHeight="1">
      <c r="A308" s="126"/>
      <c r="B308" s="126"/>
      <c r="C308" s="126"/>
      <c r="D308" s="126"/>
      <c r="E308" s="126"/>
      <c r="F308" s="188"/>
      <c r="G308" s="188"/>
      <c r="H308" s="126"/>
      <c r="I308" s="126"/>
      <c r="J308" s="126"/>
      <c r="K308" s="126"/>
      <c r="L308" s="126"/>
      <c r="M308" s="126"/>
      <c r="N308" s="126"/>
      <c r="O308" s="126"/>
      <c r="P308" s="126"/>
      <c r="Q308" s="126"/>
      <c r="R308" s="126"/>
      <c r="S308" s="126"/>
      <c r="T308" s="126"/>
      <c r="U308" s="126"/>
      <c r="V308" s="126"/>
      <c r="W308" s="126"/>
      <c r="X308" s="126"/>
      <c r="Y308" s="126"/>
      <c r="Z308" s="126"/>
      <c r="AA308" s="126"/>
      <c r="AB308" s="126"/>
    </row>
    <row r="309" spans="1:28" ht="13.5" customHeight="1">
      <c r="A309" s="126"/>
      <c r="B309" s="126"/>
      <c r="C309" s="126"/>
      <c r="D309" s="126"/>
      <c r="E309" s="126"/>
      <c r="F309" s="188"/>
      <c r="G309" s="188"/>
      <c r="H309" s="126"/>
      <c r="I309" s="126"/>
      <c r="J309" s="126"/>
      <c r="K309" s="126"/>
      <c r="L309" s="126"/>
      <c r="M309" s="126"/>
      <c r="N309" s="126"/>
      <c r="O309" s="126"/>
      <c r="P309" s="126"/>
      <c r="Q309" s="126"/>
      <c r="R309" s="126"/>
      <c r="S309" s="126"/>
      <c r="T309" s="126"/>
      <c r="U309" s="126"/>
      <c r="V309" s="126"/>
      <c r="W309" s="126"/>
      <c r="X309" s="126"/>
      <c r="Y309" s="126"/>
      <c r="Z309" s="126"/>
      <c r="AA309" s="126"/>
      <c r="AB309" s="126"/>
    </row>
    <row r="310" spans="1:28" ht="13.5" customHeight="1">
      <c r="A310" s="126"/>
      <c r="B310" s="126"/>
      <c r="C310" s="126"/>
      <c r="D310" s="126"/>
      <c r="E310" s="126"/>
      <c r="F310" s="188"/>
      <c r="G310" s="188"/>
      <c r="H310" s="126"/>
      <c r="I310" s="126"/>
      <c r="J310" s="126"/>
      <c r="K310" s="126"/>
      <c r="L310" s="126"/>
      <c r="M310" s="126"/>
      <c r="N310" s="126"/>
      <c r="O310" s="126"/>
      <c r="P310" s="126"/>
      <c r="Q310" s="126"/>
      <c r="R310" s="126"/>
      <c r="S310" s="126"/>
      <c r="T310" s="126"/>
      <c r="U310" s="126"/>
      <c r="V310" s="126"/>
      <c r="W310" s="126"/>
      <c r="X310" s="126"/>
      <c r="Y310" s="126"/>
      <c r="Z310" s="126"/>
      <c r="AA310" s="126"/>
      <c r="AB310" s="126"/>
    </row>
    <row r="311" spans="1:28" ht="13.5" customHeight="1">
      <c r="A311" s="126"/>
      <c r="B311" s="126"/>
      <c r="C311" s="126"/>
      <c r="D311" s="126"/>
      <c r="E311" s="126"/>
      <c r="F311" s="188"/>
      <c r="G311" s="188"/>
      <c r="H311" s="126"/>
      <c r="I311" s="126"/>
      <c r="J311" s="126"/>
      <c r="K311" s="126"/>
      <c r="L311" s="126"/>
      <c r="M311" s="126"/>
      <c r="N311" s="126"/>
      <c r="O311" s="126"/>
      <c r="P311" s="126"/>
      <c r="Q311" s="126"/>
      <c r="R311" s="126"/>
      <c r="S311" s="126"/>
      <c r="T311" s="126"/>
      <c r="U311" s="126"/>
      <c r="V311" s="126"/>
      <c r="W311" s="126"/>
      <c r="X311" s="126"/>
      <c r="Y311" s="126"/>
      <c r="Z311" s="126"/>
      <c r="AA311" s="126"/>
      <c r="AB311" s="126"/>
    </row>
    <row r="312" spans="1:28" ht="13.5" customHeight="1">
      <c r="A312" s="126"/>
      <c r="B312" s="126"/>
      <c r="C312" s="126"/>
      <c r="D312" s="126"/>
      <c r="E312" s="126"/>
      <c r="F312" s="188"/>
      <c r="G312" s="188"/>
      <c r="H312" s="126"/>
      <c r="I312" s="126"/>
      <c r="J312" s="126"/>
      <c r="K312" s="126"/>
      <c r="L312" s="126"/>
      <c r="M312" s="126"/>
      <c r="N312" s="126"/>
      <c r="O312" s="126"/>
      <c r="P312" s="126"/>
      <c r="Q312" s="126"/>
      <c r="R312" s="126"/>
      <c r="S312" s="126"/>
      <c r="T312" s="126"/>
      <c r="U312" s="126"/>
      <c r="V312" s="126"/>
      <c r="W312" s="126"/>
      <c r="X312" s="126"/>
      <c r="Y312" s="126"/>
      <c r="Z312" s="126"/>
      <c r="AA312" s="126"/>
      <c r="AB312" s="126"/>
    </row>
    <row r="313" spans="1:28" ht="13.5" customHeight="1">
      <c r="A313" s="126"/>
      <c r="B313" s="126"/>
      <c r="C313" s="126"/>
      <c r="D313" s="126"/>
      <c r="E313" s="126"/>
      <c r="F313" s="188"/>
      <c r="G313" s="188"/>
      <c r="H313" s="126"/>
      <c r="I313" s="126"/>
      <c r="J313" s="126"/>
      <c r="K313" s="126"/>
      <c r="L313" s="126"/>
      <c r="M313" s="126"/>
      <c r="N313" s="126"/>
      <c r="O313" s="126"/>
      <c r="P313" s="126"/>
      <c r="Q313" s="126"/>
      <c r="R313" s="126"/>
      <c r="S313" s="126"/>
      <c r="T313" s="126"/>
      <c r="U313" s="126"/>
      <c r="V313" s="126"/>
      <c r="W313" s="126"/>
      <c r="X313" s="126"/>
      <c r="Y313" s="126"/>
      <c r="Z313" s="126"/>
      <c r="AA313" s="126"/>
      <c r="AB313" s="126"/>
    </row>
    <row r="314" spans="1:28" ht="13.5" customHeight="1">
      <c r="A314" s="126"/>
      <c r="B314" s="126"/>
      <c r="C314" s="126"/>
      <c r="D314" s="126"/>
      <c r="E314" s="126"/>
      <c r="F314" s="188"/>
      <c r="G314" s="188"/>
      <c r="H314" s="126"/>
      <c r="I314" s="126"/>
      <c r="J314" s="126"/>
      <c r="K314" s="126"/>
      <c r="L314" s="126"/>
      <c r="M314" s="126"/>
      <c r="N314" s="126"/>
      <c r="O314" s="126"/>
      <c r="P314" s="126"/>
      <c r="Q314" s="126"/>
      <c r="R314" s="126"/>
      <c r="S314" s="126"/>
      <c r="T314" s="126"/>
      <c r="U314" s="126"/>
      <c r="V314" s="126"/>
      <c r="W314" s="126"/>
      <c r="X314" s="126"/>
      <c r="Y314" s="126"/>
      <c r="Z314" s="126"/>
      <c r="AA314" s="126"/>
      <c r="AB314" s="126"/>
    </row>
    <row r="315" spans="1:28" ht="13.5" customHeight="1">
      <c r="A315" s="126"/>
      <c r="B315" s="126"/>
      <c r="C315" s="126"/>
      <c r="D315" s="126"/>
      <c r="E315" s="126"/>
      <c r="F315" s="188"/>
      <c r="G315" s="188"/>
      <c r="H315" s="126"/>
      <c r="I315" s="126"/>
      <c r="J315" s="126"/>
      <c r="K315" s="126"/>
      <c r="L315" s="126"/>
      <c r="M315" s="126"/>
      <c r="N315" s="126"/>
      <c r="O315" s="126"/>
      <c r="P315" s="126"/>
      <c r="Q315" s="126"/>
      <c r="R315" s="126"/>
      <c r="S315" s="126"/>
      <c r="T315" s="126"/>
      <c r="U315" s="126"/>
      <c r="V315" s="126"/>
      <c r="W315" s="126"/>
      <c r="X315" s="126"/>
      <c r="Y315" s="126"/>
      <c r="Z315" s="126"/>
      <c r="AA315" s="126"/>
      <c r="AB315" s="126"/>
    </row>
    <row r="316" spans="1:28" ht="13.5" customHeight="1">
      <c r="A316" s="126"/>
      <c r="B316" s="126"/>
      <c r="C316" s="126"/>
      <c r="D316" s="126"/>
      <c r="E316" s="126"/>
      <c r="F316" s="188"/>
      <c r="G316" s="188"/>
      <c r="H316" s="126"/>
      <c r="I316" s="126"/>
      <c r="J316" s="126"/>
      <c r="K316" s="126"/>
      <c r="L316" s="126"/>
      <c r="M316" s="126"/>
      <c r="N316" s="126"/>
      <c r="O316" s="126"/>
      <c r="P316" s="126"/>
      <c r="Q316" s="126"/>
      <c r="R316" s="126"/>
      <c r="S316" s="126"/>
      <c r="T316" s="126"/>
      <c r="U316" s="126"/>
      <c r="V316" s="126"/>
      <c r="W316" s="126"/>
      <c r="X316" s="126"/>
      <c r="Y316" s="126"/>
      <c r="Z316" s="126"/>
      <c r="AA316" s="126"/>
      <c r="AB316" s="126"/>
    </row>
    <row r="317" spans="1:28" ht="13.5" customHeight="1">
      <c r="A317" s="126"/>
      <c r="B317" s="126"/>
      <c r="C317" s="126"/>
      <c r="D317" s="126"/>
      <c r="E317" s="126"/>
      <c r="F317" s="188"/>
      <c r="G317" s="188"/>
      <c r="H317" s="126"/>
      <c r="I317" s="126"/>
      <c r="J317" s="126"/>
      <c r="K317" s="126"/>
      <c r="L317" s="126"/>
      <c r="M317" s="126"/>
      <c r="N317" s="126"/>
      <c r="O317" s="126"/>
      <c r="P317" s="126"/>
      <c r="Q317" s="126"/>
      <c r="R317" s="126"/>
      <c r="S317" s="126"/>
      <c r="T317" s="126"/>
      <c r="U317" s="126"/>
      <c r="V317" s="126"/>
      <c r="W317" s="126"/>
      <c r="X317" s="126"/>
      <c r="Y317" s="126"/>
      <c r="Z317" s="126"/>
      <c r="AA317" s="126"/>
      <c r="AB317" s="126"/>
    </row>
    <row r="318" spans="1:28" ht="13.5" customHeight="1">
      <c r="A318" s="126"/>
      <c r="B318" s="126"/>
      <c r="C318" s="126"/>
      <c r="D318" s="126"/>
      <c r="E318" s="126"/>
      <c r="F318" s="188"/>
      <c r="G318" s="188"/>
      <c r="H318" s="126"/>
      <c r="I318" s="126"/>
      <c r="J318" s="126"/>
      <c r="K318" s="126"/>
      <c r="L318" s="126"/>
      <c r="M318" s="126"/>
      <c r="N318" s="126"/>
      <c r="O318" s="126"/>
      <c r="P318" s="126"/>
      <c r="Q318" s="126"/>
      <c r="R318" s="126"/>
      <c r="S318" s="126"/>
      <c r="T318" s="126"/>
      <c r="U318" s="126"/>
      <c r="V318" s="126"/>
      <c r="W318" s="126"/>
      <c r="X318" s="126"/>
      <c r="Y318" s="126"/>
      <c r="Z318" s="126"/>
      <c r="AA318" s="126"/>
      <c r="AB318" s="126"/>
    </row>
    <row r="319" spans="1:28" ht="13.5" customHeight="1">
      <c r="A319" s="126"/>
      <c r="B319" s="126"/>
      <c r="C319" s="126"/>
      <c r="D319" s="126"/>
      <c r="E319" s="126"/>
      <c r="F319" s="188"/>
      <c r="G319" s="188"/>
      <c r="H319" s="126"/>
      <c r="I319" s="126"/>
      <c r="J319" s="126"/>
      <c r="K319" s="126"/>
      <c r="L319" s="126"/>
      <c r="M319" s="126"/>
      <c r="N319" s="126"/>
      <c r="O319" s="126"/>
      <c r="P319" s="126"/>
      <c r="Q319" s="126"/>
      <c r="R319" s="126"/>
      <c r="S319" s="126"/>
      <c r="T319" s="126"/>
      <c r="U319" s="126"/>
      <c r="V319" s="126"/>
      <c r="W319" s="126"/>
      <c r="X319" s="126"/>
      <c r="Y319" s="126"/>
      <c r="Z319" s="126"/>
      <c r="AA319" s="126"/>
      <c r="AB319" s="126"/>
    </row>
    <row r="320" spans="1:28" ht="13.5" customHeight="1">
      <c r="A320" s="126"/>
      <c r="B320" s="126"/>
      <c r="C320" s="126"/>
      <c r="D320" s="126"/>
      <c r="E320" s="126"/>
      <c r="F320" s="188"/>
      <c r="G320" s="188"/>
      <c r="H320" s="126"/>
      <c r="I320" s="126"/>
      <c r="J320" s="126"/>
      <c r="K320" s="126"/>
      <c r="L320" s="126"/>
      <c r="M320" s="126"/>
      <c r="N320" s="126"/>
      <c r="O320" s="126"/>
      <c r="P320" s="126"/>
      <c r="Q320" s="126"/>
      <c r="R320" s="126"/>
      <c r="S320" s="126"/>
      <c r="T320" s="126"/>
      <c r="U320" s="126"/>
      <c r="V320" s="126"/>
      <c r="W320" s="126"/>
      <c r="X320" s="126"/>
      <c r="Y320" s="126"/>
      <c r="Z320" s="126"/>
      <c r="AA320" s="126"/>
      <c r="AB320" s="126"/>
    </row>
    <row r="321" spans="1:28" ht="13.5" customHeight="1">
      <c r="A321" s="126"/>
      <c r="B321" s="126"/>
      <c r="C321" s="126"/>
      <c r="D321" s="126"/>
      <c r="E321" s="126"/>
      <c r="F321" s="188"/>
      <c r="G321" s="188"/>
      <c r="H321" s="126"/>
      <c r="I321" s="126"/>
      <c r="J321" s="126"/>
      <c r="K321" s="126"/>
      <c r="L321" s="126"/>
      <c r="M321" s="126"/>
      <c r="N321" s="126"/>
      <c r="O321" s="126"/>
      <c r="P321" s="126"/>
      <c r="Q321" s="126"/>
      <c r="R321" s="126"/>
      <c r="S321" s="126"/>
      <c r="T321" s="126"/>
      <c r="U321" s="126"/>
      <c r="V321" s="126"/>
      <c r="W321" s="126"/>
      <c r="X321" s="126"/>
      <c r="Y321" s="126"/>
      <c r="Z321" s="126"/>
      <c r="AA321" s="126"/>
      <c r="AB321" s="126"/>
    </row>
    <row r="322" spans="1:28" ht="13.5" customHeight="1">
      <c r="A322" s="126"/>
      <c r="B322" s="126"/>
      <c r="C322" s="126"/>
      <c r="D322" s="126"/>
      <c r="E322" s="126"/>
      <c r="F322" s="188"/>
      <c r="G322" s="188"/>
      <c r="H322" s="126"/>
      <c r="I322" s="126"/>
      <c r="J322" s="126"/>
      <c r="K322" s="126"/>
      <c r="L322" s="126"/>
      <c r="M322" s="126"/>
      <c r="N322" s="126"/>
      <c r="O322" s="126"/>
      <c r="P322" s="126"/>
      <c r="Q322" s="126"/>
      <c r="R322" s="126"/>
      <c r="S322" s="126"/>
      <c r="T322" s="126"/>
      <c r="U322" s="126"/>
      <c r="V322" s="126"/>
      <c r="W322" s="126"/>
      <c r="X322" s="126"/>
      <c r="Y322" s="126"/>
      <c r="Z322" s="126"/>
      <c r="AA322" s="126"/>
      <c r="AB322" s="126"/>
    </row>
    <row r="323" spans="1:28" ht="13.5" customHeight="1">
      <c r="A323" s="126"/>
      <c r="B323" s="126"/>
      <c r="C323" s="126"/>
      <c r="D323" s="126"/>
      <c r="E323" s="126"/>
      <c r="F323" s="188"/>
      <c r="G323" s="188"/>
      <c r="H323" s="126"/>
      <c r="I323" s="126"/>
      <c r="J323" s="126"/>
      <c r="K323" s="126"/>
      <c r="L323" s="126"/>
      <c r="M323" s="126"/>
      <c r="N323" s="126"/>
      <c r="O323" s="126"/>
      <c r="P323" s="126"/>
      <c r="Q323" s="126"/>
      <c r="R323" s="126"/>
      <c r="S323" s="126"/>
      <c r="T323" s="126"/>
      <c r="U323" s="126"/>
      <c r="V323" s="126"/>
      <c r="W323" s="126"/>
      <c r="X323" s="126"/>
      <c r="Y323" s="126"/>
      <c r="Z323" s="126"/>
      <c r="AA323" s="126"/>
      <c r="AB323" s="126"/>
    </row>
    <row r="324" spans="1:28" ht="13.5" customHeight="1">
      <c r="A324" s="126"/>
      <c r="B324" s="126"/>
      <c r="C324" s="126"/>
      <c r="D324" s="126"/>
      <c r="E324" s="126"/>
      <c r="F324" s="188"/>
      <c r="G324" s="188"/>
      <c r="H324" s="126"/>
      <c r="I324" s="126"/>
      <c r="J324" s="126"/>
      <c r="K324" s="126"/>
      <c r="L324" s="126"/>
      <c r="M324" s="126"/>
      <c r="N324" s="126"/>
      <c r="O324" s="126"/>
      <c r="P324" s="126"/>
      <c r="Q324" s="126"/>
      <c r="R324" s="126"/>
      <c r="S324" s="126"/>
      <c r="T324" s="126"/>
      <c r="U324" s="126"/>
      <c r="V324" s="126"/>
      <c r="W324" s="126"/>
      <c r="X324" s="126"/>
      <c r="Y324" s="126"/>
      <c r="Z324" s="126"/>
      <c r="AA324" s="126"/>
      <c r="AB324" s="126"/>
    </row>
    <row r="325" spans="1:28" ht="13.5" customHeight="1">
      <c r="A325" s="126"/>
      <c r="B325" s="126"/>
      <c r="C325" s="126"/>
      <c r="D325" s="126"/>
      <c r="E325" s="126"/>
      <c r="F325" s="188"/>
      <c r="G325" s="188"/>
      <c r="H325" s="126"/>
      <c r="I325" s="126"/>
      <c r="J325" s="126"/>
      <c r="K325" s="126"/>
      <c r="L325" s="126"/>
      <c r="M325" s="126"/>
      <c r="N325" s="126"/>
      <c r="O325" s="126"/>
      <c r="P325" s="126"/>
      <c r="Q325" s="126"/>
      <c r="R325" s="126"/>
      <c r="S325" s="126"/>
      <c r="T325" s="126"/>
      <c r="U325" s="126"/>
      <c r="V325" s="126"/>
      <c r="W325" s="126"/>
      <c r="X325" s="126"/>
      <c r="Y325" s="126"/>
      <c r="Z325" s="126"/>
      <c r="AA325" s="126"/>
      <c r="AB325" s="126"/>
    </row>
    <row r="326" spans="1:28" ht="13.5" customHeight="1">
      <c r="A326" s="126"/>
      <c r="B326" s="126"/>
      <c r="C326" s="126"/>
      <c r="D326" s="126"/>
      <c r="E326" s="126"/>
      <c r="F326" s="188"/>
      <c r="G326" s="188"/>
      <c r="H326" s="126"/>
      <c r="I326" s="126"/>
      <c r="J326" s="126"/>
      <c r="K326" s="126"/>
      <c r="L326" s="126"/>
      <c r="M326" s="126"/>
      <c r="N326" s="126"/>
      <c r="O326" s="126"/>
      <c r="P326" s="126"/>
      <c r="Q326" s="126"/>
      <c r="R326" s="126"/>
      <c r="S326" s="126"/>
      <c r="T326" s="126"/>
      <c r="U326" s="126"/>
      <c r="V326" s="126"/>
      <c r="W326" s="126"/>
      <c r="X326" s="126"/>
      <c r="Y326" s="126"/>
      <c r="Z326" s="126"/>
      <c r="AA326" s="126"/>
      <c r="AB326" s="126"/>
    </row>
    <row r="327" spans="1:28" ht="13.5" customHeight="1">
      <c r="A327" s="126"/>
      <c r="B327" s="126"/>
      <c r="C327" s="126"/>
      <c r="D327" s="126"/>
      <c r="E327" s="126"/>
      <c r="F327" s="188"/>
      <c r="G327" s="188"/>
      <c r="H327" s="126"/>
      <c r="I327" s="126"/>
      <c r="J327" s="126"/>
      <c r="K327" s="126"/>
      <c r="L327" s="126"/>
      <c r="M327" s="126"/>
      <c r="N327" s="126"/>
      <c r="O327" s="126"/>
      <c r="P327" s="126"/>
      <c r="Q327" s="126"/>
      <c r="R327" s="126"/>
      <c r="S327" s="126"/>
      <c r="T327" s="126"/>
      <c r="U327" s="126"/>
      <c r="V327" s="126"/>
      <c r="W327" s="126"/>
      <c r="X327" s="126"/>
      <c r="Y327" s="126"/>
      <c r="Z327" s="126"/>
      <c r="AA327" s="126"/>
      <c r="AB327" s="126"/>
    </row>
    <row r="328" spans="1:28" ht="13.5" customHeight="1">
      <c r="A328" s="126"/>
      <c r="B328" s="126"/>
      <c r="C328" s="126"/>
      <c r="D328" s="126"/>
      <c r="E328" s="126"/>
      <c r="F328" s="188"/>
      <c r="G328" s="188"/>
      <c r="H328" s="126"/>
      <c r="I328" s="126"/>
      <c r="J328" s="126"/>
      <c r="K328" s="126"/>
      <c r="L328" s="126"/>
      <c r="M328" s="126"/>
      <c r="N328" s="126"/>
      <c r="O328" s="126"/>
      <c r="P328" s="126"/>
      <c r="Q328" s="126"/>
      <c r="R328" s="126"/>
      <c r="S328" s="126"/>
      <c r="T328" s="126"/>
      <c r="U328" s="126"/>
      <c r="V328" s="126"/>
      <c r="W328" s="126"/>
      <c r="X328" s="126"/>
      <c r="Y328" s="126"/>
      <c r="Z328" s="126"/>
      <c r="AA328" s="126"/>
      <c r="AB328" s="126"/>
    </row>
    <row r="329" spans="1:28" ht="13.5" customHeight="1">
      <c r="A329" s="126"/>
      <c r="B329" s="126"/>
      <c r="C329" s="126"/>
      <c r="D329" s="126"/>
      <c r="E329" s="126"/>
      <c r="F329" s="188"/>
      <c r="G329" s="188"/>
      <c r="H329" s="126"/>
      <c r="I329" s="126"/>
      <c r="J329" s="126"/>
      <c r="K329" s="126"/>
      <c r="L329" s="126"/>
      <c r="M329" s="126"/>
      <c r="N329" s="126"/>
      <c r="O329" s="126"/>
      <c r="P329" s="126"/>
      <c r="Q329" s="126"/>
      <c r="R329" s="126"/>
      <c r="S329" s="126"/>
      <c r="T329" s="126"/>
      <c r="U329" s="126"/>
      <c r="V329" s="126"/>
      <c r="W329" s="126"/>
      <c r="X329" s="126"/>
      <c r="Y329" s="126"/>
      <c r="Z329" s="126"/>
      <c r="AA329" s="126"/>
      <c r="AB329" s="126"/>
    </row>
    <row r="330" spans="1:28" ht="13.5" customHeight="1">
      <c r="A330" s="126"/>
      <c r="B330" s="126"/>
      <c r="C330" s="126"/>
      <c r="D330" s="126"/>
      <c r="E330" s="126"/>
      <c r="F330" s="188"/>
      <c r="G330" s="188"/>
      <c r="H330" s="126"/>
      <c r="I330" s="126"/>
      <c r="J330" s="126"/>
      <c r="K330" s="126"/>
      <c r="L330" s="126"/>
      <c r="M330" s="126"/>
      <c r="N330" s="126"/>
      <c r="O330" s="126"/>
      <c r="P330" s="126"/>
      <c r="Q330" s="126"/>
      <c r="R330" s="126"/>
      <c r="S330" s="126"/>
      <c r="T330" s="126"/>
      <c r="U330" s="126"/>
      <c r="V330" s="126"/>
      <c r="W330" s="126"/>
      <c r="X330" s="126"/>
      <c r="Y330" s="126"/>
      <c r="Z330" s="126"/>
      <c r="AA330" s="126"/>
      <c r="AB330" s="126"/>
    </row>
    <row r="331" spans="1:28" ht="13.5" customHeight="1">
      <c r="A331" s="126"/>
      <c r="B331" s="126"/>
      <c r="C331" s="126"/>
      <c r="D331" s="126"/>
      <c r="E331" s="126"/>
      <c r="F331" s="188"/>
      <c r="G331" s="188"/>
      <c r="H331" s="126"/>
      <c r="I331" s="126"/>
      <c r="J331" s="126"/>
      <c r="K331" s="126"/>
      <c r="L331" s="126"/>
      <c r="M331" s="126"/>
      <c r="N331" s="126"/>
      <c r="O331" s="126"/>
      <c r="P331" s="126"/>
      <c r="Q331" s="126"/>
      <c r="R331" s="126"/>
      <c r="S331" s="126"/>
      <c r="T331" s="126"/>
      <c r="U331" s="126"/>
      <c r="V331" s="126"/>
      <c r="W331" s="126"/>
      <c r="X331" s="126"/>
      <c r="Y331" s="126"/>
      <c r="Z331" s="126"/>
      <c r="AA331" s="126"/>
      <c r="AB331" s="126"/>
    </row>
    <row r="332" spans="1:28" ht="13.5" customHeight="1">
      <c r="A332" s="126"/>
      <c r="B332" s="126"/>
      <c r="C332" s="126"/>
      <c r="D332" s="126"/>
      <c r="E332" s="126"/>
      <c r="F332" s="188"/>
      <c r="G332" s="188"/>
      <c r="H332" s="126"/>
      <c r="I332" s="126"/>
      <c r="J332" s="126"/>
      <c r="K332" s="126"/>
      <c r="L332" s="126"/>
      <c r="M332" s="126"/>
      <c r="N332" s="126"/>
      <c r="O332" s="126"/>
      <c r="P332" s="126"/>
      <c r="Q332" s="126"/>
      <c r="R332" s="126"/>
      <c r="S332" s="126"/>
      <c r="T332" s="126"/>
      <c r="U332" s="126"/>
      <c r="V332" s="126"/>
      <c r="W332" s="126"/>
      <c r="X332" s="126"/>
      <c r="Y332" s="126"/>
      <c r="Z332" s="126"/>
      <c r="AA332" s="126"/>
      <c r="AB332" s="126"/>
    </row>
    <row r="333" spans="1:28" ht="13.5" customHeight="1">
      <c r="A333" s="126"/>
      <c r="B333" s="126"/>
      <c r="C333" s="126"/>
      <c r="D333" s="126"/>
      <c r="E333" s="126"/>
      <c r="F333" s="188"/>
      <c r="G333" s="188"/>
      <c r="H333" s="126"/>
      <c r="I333" s="126"/>
      <c r="J333" s="126"/>
      <c r="K333" s="126"/>
      <c r="L333" s="126"/>
      <c r="M333" s="126"/>
      <c r="N333" s="126"/>
      <c r="O333" s="126"/>
      <c r="P333" s="126"/>
      <c r="Q333" s="126"/>
      <c r="R333" s="126"/>
      <c r="S333" s="126"/>
      <c r="T333" s="126"/>
      <c r="U333" s="126"/>
      <c r="V333" s="126"/>
      <c r="W333" s="126"/>
      <c r="X333" s="126"/>
      <c r="Y333" s="126"/>
      <c r="Z333" s="126"/>
      <c r="AA333" s="126"/>
      <c r="AB333" s="126"/>
    </row>
    <row r="334" spans="1:28" ht="13.5" customHeight="1">
      <c r="A334" s="126"/>
      <c r="B334" s="126"/>
      <c r="C334" s="126"/>
      <c r="D334" s="126"/>
      <c r="E334" s="126"/>
      <c r="F334" s="188"/>
      <c r="G334" s="188"/>
      <c r="H334" s="126"/>
      <c r="I334" s="126"/>
      <c r="J334" s="126"/>
      <c r="K334" s="126"/>
      <c r="L334" s="126"/>
      <c r="M334" s="126"/>
      <c r="N334" s="126"/>
      <c r="O334" s="126"/>
      <c r="P334" s="126"/>
      <c r="Q334" s="126"/>
      <c r="R334" s="126"/>
      <c r="S334" s="126"/>
      <c r="T334" s="126"/>
      <c r="U334" s="126"/>
      <c r="V334" s="126"/>
      <c r="W334" s="126"/>
      <c r="X334" s="126"/>
      <c r="Y334" s="126"/>
      <c r="Z334" s="126"/>
      <c r="AA334" s="126"/>
      <c r="AB334" s="126"/>
    </row>
    <row r="335" spans="1:28" ht="13.5" customHeight="1">
      <c r="A335" s="126"/>
      <c r="B335" s="126"/>
      <c r="C335" s="126"/>
      <c r="D335" s="126"/>
      <c r="E335" s="126"/>
      <c r="F335" s="188"/>
      <c r="G335" s="188"/>
      <c r="H335" s="126"/>
      <c r="I335" s="126"/>
      <c r="J335" s="126"/>
      <c r="K335" s="126"/>
      <c r="L335" s="126"/>
      <c r="M335" s="126"/>
      <c r="N335" s="126"/>
      <c r="O335" s="126"/>
      <c r="P335" s="126"/>
      <c r="Q335" s="126"/>
      <c r="R335" s="126"/>
      <c r="S335" s="126"/>
      <c r="T335" s="126"/>
      <c r="U335" s="126"/>
      <c r="V335" s="126"/>
      <c r="W335" s="126"/>
      <c r="X335" s="126"/>
      <c r="Y335" s="126"/>
      <c r="Z335" s="126"/>
      <c r="AA335" s="126"/>
      <c r="AB335" s="126"/>
    </row>
    <row r="336" spans="1:28" ht="13.5" customHeight="1">
      <c r="A336" s="126"/>
      <c r="B336" s="126"/>
      <c r="C336" s="126"/>
      <c r="D336" s="126"/>
      <c r="E336" s="126"/>
      <c r="F336" s="188"/>
      <c r="G336" s="188"/>
      <c r="H336" s="126"/>
      <c r="I336" s="126"/>
      <c r="J336" s="126"/>
      <c r="K336" s="126"/>
      <c r="L336" s="126"/>
      <c r="M336" s="126"/>
      <c r="N336" s="126"/>
      <c r="O336" s="126"/>
      <c r="P336" s="126"/>
      <c r="Q336" s="126"/>
      <c r="R336" s="126"/>
      <c r="S336" s="126"/>
      <c r="T336" s="126"/>
      <c r="U336" s="126"/>
      <c r="V336" s="126"/>
      <c r="W336" s="126"/>
      <c r="X336" s="126"/>
      <c r="Y336" s="126"/>
      <c r="Z336" s="126"/>
      <c r="AA336" s="126"/>
      <c r="AB336" s="126"/>
    </row>
    <row r="337" spans="1:28" ht="13.5" customHeight="1">
      <c r="A337" s="126"/>
      <c r="B337" s="126"/>
      <c r="C337" s="126"/>
      <c r="D337" s="126"/>
      <c r="E337" s="126"/>
      <c r="F337" s="188"/>
      <c r="G337" s="188"/>
      <c r="H337" s="126"/>
      <c r="I337" s="126"/>
      <c r="J337" s="126"/>
      <c r="K337" s="126"/>
      <c r="L337" s="126"/>
      <c r="M337" s="126"/>
      <c r="N337" s="126"/>
      <c r="O337" s="126"/>
      <c r="P337" s="126"/>
      <c r="Q337" s="126"/>
      <c r="R337" s="126"/>
      <c r="S337" s="126"/>
      <c r="T337" s="126"/>
      <c r="U337" s="126"/>
      <c r="V337" s="126"/>
      <c r="W337" s="126"/>
      <c r="X337" s="126"/>
      <c r="Y337" s="126"/>
      <c r="Z337" s="126"/>
      <c r="AA337" s="126"/>
      <c r="AB337" s="126"/>
    </row>
    <row r="338" spans="1:28" ht="13.5" customHeight="1">
      <c r="A338" s="126"/>
      <c r="B338" s="126"/>
      <c r="C338" s="126"/>
      <c r="D338" s="126"/>
      <c r="E338" s="126"/>
      <c r="F338" s="188"/>
      <c r="G338" s="188"/>
      <c r="H338" s="126"/>
      <c r="I338" s="126"/>
      <c r="J338" s="126"/>
      <c r="K338" s="126"/>
      <c r="L338" s="126"/>
      <c r="M338" s="126"/>
      <c r="N338" s="126"/>
      <c r="O338" s="126"/>
      <c r="P338" s="126"/>
      <c r="Q338" s="126"/>
      <c r="R338" s="126"/>
      <c r="S338" s="126"/>
      <c r="T338" s="126"/>
      <c r="U338" s="126"/>
      <c r="V338" s="126"/>
      <c r="W338" s="126"/>
      <c r="X338" s="126"/>
      <c r="Y338" s="126"/>
      <c r="Z338" s="126"/>
      <c r="AA338" s="126"/>
      <c r="AB338" s="126"/>
    </row>
    <row r="339" spans="1:28" ht="13.5" customHeight="1">
      <c r="A339" s="126"/>
      <c r="B339" s="126"/>
      <c r="C339" s="126"/>
      <c r="D339" s="126"/>
      <c r="E339" s="126"/>
      <c r="F339" s="188"/>
      <c r="G339" s="188"/>
      <c r="H339" s="126"/>
      <c r="I339" s="126"/>
      <c r="J339" s="126"/>
      <c r="K339" s="126"/>
      <c r="L339" s="126"/>
      <c r="M339" s="126"/>
      <c r="N339" s="126"/>
      <c r="O339" s="126"/>
      <c r="P339" s="126"/>
      <c r="Q339" s="126"/>
      <c r="R339" s="126"/>
      <c r="S339" s="126"/>
      <c r="T339" s="126"/>
      <c r="U339" s="126"/>
      <c r="V339" s="126"/>
      <c r="W339" s="126"/>
      <c r="X339" s="126"/>
      <c r="Y339" s="126"/>
      <c r="Z339" s="126"/>
      <c r="AA339" s="126"/>
      <c r="AB339" s="126"/>
    </row>
    <row r="340" spans="1:28" ht="13.5" customHeight="1">
      <c r="A340" s="126"/>
      <c r="B340" s="126"/>
      <c r="C340" s="126"/>
      <c r="D340" s="126"/>
      <c r="E340" s="126"/>
      <c r="F340" s="188"/>
      <c r="G340" s="188"/>
      <c r="H340" s="126"/>
      <c r="I340" s="126"/>
      <c r="J340" s="126"/>
      <c r="K340" s="126"/>
      <c r="L340" s="126"/>
      <c r="M340" s="126"/>
      <c r="N340" s="126"/>
      <c r="O340" s="126"/>
      <c r="P340" s="126"/>
      <c r="Q340" s="126"/>
      <c r="R340" s="126"/>
      <c r="S340" s="126"/>
      <c r="T340" s="126"/>
      <c r="U340" s="126"/>
      <c r="V340" s="126"/>
      <c r="W340" s="126"/>
      <c r="X340" s="126"/>
      <c r="Y340" s="126"/>
      <c r="Z340" s="126"/>
      <c r="AA340" s="126"/>
      <c r="AB340" s="126"/>
    </row>
    <row r="341" spans="1:28" ht="13.5" customHeight="1">
      <c r="A341" s="126"/>
      <c r="B341" s="126"/>
      <c r="C341" s="126"/>
      <c r="D341" s="126"/>
      <c r="E341" s="126"/>
      <c r="F341" s="188"/>
      <c r="G341" s="188"/>
      <c r="H341" s="126"/>
      <c r="I341" s="126"/>
      <c r="J341" s="126"/>
      <c r="K341" s="126"/>
      <c r="L341" s="126"/>
      <c r="M341" s="126"/>
      <c r="N341" s="126"/>
      <c r="O341" s="126"/>
      <c r="P341" s="126"/>
      <c r="Q341" s="126"/>
      <c r="R341" s="126"/>
      <c r="S341" s="126"/>
      <c r="T341" s="126"/>
      <c r="U341" s="126"/>
      <c r="V341" s="126"/>
      <c r="W341" s="126"/>
      <c r="X341" s="126"/>
      <c r="Y341" s="126"/>
      <c r="Z341" s="126"/>
      <c r="AA341" s="126"/>
      <c r="AB341" s="126"/>
    </row>
    <row r="342" spans="1:28" ht="13.5" customHeight="1">
      <c r="A342" s="126"/>
      <c r="B342" s="126"/>
      <c r="C342" s="126"/>
      <c r="D342" s="126"/>
      <c r="E342" s="126"/>
      <c r="F342" s="188"/>
      <c r="G342" s="188"/>
      <c r="H342" s="126"/>
      <c r="I342" s="126"/>
      <c r="J342" s="126"/>
      <c r="K342" s="126"/>
      <c r="L342" s="126"/>
      <c r="M342" s="126"/>
      <c r="N342" s="126"/>
      <c r="O342" s="126"/>
      <c r="P342" s="126"/>
      <c r="Q342" s="126"/>
      <c r="R342" s="126"/>
      <c r="S342" s="126"/>
      <c r="T342" s="126"/>
      <c r="U342" s="126"/>
      <c r="V342" s="126"/>
      <c r="W342" s="126"/>
      <c r="X342" s="126"/>
      <c r="Y342" s="126"/>
      <c r="Z342" s="126"/>
      <c r="AA342" s="126"/>
      <c r="AB342" s="126"/>
    </row>
    <row r="343" spans="1:28" ht="13.5" customHeight="1">
      <c r="A343" s="126"/>
      <c r="B343" s="126"/>
      <c r="C343" s="126"/>
      <c r="D343" s="126"/>
      <c r="E343" s="126"/>
      <c r="F343" s="188"/>
      <c r="G343" s="188"/>
      <c r="H343" s="126"/>
      <c r="I343" s="126"/>
      <c r="J343" s="126"/>
      <c r="K343" s="126"/>
      <c r="L343" s="126"/>
      <c r="M343" s="126"/>
      <c r="N343" s="126"/>
      <c r="O343" s="126"/>
      <c r="P343" s="126"/>
      <c r="Q343" s="126"/>
      <c r="R343" s="126"/>
      <c r="S343" s="126"/>
      <c r="T343" s="126"/>
      <c r="U343" s="126"/>
      <c r="V343" s="126"/>
      <c r="W343" s="126"/>
      <c r="X343" s="126"/>
      <c r="Y343" s="126"/>
      <c r="Z343" s="126"/>
      <c r="AA343" s="126"/>
      <c r="AB343" s="126"/>
    </row>
    <row r="344" spans="1:28" ht="13.5" customHeight="1">
      <c r="A344" s="126"/>
      <c r="B344" s="126"/>
      <c r="C344" s="126"/>
      <c r="D344" s="126"/>
      <c r="E344" s="126"/>
      <c r="F344" s="188"/>
      <c r="G344" s="188"/>
      <c r="H344" s="126"/>
      <c r="I344" s="126"/>
      <c r="J344" s="126"/>
      <c r="K344" s="126"/>
      <c r="L344" s="126"/>
      <c r="M344" s="126"/>
      <c r="N344" s="126"/>
      <c r="O344" s="126"/>
      <c r="P344" s="126"/>
      <c r="Q344" s="126"/>
      <c r="R344" s="126"/>
      <c r="S344" s="126"/>
      <c r="T344" s="126"/>
      <c r="U344" s="126"/>
      <c r="V344" s="126"/>
      <c r="W344" s="126"/>
      <c r="X344" s="126"/>
      <c r="Y344" s="126"/>
      <c r="Z344" s="126"/>
      <c r="AA344" s="126"/>
      <c r="AB344" s="126"/>
    </row>
    <row r="345" spans="1:28" ht="13.5" customHeight="1">
      <c r="A345" s="126"/>
      <c r="B345" s="126"/>
      <c r="C345" s="126"/>
      <c r="D345" s="126"/>
      <c r="E345" s="126"/>
      <c r="F345" s="188"/>
      <c r="G345" s="188"/>
      <c r="H345" s="126"/>
      <c r="I345" s="126"/>
      <c r="J345" s="126"/>
      <c r="K345" s="126"/>
      <c r="L345" s="126"/>
      <c r="M345" s="126"/>
      <c r="N345" s="126"/>
      <c r="O345" s="126"/>
      <c r="P345" s="126"/>
      <c r="Q345" s="126"/>
      <c r="R345" s="126"/>
      <c r="S345" s="126"/>
      <c r="T345" s="126"/>
      <c r="U345" s="126"/>
      <c r="V345" s="126"/>
      <c r="W345" s="126"/>
      <c r="X345" s="126"/>
      <c r="Y345" s="126"/>
      <c r="Z345" s="126"/>
      <c r="AA345" s="126"/>
      <c r="AB345" s="126"/>
    </row>
    <row r="346" spans="1:28" ht="13.5" customHeight="1">
      <c r="A346" s="126"/>
      <c r="B346" s="126"/>
      <c r="C346" s="126"/>
      <c r="D346" s="126"/>
      <c r="E346" s="126"/>
      <c r="F346" s="188"/>
      <c r="G346" s="188"/>
      <c r="H346" s="126"/>
      <c r="I346" s="126"/>
      <c r="J346" s="126"/>
      <c r="K346" s="126"/>
      <c r="L346" s="126"/>
      <c r="M346" s="126"/>
      <c r="N346" s="126"/>
      <c r="O346" s="126"/>
      <c r="P346" s="126"/>
      <c r="Q346" s="126"/>
      <c r="R346" s="126"/>
      <c r="S346" s="126"/>
      <c r="T346" s="126"/>
      <c r="U346" s="126"/>
      <c r="V346" s="126"/>
      <c r="W346" s="126"/>
      <c r="X346" s="126"/>
      <c r="Y346" s="126"/>
      <c r="Z346" s="126"/>
      <c r="AA346" s="126"/>
      <c r="AB346" s="126"/>
    </row>
    <row r="347" spans="1:28" ht="13.5" customHeight="1">
      <c r="A347" s="126"/>
      <c r="B347" s="126"/>
      <c r="C347" s="126"/>
      <c r="D347" s="126"/>
      <c r="E347" s="126"/>
      <c r="F347" s="188"/>
      <c r="G347" s="188"/>
      <c r="H347" s="126"/>
      <c r="I347" s="126"/>
      <c r="J347" s="126"/>
      <c r="K347" s="126"/>
      <c r="L347" s="126"/>
      <c r="M347" s="126"/>
      <c r="N347" s="126"/>
      <c r="O347" s="126"/>
      <c r="P347" s="126"/>
      <c r="Q347" s="126"/>
      <c r="R347" s="126"/>
      <c r="S347" s="126"/>
      <c r="T347" s="126"/>
      <c r="U347" s="126"/>
      <c r="V347" s="126"/>
      <c r="W347" s="126"/>
      <c r="X347" s="126"/>
      <c r="Y347" s="126"/>
      <c r="Z347" s="126"/>
      <c r="AA347" s="126"/>
      <c r="AB347" s="126"/>
    </row>
    <row r="348" spans="1:28" ht="15.75" customHeight="1"/>
    <row r="349" spans="1:28" ht="15.75" customHeight="1"/>
    <row r="350" spans="1:28" ht="15.75" customHeight="1"/>
    <row r="351" spans="1:28" ht="15.75" customHeight="1"/>
    <row r="352" spans="1:28"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C50:F50"/>
  </mergeCells>
  <dataValidations count="3">
    <dataValidation type="list" allowBlank="1" showErrorMessage="1" sqref="D83:V85 D88:V88 D99:V100" xr:uid="{00000000-0002-0000-0200-000001000000}">
      <formula1>"Yes,No"</formula1>
    </dataValidation>
    <dataValidation type="list" allowBlank="1" showErrorMessage="1" sqref="D67:V67" xr:uid="{00000000-0002-0000-0200-000004000000}">
      <formula1>"VRP,VRP+30%,100% OA,IAQP,Other"</formula1>
    </dataValidation>
    <dataValidation type="list" allowBlank="1" showErrorMessage="1" sqref="D72:V75" xr:uid="{00000000-0002-0000-0200-000005000000}">
      <formula1>"Electricity"</formula1>
    </dataValidation>
  </dataValidations>
  <pageMargins left="0.7" right="0.7" top="0.75" bottom="0.75" header="0" footer="0"/>
  <pageSetup orientation="portrait"/>
  <drawing r:id="rId1"/>
  <extLst>
    <ext xmlns:x14="http://schemas.microsoft.com/office/spreadsheetml/2009/9/main" uri="{CCE6A557-97BC-4b89-ADB6-D9C93CAAB3DF}">
      <x14:dataValidations xmlns:xm="http://schemas.microsoft.com/office/excel/2006/main" count="3">
        <x14:dataValidation type="list" allowBlank="1" showErrorMessage="1" xr:uid="{00000000-0002-0000-0200-000000000000}">
          <x14:formula1>
            <xm:f>'Table 2 - Filtration Info'!$B$4:$B$11</xm:f>
          </x14:formula1>
          <xm:sqref>D89:V89</xm:sqref>
        </x14:dataValidation>
        <x14:dataValidation type="list" allowBlank="1" showErrorMessage="1" xr:uid="{00000000-0002-0000-0200-000002000000}">
          <x14:formula1>
            <xm:f>'Table 1 - Operational Info'!$B$5:$B$24</xm:f>
          </x14:formula1>
          <xm:sqref>D60:V60</xm:sqref>
        </x14:dataValidation>
        <x14:dataValidation type="list" allowBlank="1" showErrorMessage="1" xr:uid="{00000000-0002-0000-0200-000003000000}">
          <x14:formula1>
            <xm:f>'Table 3 - ASHRAE 62.1 OA Rates'!$A$3:$A$82</xm:f>
          </x14:formula1>
          <xm:sqref>D61:V61</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D8D8D8"/>
  </sheetPr>
  <dimension ref="B1:F1000"/>
  <sheetViews>
    <sheetView workbookViewId="0"/>
  </sheetViews>
  <sheetFormatPr defaultColWidth="14.453125" defaultRowHeight="15" customHeight="1"/>
  <cols>
    <col min="1" max="1" width="8.81640625" customWidth="1"/>
    <col min="2" max="2" width="32.7265625" customWidth="1"/>
    <col min="3" max="6" width="8.81640625" customWidth="1"/>
  </cols>
  <sheetData>
    <row r="1" spans="2:6" ht="12.75" customHeight="1"/>
    <row r="2" spans="2:6" ht="12.75" customHeight="1"/>
    <row r="3" spans="2:6" ht="12.75" customHeight="1"/>
    <row r="4" spans="2:6" ht="12.75" customHeight="1">
      <c r="B4" s="49"/>
      <c r="C4" s="49"/>
      <c r="D4" s="49"/>
      <c r="E4" s="49"/>
    </row>
    <row r="5" spans="2:6" ht="12.75" customHeight="1">
      <c r="B5" s="49"/>
      <c r="C5" s="49"/>
      <c r="D5" s="49"/>
      <c r="E5" s="49"/>
      <c r="F5" s="49"/>
    </row>
    <row r="6" spans="2:6" ht="12.75" customHeight="1">
      <c r="B6" s="49"/>
      <c r="C6" s="49"/>
      <c r="D6" s="49"/>
      <c r="E6" s="49"/>
      <c r="F6" s="49"/>
    </row>
    <row r="7" spans="2:6" ht="12.75" customHeight="1">
      <c r="B7" s="49"/>
      <c r="C7" s="49"/>
      <c r="D7" s="49"/>
      <c r="E7" s="49"/>
      <c r="F7" s="49"/>
    </row>
    <row r="8" spans="2:6" ht="12.75" customHeight="1">
      <c r="B8" s="49"/>
      <c r="C8" s="49"/>
      <c r="D8" s="49"/>
      <c r="E8" s="49"/>
      <c r="F8" s="49"/>
    </row>
    <row r="9" spans="2:6" ht="12.75" customHeight="1">
      <c r="B9" s="49"/>
      <c r="C9" s="49"/>
      <c r="D9" s="49"/>
      <c r="E9" s="49"/>
      <c r="F9" s="49"/>
    </row>
    <row r="10" spans="2:6" ht="12.75" customHeight="1">
      <c r="B10" s="49"/>
      <c r="C10" s="49"/>
      <c r="D10" s="49"/>
      <c r="E10" s="49"/>
      <c r="F10" s="49"/>
    </row>
    <row r="11" spans="2:6" ht="12.75" customHeight="1">
      <c r="B11" s="49"/>
      <c r="C11" s="49"/>
      <c r="D11" s="49"/>
      <c r="E11" s="49"/>
      <c r="F11" s="49"/>
    </row>
    <row r="12" spans="2:6" ht="12.75" customHeight="1">
      <c r="B12" s="49"/>
      <c r="C12" s="49"/>
      <c r="D12" s="49"/>
      <c r="E12" s="49"/>
      <c r="F12" s="49"/>
    </row>
    <row r="13" spans="2:6" ht="12.75" customHeight="1">
      <c r="B13" s="49"/>
      <c r="C13" s="49"/>
      <c r="D13" s="49"/>
      <c r="E13" s="49"/>
      <c r="F13" s="49"/>
    </row>
    <row r="14" spans="2:6" ht="12.75" customHeight="1">
      <c r="B14" s="49"/>
      <c r="C14" s="49"/>
      <c r="D14" s="49"/>
      <c r="E14" s="49"/>
      <c r="F14" s="49"/>
    </row>
    <row r="15" spans="2:6" ht="12.75" customHeight="1">
      <c r="B15" s="49"/>
      <c r="C15" s="49"/>
      <c r="D15" s="49"/>
      <c r="E15" s="49"/>
      <c r="F15" s="49"/>
    </row>
    <row r="16" spans="2:6" ht="12.75" customHeight="1">
      <c r="B16" s="49"/>
      <c r="C16" s="49"/>
      <c r="D16" s="49"/>
      <c r="E16" s="49"/>
      <c r="F16" s="49"/>
    </row>
    <row r="17" spans="2:6" ht="12.75" customHeight="1">
      <c r="B17" s="49"/>
      <c r="C17" s="49"/>
      <c r="D17" s="49"/>
      <c r="E17" s="49"/>
      <c r="F17" s="49"/>
    </row>
    <row r="18" spans="2:6" ht="12.75" customHeight="1">
      <c r="B18" s="49"/>
      <c r="C18" s="49"/>
      <c r="D18" s="49"/>
      <c r="E18" s="49"/>
      <c r="F18" s="49"/>
    </row>
    <row r="19" spans="2:6" ht="12.75" customHeight="1">
      <c r="B19" s="49"/>
      <c r="C19" s="49"/>
      <c r="D19" s="49"/>
      <c r="E19" s="49"/>
      <c r="F19" s="49"/>
    </row>
    <row r="20" spans="2:6" ht="12.75" customHeight="1">
      <c r="B20" s="49"/>
      <c r="C20" s="49"/>
      <c r="D20" s="49"/>
      <c r="E20" s="49"/>
      <c r="F20" s="49"/>
    </row>
    <row r="21" spans="2:6" ht="12.75" customHeight="1">
      <c r="B21" s="49"/>
      <c r="C21" s="49"/>
      <c r="D21" s="49"/>
      <c r="E21" s="49"/>
      <c r="F21" s="49"/>
    </row>
    <row r="22" spans="2:6" ht="12.75" customHeight="1">
      <c r="B22" s="49"/>
      <c r="C22" s="49"/>
      <c r="D22" s="49"/>
      <c r="E22" s="49"/>
      <c r="F22" s="49"/>
    </row>
    <row r="23" spans="2:6" ht="12.75" customHeight="1">
      <c r="B23" s="49"/>
      <c r="C23" s="49"/>
      <c r="D23" s="49"/>
      <c r="E23" s="49"/>
      <c r="F23" s="49"/>
    </row>
    <row r="24" spans="2:6" ht="12.75" customHeight="1">
      <c r="B24" s="49"/>
      <c r="C24" s="49"/>
      <c r="D24" s="49"/>
      <c r="E24" s="49"/>
      <c r="F24" s="49"/>
    </row>
    <row r="25" spans="2:6" ht="12.75" customHeight="1">
      <c r="B25" s="49"/>
      <c r="C25" s="49"/>
      <c r="D25" s="49"/>
      <c r="E25" s="49"/>
      <c r="F25" s="49"/>
    </row>
    <row r="26" spans="2:6" ht="12.75" customHeight="1">
      <c r="B26" s="49"/>
      <c r="C26" s="49"/>
      <c r="D26" s="49"/>
      <c r="E26" s="49"/>
      <c r="F26" s="49"/>
    </row>
    <row r="27" spans="2:6" ht="12.75" customHeight="1">
      <c r="B27" s="49"/>
      <c r="C27" s="49"/>
      <c r="D27" s="49"/>
      <c r="E27" s="49"/>
      <c r="F27" s="49"/>
    </row>
    <row r="28" spans="2:6" ht="12.75" customHeight="1">
      <c r="B28" s="49"/>
      <c r="C28" s="49"/>
      <c r="D28" s="49"/>
      <c r="E28" s="49"/>
      <c r="F28" s="49"/>
    </row>
    <row r="29" spans="2:6" ht="12.75" customHeight="1">
      <c r="B29" s="49"/>
      <c r="C29" s="49"/>
      <c r="D29" s="49"/>
      <c r="E29" s="49"/>
      <c r="F29" s="49"/>
    </row>
    <row r="30" spans="2:6" ht="12.75" customHeight="1">
      <c r="B30" s="49"/>
      <c r="C30" s="49"/>
      <c r="D30" s="49"/>
      <c r="E30" s="49"/>
      <c r="F30" s="49"/>
    </row>
    <row r="31" spans="2:6" ht="12.75" customHeight="1">
      <c r="B31" s="49"/>
      <c r="C31" s="49"/>
      <c r="D31" s="49"/>
      <c r="E31" s="49"/>
      <c r="F31" s="49"/>
    </row>
    <row r="32" spans="2:6" ht="12.75" customHeight="1">
      <c r="B32" s="49"/>
      <c r="C32" s="49"/>
      <c r="D32" s="49"/>
      <c r="E32" s="49"/>
      <c r="F32" s="49"/>
    </row>
    <row r="33" spans="2:6" ht="12.75" customHeight="1">
      <c r="B33" s="49"/>
      <c r="C33" s="49"/>
      <c r="D33" s="49"/>
      <c r="E33" s="49"/>
      <c r="F33" s="49"/>
    </row>
    <row r="34" spans="2:6" ht="12.75" customHeight="1">
      <c r="B34" s="49"/>
      <c r="C34" s="49"/>
      <c r="D34" s="49"/>
      <c r="E34" s="49"/>
      <c r="F34" s="49"/>
    </row>
    <row r="35" spans="2:6" ht="12.75" customHeight="1"/>
    <row r="36" spans="2:6" ht="12.75" customHeight="1"/>
    <row r="37" spans="2:6" ht="12.75" customHeight="1"/>
    <row r="38" spans="2:6" ht="12.75" customHeight="1"/>
    <row r="39" spans="2:6" ht="12.75" customHeight="1"/>
    <row r="40" spans="2:6" ht="12.75" customHeight="1"/>
    <row r="41" spans="2:6" ht="12.75" customHeight="1"/>
    <row r="42" spans="2:6" ht="12.75" customHeight="1"/>
    <row r="43" spans="2:6" ht="12.75" customHeight="1"/>
    <row r="44" spans="2:6" ht="12.75" customHeight="1"/>
    <row r="45" spans="2:6" ht="12.75" customHeight="1"/>
    <row r="46" spans="2:6" ht="12.75" customHeight="1"/>
    <row r="47" spans="2:6" ht="12.75" customHeight="1"/>
    <row r="48" spans="2:6"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D8D8D8"/>
  </sheetPr>
  <dimension ref="A1:Z1000"/>
  <sheetViews>
    <sheetView topLeftCell="A4" workbookViewId="0">
      <selection activeCell="A18" sqref="A18:XFD18"/>
    </sheetView>
  </sheetViews>
  <sheetFormatPr defaultColWidth="14.453125" defaultRowHeight="15" customHeight="1"/>
  <cols>
    <col min="1" max="1" width="21.453125" customWidth="1"/>
    <col min="2" max="2" width="16.54296875" customWidth="1"/>
    <col min="3" max="3" width="17.7265625" customWidth="1"/>
    <col min="4" max="4" width="27.453125" customWidth="1"/>
    <col min="5" max="5" width="36.81640625" customWidth="1"/>
    <col min="6" max="6" width="21" customWidth="1"/>
    <col min="7" max="7" width="32.26953125" customWidth="1"/>
    <col min="8" max="8" width="31.26953125" customWidth="1"/>
    <col min="9" max="9" width="32.453125" customWidth="1"/>
    <col min="10" max="10" width="23" customWidth="1"/>
    <col min="11" max="12" width="20.26953125" customWidth="1"/>
    <col min="13" max="13" width="23" customWidth="1"/>
    <col min="14" max="14" width="27" customWidth="1"/>
    <col min="15" max="18" width="8.81640625" customWidth="1"/>
  </cols>
  <sheetData>
    <row r="1" spans="1:26" ht="12.75" customHeight="1">
      <c r="A1" s="189" t="s">
        <v>235</v>
      </c>
      <c r="B1" s="301" t="s">
        <v>236</v>
      </c>
      <c r="C1" s="302"/>
      <c r="D1" s="302"/>
      <c r="E1" s="302"/>
      <c r="F1" s="302"/>
      <c r="G1" s="302"/>
      <c r="H1" s="302"/>
      <c r="I1" s="302"/>
      <c r="J1" s="302"/>
      <c r="K1" s="302"/>
      <c r="L1" s="302"/>
      <c r="M1" s="302"/>
      <c r="N1" s="302"/>
      <c r="O1" s="302"/>
      <c r="P1" s="302"/>
      <c r="Q1" s="302"/>
      <c r="R1" s="303"/>
    </row>
    <row r="2" spans="1:26" ht="12.75" customHeight="1">
      <c r="A2" s="190"/>
      <c r="B2" s="291"/>
      <c r="C2" s="292"/>
      <c r="D2" s="292"/>
      <c r="E2" s="292"/>
      <c r="F2" s="292"/>
      <c r="G2" s="292"/>
      <c r="H2" s="292"/>
      <c r="I2" s="292"/>
      <c r="J2" s="292"/>
      <c r="K2" s="292"/>
      <c r="L2" s="292"/>
      <c r="M2" s="292"/>
      <c r="N2" s="292"/>
      <c r="O2" s="292"/>
      <c r="P2" s="292"/>
      <c r="Q2" s="292"/>
      <c r="R2" s="304"/>
    </row>
    <row r="3" spans="1:26" ht="12.75" customHeight="1">
      <c r="A3" s="305" t="s">
        <v>237</v>
      </c>
      <c r="B3" s="306"/>
      <c r="C3" s="306"/>
      <c r="D3" s="306"/>
      <c r="E3" s="306"/>
      <c r="F3" s="306"/>
      <c r="G3" s="306"/>
      <c r="H3" s="306"/>
      <c r="I3" s="306"/>
      <c r="J3" s="306"/>
      <c r="K3" s="306"/>
      <c r="L3" s="306"/>
      <c r="M3" s="306"/>
      <c r="N3" s="307"/>
      <c r="O3" s="191"/>
      <c r="P3" s="191"/>
      <c r="Q3" s="191"/>
      <c r="R3" s="192"/>
      <c r="S3" s="49"/>
      <c r="T3" s="49"/>
      <c r="U3" s="49"/>
      <c r="V3" s="49"/>
      <c r="W3" s="49"/>
      <c r="X3" s="49"/>
      <c r="Y3" s="49"/>
      <c r="Z3" s="49"/>
    </row>
    <row r="4" spans="1:26" ht="12.75" customHeight="1">
      <c r="A4" s="193" t="s">
        <v>238</v>
      </c>
      <c r="B4" s="194" t="s">
        <v>239</v>
      </c>
      <c r="C4" s="194" t="s">
        <v>240</v>
      </c>
      <c r="D4" s="194" t="s">
        <v>241</v>
      </c>
      <c r="E4" s="194" t="s">
        <v>242</v>
      </c>
      <c r="F4" s="194" t="s">
        <v>243</v>
      </c>
      <c r="G4" s="194" t="s">
        <v>244</v>
      </c>
      <c r="H4" s="194" t="s">
        <v>245</v>
      </c>
      <c r="I4" s="194" t="s">
        <v>246</v>
      </c>
      <c r="J4" s="194" t="s">
        <v>247</v>
      </c>
      <c r="K4" s="194" t="s">
        <v>248</v>
      </c>
      <c r="L4" s="195" t="s">
        <v>249</v>
      </c>
      <c r="M4" s="194" t="s">
        <v>250</v>
      </c>
      <c r="N4" s="196" t="s">
        <v>251</v>
      </c>
      <c r="O4" s="308"/>
      <c r="P4" s="191"/>
      <c r="Q4" s="191"/>
      <c r="R4" s="197"/>
    </row>
    <row r="5" spans="1:26" ht="12.75" customHeight="1">
      <c r="A5" s="198" t="s">
        <v>252</v>
      </c>
      <c r="B5" s="199" t="s">
        <v>253</v>
      </c>
      <c r="C5" s="199" t="s">
        <v>254</v>
      </c>
      <c r="D5" s="200">
        <v>8.84</v>
      </c>
      <c r="E5" s="200">
        <v>0.11686342684914802</v>
      </c>
      <c r="F5" s="200">
        <f t="shared" ref="F5:F24" si="0">D5*E5</f>
        <v>1.0330726933464685</v>
      </c>
      <c r="G5" s="201">
        <f t="shared" ref="G5:G24" si="1">H5*0.0341</f>
        <v>0.13977590000000001</v>
      </c>
      <c r="H5" s="200">
        <v>4.0990000000000002</v>
      </c>
      <c r="I5" s="202">
        <f t="shared" ref="I5:I24" si="2">G5/10</f>
        <v>1.3977590000000002E-2</v>
      </c>
      <c r="J5" s="200" t="str">
        <f>' Calculation'!$B$24</f>
        <v>Gas</v>
      </c>
      <c r="K5" s="200">
        <v>0.95633456334563349</v>
      </c>
      <c r="L5" s="203" t="s">
        <v>255</v>
      </c>
      <c r="M5" s="204">
        <f t="shared" ref="M5:M24" si="3">IF(J5="Gas",(K5*G5),IF(J5="Steam",(L5*I5),(E5*H5)))</f>
        <v>0.13367252429274293</v>
      </c>
      <c r="N5" s="205">
        <f t="shared" ref="N5:N24" si="4">M5+F5</f>
        <v>1.1667452176392115</v>
      </c>
      <c r="O5" s="309"/>
      <c r="P5" s="65"/>
      <c r="Q5" s="65"/>
      <c r="R5" s="206"/>
    </row>
    <row r="6" spans="1:26" ht="12.75" customHeight="1">
      <c r="A6" s="207" t="s">
        <v>256</v>
      </c>
      <c r="B6" s="208" t="s">
        <v>257</v>
      </c>
      <c r="C6" s="208" t="s">
        <v>258</v>
      </c>
      <c r="D6" s="209">
        <v>6.6840000000000002</v>
      </c>
      <c r="E6" s="209">
        <v>0.14539730669135159</v>
      </c>
      <c r="F6" s="209">
        <f t="shared" si="0"/>
        <v>0.97183559792499408</v>
      </c>
      <c r="G6" s="210">
        <f t="shared" si="1"/>
        <v>0.24497439999999998</v>
      </c>
      <c r="H6" s="209">
        <v>7.1840000000000002</v>
      </c>
      <c r="I6" s="211">
        <f t="shared" si="2"/>
        <v>2.4497439999999999E-2</v>
      </c>
      <c r="J6" s="209" t="str">
        <f>' Calculation'!$B$24</f>
        <v>Gas</v>
      </c>
      <c r="K6" s="209">
        <v>1.0619106191061909</v>
      </c>
      <c r="L6" s="203" t="s">
        <v>255</v>
      </c>
      <c r="M6" s="212">
        <f t="shared" si="3"/>
        <v>0.26014091676916762</v>
      </c>
      <c r="N6" s="213">
        <f t="shared" si="4"/>
        <v>1.2319765146941617</v>
      </c>
      <c r="O6" s="309"/>
      <c r="P6" s="65"/>
      <c r="Q6" s="65"/>
      <c r="R6" s="206"/>
    </row>
    <row r="7" spans="1:26" ht="12.75" customHeight="1">
      <c r="A7" s="207" t="s">
        <v>259</v>
      </c>
      <c r="B7" s="208" t="s">
        <v>260</v>
      </c>
      <c r="C7" s="208" t="s">
        <v>261</v>
      </c>
      <c r="D7" s="209">
        <v>4.2729999999999997</v>
      </c>
      <c r="E7" s="209">
        <v>0.20385299361528719</v>
      </c>
      <c r="F7" s="209">
        <f t="shared" si="0"/>
        <v>0.87106384171812212</v>
      </c>
      <c r="G7" s="210">
        <f t="shared" si="1"/>
        <v>0.3421594</v>
      </c>
      <c r="H7" s="209">
        <v>10.034000000000001</v>
      </c>
      <c r="I7" s="211">
        <f t="shared" si="2"/>
        <v>3.421594E-2</v>
      </c>
      <c r="J7" s="209" t="str">
        <f>' Calculation'!$B$24</f>
        <v>Gas</v>
      </c>
      <c r="K7" s="209">
        <v>1.2904879048790487</v>
      </c>
      <c r="L7" s="203" t="s">
        <v>255</v>
      </c>
      <c r="M7" s="212">
        <f t="shared" si="3"/>
        <v>0.44155256724067238</v>
      </c>
      <c r="N7" s="213">
        <f t="shared" si="4"/>
        <v>1.3126164089587946</v>
      </c>
      <c r="O7" s="309"/>
      <c r="P7" s="65"/>
      <c r="Q7" s="65"/>
      <c r="R7" s="206"/>
    </row>
    <row r="8" spans="1:26" ht="12.75" customHeight="1">
      <c r="A8" s="207" t="s">
        <v>259</v>
      </c>
      <c r="B8" s="208" t="s">
        <v>262</v>
      </c>
      <c r="C8" s="208" t="s">
        <v>263</v>
      </c>
      <c r="D8" s="209">
        <v>5.1269999999999998</v>
      </c>
      <c r="E8" s="209">
        <v>0.11370895438031832</v>
      </c>
      <c r="F8" s="209">
        <f t="shared" si="0"/>
        <v>0.58298580910789199</v>
      </c>
      <c r="G8" s="210">
        <f t="shared" si="1"/>
        <v>0.40957509999999997</v>
      </c>
      <c r="H8" s="209">
        <v>12.010999999999999</v>
      </c>
      <c r="I8" s="211">
        <f t="shared" si="2"/>
        <v>4.0957509999999996E-2</v>
      </c>
      <c r="J8" s="209" t="str">
        <f>' Calculation'!$B$24</f>
        <v>Gas</v>
      </c>
      <c r="K8" s="209">
        <v>0.83845838458384581</v>
      </c>
      <c r="L8" s="203" t="s">
        <v>255</v>
      </c>
      <c r="M8" s="212">
        <f t="shared" si="3"/>
        <v>0.34341167671176709</v>
      </c>
      <c r="N8" s="213">
        <f t="shared" si="4"/>
        <v>0.92639748581965908</v>
      </c>
      <c r="O8" s="309"/>
      <c r="P8" s="65"/>
      <c r="Q8" s="65"/>
      <c r="R8" s="206"/>
    </row>
    <row r="9" spans="1:26" ht="12.75" customHeight="1">
      <c r="A9" s="207" t="s">
        <v>252</v>
      </c>
      <c r="B9" s="208" t="s">
        <v>264</v>
      </c>
      <c r="C9" s="208" t="s">
        <v>265</v>
      </c>
      <c r="D9" s="209">
        <v>11.494</v>
      </c>
      <c r="E9" s="209">
        <v>0.13457776509291119</v>
      </c>
      <c r="F9" s="209">
        <f t="shared" si="0"/>
        <v>1.5468368319779213</v>
      </c>
      <c r="G9" s="210">
        <f t="shared" si="1"/>
        <v>0.1332969</v>
      </c>
      <c r="H9" s="209">
        <v>3.9089999999999998</v>
      </c>
      <c r="I9" s="211">
        <f t="shared" si="2"/>
        <v>1.332969E-2</v>
      </c>
      <c r="J9" s="209" t="str">
        <f>' Calculation'!$B$24</f>
        <v>Gas</v>
      </c>
      <c r="K9" s="209">
        <v>0.76465764657646573</v>
      </c>
      <c r="L9" s="203" t="s">
        <v>255</v>
      </c>
      <c r="M9" s="212">
        <f t="shared" si="3"/>
        <v>0.10192649384993849</v>
      </c>
      <c r="N9" s="213">
        <f t="shared" si="4"/>
        <v>1.6487633258278598</v>
      </c>
      <c r="O9" s="309"/>
      <c r="P9" s="65"/>
      <c r="Q9" s="65"/>
      <c r="R9" s="206"/>
    </row>
    <row r="10" spans="1:26" ht="12.75" customHeight="1">
      <c r="A10" s="207" t="s">
        <v>259</v>
      </c>
      <c r="B10" s="208" t="s">
        <v>266</v>
      </c>
      <c r="C10" s="208" t="s">
        <v>267</v>
      </c>
      <c r="D10" s="209">
        <v>4.6619999999999999</v>
      </c>
      <c r="E10" s="209">
        <v>0.12377496180587519</v>
      </c>
      <c r="F10" s="209">
        <f t="shared" si="0"/>
        <v>0.57703887193899017</v>
      </c>
      <c r="G10" s="210">
        <f t="shared" si="1"/>
        <v>0.44145859999999998</v>
      </c>
      <c r="H10" s="209">
        <v>12.946</v>
      </c>
      <c r="I10" s="211">
        <f t="shared" si="2"/>
        <v>4.4145859999999995E-2</v>
      </c>
      <c r="J10" s="209" t="str">
        <f>' Calculation'!$B$24</f>
        <v>Gas</v>
      </c>
      <c r="K10" s="209">
        <v>0.72570725707257078</v>
      </c>
      <c r="L10" s="203" t="s">
        <v>255</v>
      </c>
      <c r="M10" s="212">
        <f t="shared" si="3"/>
        <v>0.32036970971709716</v>
      </c>
      <c r="N10" s="213">
        <f t="shared" si="4"/>
        <v>0.89740858165608728</v>
      </c>
      <c r="O10" s="309"/>
      <c r="P10" s="65"/>
      <c r="Q10" s="65"/>
      <c r="R10" s="206"/>
    </row>
    <row r="11" spans="1:26" ht="12.75" customHeight="1">
      <c r="A11" s="207" t="s">
        <v>268</v>
      </c>
      <c r="B11" s="208" t="s">
        <v>269</v>
      </c>
      <c r="C11" s="208" t="s">
        <v>265</v>
      </c>
      <c r="D11" s="209">
        <v>14.43</v>
      </c>
      <c r="E11" s="209">
        <v>0.12996036945435241</v>
      </c>
      <c r="F11" s="209">
        <f t="shared" si="0"/>
        <v>1.8753281312263053</v>
      </c>
      <c r="G11" s="210">
        <f t="shared" si="1"/>
        <v>5.1184099999999996E-2</v>
      </c>
      <c r="H11" s="209">
        <v>1.5009999999999999</v>
      </c>
      <c r="I11" s="211">
        <f t="shared" si="2"/>
        <v>5.1184099999999995E-3</v>
      </c>
      <c r="J11" s="209" t="str">
        <f>' Calculation'!$B$24</f>
        <v>Gas</v>
      </c>
      <c r="K11" s="209">
        <v>0.76465764657646573</v>
      </c>
      <c r="L11" s="203" t="s">
        <v>255</v>
      </c>
      <c r="M11" s="212">
        <f t="shared" si="3"/>
        <v>3.9138313448134475E-2</v>
      </c>
      <c r="N11" s="213">
        <f t="shared" si="4"/>
        <v>1.9144664446744397</v>
      </c>
      <c r="O11" s="309"/>
      <c r="P11" s="65"/>
      <c r="Q11" s="65"/>
      <c r="R11" s="206"/>
    </row>
    <row r="12" spans="1:26" ht="12.75" customHeight="1">
      <c r="A12" s="207" t="s">
        <v>270</v>
      </c>
      <c r="B12" s="208" t="s">
        <v>271</v>
      </c>
      <c r="C12" s="208" t="s">
        <v>272</v>
      </c>
      <c r="D12" s="209">
        <v>5.5960000000000001</v>
      </c>
      <c r="E12" s="209">
        <v>0.185772716173392</v>
      </c>
      <c r="F12" s="209">
        <f t="shared" si="0"/>
        <v>1.0395841197063016</v>
      </c>
      <c r="G12" s="210">
        <f t="shared" si="1"/>
        <v>9.2752000000000008E-3</v>
      </c>
      <c r="H12" s="209">
        <v>0.27200000000000002</v>
      </c>
      <c r="I12" s="211">
        <f t="shared" si="2"/>
        <v>9.2752000000000004E-4</v>
      </c>
      <c r="J12" s="209" t="str">
        <f>' Calculation'!$B$24</f>
        <v>Gas</v>
      </c>
      <c r="K12" s="209">
        <v>1.0742107421074212</v>
      </c>
      <c r="L12" s="203" t="s">
        <v>255</v>
      </c>
      <c r="M12" s="212">
        <f t="shared" si="3"/>
        <v>9.9635194751947539E-3</v>
      </c>
      <c r="N12" s="213">
        <f t="shared" si="4"/>
        <v>1.0495476391814964</v>
      </c>
      <c r="O12" s="309"/>
      <c r="P12" s="65"/>
      <c r="Q12" s="65"/>
      <c r="R12" s="206"/>
    </row>
    <row r="13" spans="1:26" ht="12.75" customHeight="1">
      <c r="A13" s="207" t="s">
        <v>273</v>
      </c>
      <c r="B13" s="208" t="s">
        <v>274</v>
      </c>
      <c r="C13" s="208" t="s">
        <v>275</v>
      </c>
      <c r="D13" s="209">
        <v>19.384</v>
      </c>
      <c r="E13" s="209">
        <v>0.10780999346406515</v>
      </c>
      <c r="F13" s="209">
        <f t="shared" si="0"/>
        <v>2.089788913307439</v>
      </c>
      <c r="G13" s="210">
        <f t="shared" si="1"/>
        <v>1.8073E-3</v>
      </c>
      <c r="H13" s="209">
        <v>5.2999999999999999E-2</v>
      </c>
      <c r="I13" s="211">
        <f t="shared" si="2"/>
        <v>1.8072999999999999E-4</v>
      </c>
      <c r="J13" s="209" t="str">
        <f>' Calculation'!$B$24</f>
        <v>Gas</v>
      </c>
      <c r="K13" s="209">
        <v>1.1869618696186961</v>
      </c>
      <c r="L13" s="203" t="s">
        <v>255</v>
      </c>
      <c r="M13" s="212">
        <f t="shared" si="3"/>
        <v>2.1451961869618694E-3</v>
      </c>
      <c r="N13" s="213">
        <f t="shared" si="4"/>
        <v>2.0919341094944008</v>
      </c>
      <c r="O13" s="309"/>
      <c r="P13" s="65"/>
      <c r="Q13" s="65"/>
      <c r="R13" s="206"/>
    </row>
    <row r="14" spans="1:26" ht="12.75" customHeight="1">
      <c r="A14" s="207" t="s">
        <v>276</v>
      </c>
      <c r="B14" s="208" t="s">
        <v>277</v>
      </c>
      <c r="C14" s="208" t="s">
        <v>278</v>
      </c>
      <c r="D14" s="209">
        <v>3.9279999999999999</v>
      </c>
      <c r="E14" s="209">
        <v>0.12965433518315639</v>
      </c>
      <c r="F14" s="209">
        <f t="shared" si="0"/>
        <v>0.50928222859943828</v>
      </c>
      <c r="G14" s="210">
        <f t="shared" si="1"/>
        <v>0.60848040000000003</v>
      </c>
      <c r="H14" s="209">
        <v>17.844000000000001</v>
      </c>
      <c r="I14" s="211">
        <f t="shared" si="2"/>
        <v>6.0848040000000006E-2</v>
      </c>
      <c r="J14" s="209" t="str">
        <f>' Calculation'!$B$24</f>
        <v>Gas</v>
      </c>
      <c r="K14" s="209">
        <v>0.74313243132431317</v>
      </c>
      <c r="L14" s="203" t="s">
        <v>255</v>
      </c>
      <c r="M14" s="212">
        <f t="shared" si="3"/>
        <v>0.45218151906519061</v>
      </c>
      <c r="N14" s="213">
        <f t="shared" si="4"/>
        <v>0.96146374766462883</v>
      </c>
      <c r="O14" s="309"/>
      <c r="P14" s="65"/>
      <c r="Q14" s="65"/>
      <c r="R14" s="206"/>
    </row>
    <row r="15" spans="1:26" ht="12.75" customHeight="1">
      <c r="A15" s="207" t="s">
        <v>256</v>
      </c>
      <c r="B15" s="208" t="s">
        <v>279</v>
      </c>
      <c r="C15" s="208" t="s">
        <v>280</v>
      </c>
      <c r="D15" s="209">
        <v>6.0659999999999998</v>
      </c>
      <c r="E15" s="209">
        <v>0.23670086343605759</v>
      </c>
      <c r="F15" s="209">
        <f t="shared" si="0"/>
        <v>1.4358274376031253</v>
      </c>
      <c r="G15" s="210">
        <f t="shared" si="1"/>
        <v>0.28016559999999996</v>
      </c>
      <c r="H15" s="209">
        <v>8.2159999999999993</v>
      </c>
      <c r="I15" s="211">
        <f t="shared" si="2"/>
        <v>2.8016559999999996E-2</v>
      </c>
      <c r="J15" s="209" t="str">
        <f>' Calculation'!$B$24</f>
        <v>Gas</v>
      </c>
      <c r="K15" s="209">
        <v>0.97580975809758097</v>
      </c>
      <c r="L15" s="209">
        <v>30</v>
      </c>
      <c r="M15" s="212">
        <f t="shared" si="3"/>
        <v>0.2733883263632636</v>
      </c>
      <c r="N15" s="213">
        <f t="shared" si="4"/>
        <v>1.7092157639663887</v>
      </c>
      <c r="O15" s="309"/>
      <c r="P15" s="65"/>
      <c r="Q15" s="65"/>
      <c r="R15" s="206"/>
    </row>
    <row r="16" spans="1:26" ht="12.75" customHeight="1">
      <c r="A16" s="207" t="s">
        <v>256</v>
      </c>
      <c r="B16" s="208" t="s">
        <v>281</v>
      </c>
      <c r="C16" s="208" t="s">
        <v>282</v>
      </c>
      <c r="D16" s="209">
        <v>6.335</v>
      </c>
      <c r="E16" s="209">
        <v>0.12708573183772798</v>
      </c>
      <c r="F16" s="209">
        <f t="shared" si="0"/>
        <v>0.80508811119200674</v>
      </c>
      <c r="G16" s="210">
        <f t="shared" si="1"/>
        <v>0.27644869999999994</v>
      </c>
      <c r="H16" s="209">
        <v>8.1069999999999993</v>
      </c>
      <c r="I16" s="211">
        <f t="shared" si="2"/>
        <v>2.7644869999999995E-2</v>
      </c>
      <c r="J16" s="209" t="str">
        <f>' Calculation'!$B$24</f>
        <v>Gas</v>
      </c>
      <c r="K16" s="209">
        <v>1.0219352193521936</v>
      </c>
      <c r="L16" s="203" t="s">
        <v>255</v>
      </c>
      <c r="M16" s="212">
        <f t="shared" si="3"/>
        <v>0.28251266287412868</v>
      </c>
      <c r="N16" s="213">
        <f t="shared" si="4"/>
        <v>1.0876007740661353</v>
      </c>
      <c r="O16" s="309"/>
      <c r="P16" s="65"/>
      <c r="Q16" s="65"/>
      <c r="R16" s="206"/>
    </row>
    <row r="17" spans="1:26" ht="12.75" customHeight="1">
      <c r="A17" s="207" t="s">
        <v>283</v>
      </c>
      <c r="B17" s="208" t="s">
        <v>284</v>
      </c>
      <c r="C17" s="208" t="s">
        <v>285</v>
      </c>
      <c r="D17" s="209">
        <v>10.288</v>
      </c>
      <c r="E17" s="209">
        <v>0.13637553460914359</v>
      </c>
      <c r="F17" s="209">
        <f t="shared" si="0"/>
        <v>1.4030315000588693</v>
      </c>
      <c r="G17" s="210">
        <f t="shared" si="1"/>
        <v>2.7893799999999996E-2</v>
      </c>
      <c r="H17" s="209">
        <v>0.81799999999999995</v>
      </c>
      <c r="I17" s="211">
        <f t="shared" si="2"/>
        <v>2.7893799999999997E-3</v>
      </c>
      <c r="J17" s="209" t="str">
        <f>' Calculation'!$B$24</f>
        <v>Gas</v>
      </c>
      <c r="K17" s="209">
        <v>0.87330873308733081</v>
      </c>
      <c r="L17" s="203" t="s">
        <v>255</v>
      </c>
      <c r="M17" s="212">
        <f t="shared" si="3"/>
        <v>2.4359899138991385E-2</v>
      </c>
      <c r="N17" s="213">
        <f t="shared" si="4"/>
        <v>1.4273913991978606</v>
      </c>
      <c r="O17" s="309"/>
      <c r="P17" s="65"/>
      <c r="Q17" s="65"/>
      <c r="R17" s="206"/>
    </row>
    <row r="18" spans="1:26" ht="12.75" customHeight="1">
      <c r="A18" s="207" t="s">
        <v>252</v>
      </c>
      <c r="B18" s="208" t="s">
        <v>80</v>
      </c>
      <c r="C18" s="208" t="s">
        <v>286</v>
      </c>
      <c r="D18" s="209">
        <v>8.9610000000000003</v>
      </c>
      <c r="E18" s="209">
        <v>9.3100000000000002E-2</v>
      </c>
      <c r="F18" s="209">
        <f t="shared" si="0"/>
        <v>0.8342691000000001</v>
      </c>
      <c r="G18" s="210">
        <f t="shared" si="1"/>
        <v>0.16804479999999999</v>
      </c>
      <c r="H18" s="209">
        <v>4.9279999999999999</v>
      </c>
      <c r="I18" s="211">
        <f t="shared" si="2"/>
        <v>1.680448E-2</v>
      </c>
      <c r="J18" s="209" t="str">
        <f>' Calculation'!$B$24</f>
        <v>Gas</v>
      </c>
      <c r="K18" s="209">
        <f>8.76/10.37</f>
        <v>0.84474445515911289</v>
      </c>
      <c r="L18" s="203" t="s">
        <v>255</v>
      </c>
      <c r="M18" s="212">
        <f t="shared" si="3"/>
        <v>0.14195491301832208</v>
      </c>
      <c r="N18" s="213">
        <f t="shared" si="4"/>
        <v>0.97622401301832218</v>
      </c>
      <c r="O18" s="309"/>
      <c r="P18" s="65"/>
      <c r="Q18" s="65"/>
      <c r="R18" s="206"/>
      <c r="S18" s="49"/>
      <c r="T18" s="49"/>
      <c r="U18" s="49"/>
      <c r="V18" s="49"/>
      <c r="W18" s="49"/>
      <c r="X18" s="49"/>
      <c r="Y18" s="49"/>
      <c r="Z18" s="49"/>
    </row>
    <row r="19" spans="1:26" ht="12.75" customHeight="1">
      <c r="A19" s="207" t="s">
        <v>270</v>
      </c>
      <c r="B19" s="208" t="s">
        <v>287</v>
      </c>
      <c r="C19" s="208" t="s">
        <v>272</v>
      </c>
      <c r="D19" s="209">
        <v>6.8710000000000004</v>
      </c>
      <c r="E19" s="209">
        <v>0.170495122192896</v>
      </c>
      <c r="F19" s="209">
        <f t="shared" si="0"/>
        <v>1.1714719845873884</v>
      </c>
      <c r="G19" s="210">
        <f t="shared" si="1"/>
        <v>2.8746299999999999E-2</v>
      </c>
      <c r="H19" s="209">
        <v>0.84299999999999997</v>
      </c>
      <c r="I19" s="211">
        <f t="shared" si="2"/>
        <v>2.87463E-3</v>
      </c>
      <c r="J19" s="209" t="str">
        <f>' Calculation'!$B$24</f>
        <v>Gas</v>
      </c>
      <c r="K19" s="209">
        <v>1.0742107421074212</v>
      </c>
      <c r="L19" s="203" t="s">
        <v>255</v>
      </c>
      <c r="M19" s="212">
        <f t="shared" si="3"/>
        <v>3.0879584255842561E-2</v>
      </c>
      <c r="N19" s="213">
        <f t="shared" si="4"/>
        <v>1.2023515688432309</v>
      </c>
      <c r="O19" s="309"/>
      <c r="P19" s="65"/>
      <c r="Q19" s="65"/>
      <c r="R19" s="206"/>
    </row>
    <row r="20" spans="1:26" ht="12.75" customHeight="1">
      <c r="A20" s="207" t="s">
        <v>270</v>
      </c>
      <c r="B20" s="208" t="s">
        <v>288</v>
      </c>
      <c r="C20" s="208" t="s">
        <v>272</v>
      </c>
      <c r="D20" s="209">
        <v>6.4429999999999996</v>
      </c>
      <c r="E20" s="209">
        <v>0.25462256597984878</v>
      </c>
      <c r="F20" s="209">
        <f t="shared" si="0"/>
        <v>1.6405331926081657</v>
      </c>
      <c r="G20" s="210">
        <f t="shared" si="1"/>
        <v>6.5813E-3</v>
      </c>
      <c r="H20" s="209">
        <v>0.193</v>
      </c>
      <c r="I20" s="211">
        <f t="shared" si="2"/>
        <v>6.5813000000000004E-4</v>
      </c>
      <c r="J20" s="209" t="str">
        <f>' Calculation'!$B$24</f>
        <v>Gas</v>
      </c>
      <c r="K20" s="209">
        <v>1.0742107421074212</v>
      </c>
      <c r="L20" s="203" t="s">
        <v>255</v>
      </c>
      <c r="M20" s="212">
        <f t="shared" si="3"/>
        <v>7.069703157031571E-3</v>
      </c>
      <c r="N20" s="213">
        <f t="shared" si="4"/>
        <v>1.6476028957651971</v>
      </c>
      <c r="O20" s="309"/>
      <c r="P20" s="65"/>
      <c r="Q20" s="65"/>
      <c r="R20" s="206"/>
    </row>
    <row r="21" spans="1:26" ht="12.75" customHeight="1">
      <c r="A21" s="207" t="s">
        <v>270</v>
      </c>
      <c r="B21" s="208" t="s">
        <v>289</v>
      </c>
      <c r="C21" s="208" t="s">
        <v>272</v>
      </c>
      <c r="D21" s="209">
        <v>3.819</v>
      </c>
      <c r="E21" s="209">
        <v>0.22919999999999999</v>
      </c>
      <c r="F21" s="209">
        <f t="shared" si="0"/>
        <v>0.87531479999999995</v>
      </c>
      <c r="G21" s="210">
        <f t="shared" si="1"/>
        <v>4.7467199999999994E-2</v>
      </c>
      <c r="H21" s="209">
        <v>1.3919999999999999</v>
      </c>
      <c r="I21" s="211">
        <f t="shared" si="2"/>
        <v>4.7467199999999994E-3</v>
      </c>
      <c r="J21" s="209" t="str">
        <f>' Calculation'!$B$24</f>
        <v>Gas</v>
      </c>
      <c r="K21" s="209">
        <v>1.07</v>
      </c>
      <c r="L21" s="203" t="s">
        <v>255</v>
      </c>
      <c r="M21" s="212">
        <f t="shared" si="3"/>
        <v>5.0789903999999997E-2</v>
      </c>
      <c r="N21" s="213">
        <f t="shared" si="4"/>
        <v>0.92610470399999989</v>
      </c>
      <c r="O21" s="309"/>
      <c r="P21" s="65"/>
      <c r="Q21" s="65"/>
      <c r="R21" s="206"/>
      <c r="S21" s="49"/>
      <c r="T21" s="49"/>
      <c r="U21" s="49"/>
      <c r="V21" s="49"/>
      <c r="W21" s="49"/>
      <c r="X21" s="49"/>
      <c r="Y21" s="49"/>
      <c r="Z21" s="49"/>
    </row>
    <row r="22" spans="1:26" ht="12.75" customHeight="1">
      <c r="A22" s="207" t="s">
        <v>256</v>
      </c>
      <c r="B22" s="208" t="s">
        <v>290</v>
      </c>
      <c r="C22" s="208" t="s">
        <v>291</v>
      </c>
      <c r="D22" s="209">
        <v>6.7939999999999996</v>
      </c>
      <c r="E22" s="209">
        <v>0.10148082737744724</v>
      </c>
      <c r="F22" s="209">
        <f t="shared" si="0"/>
        <v>0.68946074120237644</v>
      </c>
      <c r="G22" s="210">
        <f t="shared" si="1"/>
        <v>0.29919339999999994</v>
      </c>
      <c r="H22" s="209">
        <v>8.7739999999999991</v>
      </c>
      <c r="I22" s="211">
        <f t="shared" si="2"/>
        <v>2.9919339999999996E-2</v>
      </c>
      <c r="J22" s="209" t="str">
        <f>' Calculation'!$B$24</f>
        <v>Gas</v>
      </c>
      <c r="K22" s="209">
        <v>0.97785977859778583</v>
      </c>
      <c r="L22" s="203" t="s">
        <v>255</v>
      </c>
      <c r="M22" s="212">
        <f t="shared" si="3"/>
        <v>0.29256919188191871</v>
      </c>
      <c r="N22" s="213">
        <f t="shared" si="4"/>
        <v>0.9820299330842952</v>
      </c>
      <c r="O22" s="309"/>
      <c r="P22" s="65"/>
      <c r="Q22" s="65"/>
      <c r="R22" s="206"/>
    </row>
    <row r="23" spans="1:26" ht="12.75" customHeight="1">
      <c r="A23" s="207" t="s">
        <v>268</v>
      </c>
      <c r="B23" s="208" t="s">
        <v>292</v>
      </c>
      <c r="C23" s="208" t="s">
        <v>275</v>
      </c>
      <c r="D23" s="209">
        <v>16.925999999999998</v>
      </c>
      <c r="E23" s="209">
        <v>0.11348406882544787</v>
      </c>
      <c r="F23" s="209">
        <f t="shared" si="0"/>
        <v>1.9208313489395306</v>
      </c>
      <c r="G23" s="210">
        <f t="shared" si="1"/>
        <v>1.7049999999999999E-2</v>
      </c>
      <c r="H23" s="209">
        <v>0.5</v>
      </c>
      <c r="I23" s="211">
        <f t="shared" si="2"/>
        <v>1.7049999999999999E-3</v>
      </c>
      <c r="J23" s="209" t="str">
        <f>' Calculation'!$B$24</f>
        <v>Gas</v>
      </c>
      <c r="K23" s="209">
        <v>1.1869618696186961</v>
      </c>
      <c r="L23" s="203" t="s">
        <v>255</v>
      </c>
      <c r="M23" s="212">
        <f t="shared" si="3"/>
        <v>2.0237699876998767E-2</v>
      </c>
      <c r="N23" s="213">
        <f t="shared" si="4"/>
        <v>1.9410690488165294</v>
      </c>
      <c r="O23" s="309"/>
      <c r="P23" s="65"/>
      <c r="Q23" s="65"/>
      <c r="R23" s="206"/>
    </row>
    <row r="24" spans="1:26" ht="12.75" customHeight="1">
      <c r="A24" s="214" t="s">
        <v>256</v>
      </c>
      <c r="B24" s="215" t="s">
        <v>293</v>
      </c>
      <c r="C24" s="215" t="s">
        <v>294</v>
      </c>
      <c r="D24" s="216">
        <v>6.7160000000000002</v>
      </c>
      <c r="E24" s="216">
        <v>0.14450021666708041</v>
      </c>
      <c r="F24" s="216">
        <f t="shared" si="0"/>
        <v>0.97046345513611199</v>
      </c>
      <c r="G24" s="217">
        <f t="shared" si="1"/>
        <v>0.25343120000000002</v>
      </c>
      <c r="H24" s="216">
        <v>7.4320000000000004</v>
      </c>
      <c r="I24" s="218">
        <f t="shared" si="2"/>
        <v>2.5343120000000004E-2</v>
      </c>
      <c r="J24" s="216" t="str">
        <f>' Calculation'!$B$24</f>
        <v>Gas</v>
      </c>
      <c r="K24" s="216">
        <v>1.1808118081180812</v>
      </c>
      <c r="L24" s="219" t="s">
        <v>255</v>
      </c>
      <c r="M24" s="220">
        <f t="shared" si="3"/>
        <v>0.29925455350553509</v>
      </c>
      <c r="N24" s="221">
        <f t="shared" si="4"/>
        <v>1.2697180086416471</v>
      </c>
      <c r="O24" s="310"/>
      <c r="P24" s="65"/>
      <c r="Q24" s="65"/>
      <c r="R24" s="206"/>
    </row>
    <row r="25" spans="1:26" ht="12.75" customHeight="1">
      <c r="A25" s="222"/>
      <c r="B25" s="65"/>
      <c r="C25" s="65"/>
      <c r="D25" s="65"/>
      <c r="E25" s="65"/>
      <c r="F25" s="65"/>
      <c r="G25" s="65"/>
      <c r="H25" s="65"/>
      <c r="I25" s="65"/>
      <c r="J25" s="65"/>
      <c r="K25" s="65"/>
      <c r="L25" s="65"/>
      <c r="M25" s="65"/>
      <c r="N25" s="65"/>
      <c r="O25" s="65"/>
      <c r="P25" s="65"/>
      <c r="Q25" s="65"/>
      <c r="R25" s="206"/>
    </row>
    <row r="26" spans="1:26" ht="12.75" customHeight="1">
      <c r="A26" s="222"/>
      <c r="B26" s="65"/>
      <c r="C26" s="65"/>
      <c r="D26" s="65"/>
      <c r="E26" s="65"/>
      <c r="F26" s="65"/>
      <c r="G26" s="65"/>
      <c r="H26" s="65"/>
      <c r="I26" s="65"/>
      <c r="J26" s="65"/>
      <c r="K26" s="65"/>
      <c r="L26" s="65"/>
      <c r="M26" s="65"/>
      <c r="N26" s="65"/>
      <c r="O26" s="65"/>
      <c r="P26" s="65"/>
      <c r="Q26" s="65"/>
      <c r="R26" s="206"/>
    </row>
    <row r="27" spans="1:26" ht="12.75" customHeight="1">
      <c r="A27" s="311" t="s">
        <v>295</v>
      </c>
      <c r="B27" s="302"/>
      <c r="C27" s="302"/>
      <c r="D27" s="302"/>
      <c r="E27" s="302"/>
      <c r="F27" s="302"/>
      <c r="G27" s="302"/>
      <c r="H27" s="302"/>
      <c r="I27" s="302"/>
      <c r="J27" s="302"/>
      <c r="K27" s="302"/>
      <c r="L27" s="302"/>
      <c r="M27" s="302"/>
      <c r="N27" s="303"/>
      <c r="O27" s="65"/>
      <c r="P27" s="65"/>
      <c r="Q27" s="65"/>
      <c r="R27" s="206"/>
    </row>
    <row r="28" spans="1:26" ht="12.75" customHeight="1">
      <c r="A28" s="193" t="s">
        <v>238</v>
      </c>
      <c r="B28" s="194" t="s">
        <v>239</v>
      </c>
      <c r="C28" s="194" t="s">
        <v>240</v>
      </c>
      <c r="D28" s="194" t="s">
        <v>241</v>
      </c>
      <c r="E28" s="194" t="s">
        <v>242</v>
      </c>
      <c r="F28" s="194" t="s">
        <v>243</v>
      </c>
      <c r="G28" s="194" t="s">
        <v>244</v>
      </c>
      <c r="H28" s="194" t="s">
        <v>245</v>
      </c>
      <c r="I28" s="194" t="s">
        <v>246</v>
      </c>
      <c r="J28" s="194" t="s">
        <v>247</v>
      </c>
      <c r="K28" s="194" t="s">
        <v>248</v>
      </c>
      <c r="L28" s="195" t="s">
        <v>249</v>
      </c>
      <c r="M28" s="194" t="s">
        <v>250</v>
      </c>
      <c r="N28" s="196" t="s">
        <v>251</v>
      </c>
      <c r="O28" s="65"/>
      <c r="P28" s="65"/>
      <c r="Q28" s="65"/>
      <c r="R28" s="206"/>
    </row>
    <row r="29" spans="1:26" ht="12.75" customHeight="1">
      <c r="A29" s="198" t="s">
        <v>252</v>
      </c>
      <c r="B29" s="199" t="s">
        <v>253</v>
      </c>
      <c r="C29" s="199" t="s">
        <v>254</v>
      </c>
      <c r="D29" s="200">
        <v>18.091999999999999</v>
      </c>
      <c r="E29" s="200">
        <v>0.11686342684914802</v>
      </c>
      <c r="F29" s="200">
        <f t="shared" ref="F29:F48" si="5">D29*E29</f>
        <v>2.114293118554786</v>
      </c>
      <c r="G29" s="201">
        <f t="shared" ref="G29:G48" si="6">H29*0.0341</f>
        <v>0.38365909999999998</v>
      </c>
      <c r="H29" s="200">
        <v>11.250999999999999</v>
      </c>
      <c r="I29" s="202">
        <f t="shared" ref="I29:I48" si="7">G29/10</f>
        <v>3.8365909999999996E-2</v>
      </c>
      <c r="J29" s="200" t="str">
        <f>' Calculation'!$B$24</f>
        <v>Gas</v>
      </c>
      <c r="K29" s="200">
        <v>0.95633456334563349</v>
      </c>
      <c r="L29" s="203" t="s">
        <v>255</v>
      </c>
      <c r="M29" s="204">
        <f t="shared" ref="M29:M48" si="8">IF(J29="Gas",(K29*G29),IF(J29="Steam",(L29*I29),(E29*H29)))</f>
        <v>0.36690645787207871</v>
      </c>
      <c r="N29" s="205">
        <f t="shared" ref="N29:N48" si="9">M29+F29</f>
        <v>2.4811995764268646</v>
      </c>
      <c r="O29" s="65"/>
      <c r="P29" s="65"/>
      <c r="Q29" s="65"/>
      <c r="R29" s="206"/>
    </row>
    <row r="30" spans="1:26" ht="12.75" customHeight="1">
      <c r="A30" s="207" t="s">
        <v>256</v>
      </c>
      <c r="B30" s="208" t="s">
        <v>257</v>
      </c>
      <c r="C30" s="208" t="s">
        <v>258</v>
      </c>
      <c r="D30" s="209">
        <v>13.4</v>
      </c>
      <c r="E30" s="209">
        <v>0.14539730669135159</v>
      </c>
      <c r="F30" s="209">
        <f t="shared" si="5"/>
        <v>1.9483239096641114</v>
      </c>
      <c r="G30" s="210">
        <f t="shared" si="6"/>
        <v>0.69823159999999995</v>
      </c>
      <c r="H30" s="209">
        <v>20.475999999999999</v>
      </c>
      <c r="I30" s="211">
        <f t="shared" si="7"/>
        <v>6.9823159999999995E-2</v>
      </c>
      <c r="J30" s="209" t="str">
        <f>' Calculation'!$B$24</f>
        <v>Gas</v>
      </c>
      <c r="K30" s="209">
        <v>1.0619106191061909</v>
      </c>
      <c r="L30" s="223" t="s">
        <v>255</v>
      </c>
      <c r="M30" s="212">
        <f t="shared" si="8"/>
        <v>0.74145955063550617</v>
      </c>
      <c r="N30" s="213">
        <f t="shared" si="9"/>
        <v>2.6897834602996173</v>
      </c>
      <c r="O30" s="65"/>
      <c r="P30" s="65"/>
      <c r="Q30" s="65"/>
      <c r="R30" s="206"/>
    </row>
    <row r="31" spans="1:26" ht="12.75" customHeight="1">
      <c r="A31" s="207" t="s">
        <v>259</v>
      </c>
      <c r="B31" s="208" t="s">
        <v>260</v>
      </c>
      <c r="C31" s="208" t="s">
        <v>261</v>
      </c>
      <c r="D31" s="209">
        <v>8.4920000000000009</v>
      </c>
      <c r="E31" s="209">
        <v>0.20385299361528719</v>
      </c>
      <c r="F31" s="209">
        <f t="shared" si="5"/>
        <v>1.731119621781019</v>
      </c>
      <c r="G31" s="210">
        <f t="shared" si="6"/>
        <v>0.90535500000000002</v>
      </c>
      <c r="H31" s="209">
        <v>26.55</v>
      </c>
      <c r="I31" s="211">
        <f t="shared" si="7"/>
        <v>9.0535500000000005E-2</v>
      </c>
      <c r="J31" s="209" t="str">
        <f>' Calculation'!$B$24</f>
        <v>Gas</v>
      </c>
      <c r="K31" s="209">
        <v>1.2904879048790487</v>
      </c>
      <c r="L31" s="223" t="s">
        <v>255</v>
      </c>
      <c r="M31" s="212">
        <f t="shared" si="8"/>
        <v>1.1683496771217712</v>
      </c>
      <c r="N31" s="213">
        <f t="shared" si="9"/>
        <v>2.8994692989027904</v>
      </c>
      <c r="O31" s="65"/>
      <c r="P31" s="65"/>
      <c r="Q31" s="65"/>
      <c r="R31" s="206"/>
    </row>
    <row r="32" spans="1:26" ht="12.75" customHeight="1">
      <c r="A32" s="207" t="s">
        <v>259</v>
      </c>
      <c r="B32" s="208" t="s">
        <v>262</v>
      </c>
      <c r="C32" s="208" t="s">
        <v>263</v>
      </c>
      <c r="D32" s="209">
        <v>9.9719999999999995</v>
      </c>
      <c r="E32" s="209">
        <v>0.11370895438031832</v>
      </c>
      <c r="F32" s="209">
        <f t="shared" si="5"/>
        <v>1.1339056930805342</v>
      </c>
      <c r="G32" s="210">
        <f t="shared" si="6"/>
        <v>1.0841072</v>
      </c>
      <c r="H32" s="209">
        <v>31.792000000000002</v>
      </c>
      <c r="I32" s="211">
        <f t="shared" si="7"/>
        <v>0.10841072</v>
      </c>
      <c r="J32" s="209" t="str">
        <f>' Calculation'!$B$24</f>
        <v>Gas</v>
      </c>
      <c r="K32" s="209">
        <v>0.83845838458384581</v>
      </c>
      <c r="L32" s="223" t="s">
        <v>255</v>
      </c>
      <c r="M32" s="212">
        <f t="shared" si="8"/>
        <v>0.90897877162771623</v>
      </c>
      <c r="N32" s="213">
        <f t="shared" si="9"/>
        <v>2.0428844647082505</v>
      </c>
      <c r="O32" s="65"/>
      <c r="P32" s="65"/>
      <c r="Q32" s="65"/>
      <c r="R32" s="206"/>
    </row>
    <row r="33" spans="1:18" ht="12.75" customHeight="1">
      <c r="A33" s="207" t="s">
        <v>252</v>
      </c>
      <c r="B33" s="208" t="s">
        <v>264</v>
      </c>
      <c r="C33" s="208" t="s">
        <v>265</v>
      </c>
      <c r="D33" s="209">
        <v>23.655999999999999</v>
      </c>
      <c r="E33" s="209">
        <v>0.13457776509291119</v>
      </c>
      <c r="F33" s="209">
        <f t="shared" si="5"/>
        <v>3.1835716110379071</v>
      </c>
      <c r="G33" s="210">
        <f t="shared" si="6"/>
        <v>0.32163120000000001</v>
      </c>
      <c r="H33" s="209">
        <v>9.4320000000000004</v>
      </c>
      <c r="I33" s="211">
        <f t="shared" si="7"/>
        <v>3.2163120000000003E-2</v>
      </c>
      <c r="J33" s="209" t="str">
        <f>' Calculation'!$B$24</f>
        <v>Gas</v>
      </c>
      <c r="K33" s="209">
        <v>0.76465764657646573</v>
      </c>
      <c r="L33" s="223" t="s">
        <v>255</v>
      </c>
      <c r="M33" s="212">
        <f t="shared" si="8"/>
        <v>0.24593775645756458</v>
      </c>
      <c r="N33" s="213">
        <f t="shared" si="9"/>
        <v>3.4295093674954717</v>
      </c>
      <c r="O33" s="65"/>
      <c r="P33" s="65"/>
      <c r="Q33" s="65"/>
      <c r="R33" s="206"/>
    </row>
    <row r="34" spans="1:18" ht="12.75" customHeight="1">
      <c r="A34" s="207" t="s">
        <v>259</v>
      </c>
      <c r="B34" s="208" t="s">
        <v>266</v>
      </c>
      <c r="C34" s="208" t="s">
        <v>267</v>
      </c>
      <c r="D34" s="209">
        <v>8.9390000000000001</v>
      </c>
      <c r="E34" s="209">
        <v>0.12377496180587519</v>
      </c>
      <c r="F34" s="209">
        <f t="shared" si="5"/>
        <v>1.1064243835827183</v>
      </c>
      <c r="G34" s="210">
        <f t="shared" si="6"/>
        <v>1.1261184</v>
      </c>
      <c r="H34" s="209">
        <v>33.024000000000001</v>
      </c>
      <c r="I34" s="211">
        <f t="shared" si="7"/>
        <v>0.11261183999999999</v>
      </c>
      <c r="J34" s="209" t="str">
        <f>' Calculation'!$B$24</f>
        <v>Gas</v>
      </c>
      <c r="K34" s="209">
        <v>0.72570725707257078</v>
      </c>
      <c r="L34" s="223" t="s">
        <v>255</v>
      </c>
      <c r="M34" s="212">
        <f t="shared" si="8"/>
        <v>0.81723229520295204</v>
      </c>
      <c r="N34" s="213">
        <f t="shared" si="9"/>
        <v>1.9236566787856704</v>
      </c>
      <c r="O34" s="65"/>
      <c r="P34" s="65"/>
      <c r="Q34" s="65"/>
      <c r="R34" s="206"/>
    </row>
    <row r="35" spans="1:18" ht="12.75" customHeight="1">
      <c r="A35" s="207" t="s">
        <v>268</v>
      </c>
      <c r="B35" s="208" t="s">
        <v>269</v>
      </c>
      <c r="C35" s="208" t="s">
        <v>265</v>
      </c>
      <c r="D35" s="209">
        <v>30.61</v>
      </c>
      <c r="E35" s="209">
        <v>0.12996036945435241</v>
      </c>
      <c r="F35" s="209">
        <f t="shared" si="5"/>
        <v>3.9780869089977271</v>
      </c>
      <c r="G35" s="210">
        <f t="shared" si="6"/>
        <v>0.1779338</v>
      </c>
      <c r="H35" s="209">
        <v>5.218</v>
      </c>
      <c r="I35" s="211">
        <f t="shared" si="7"/>
        <v>1.7793380000000001E-2</v>
      </c>
      <c r="J35" s="209" t="str">
        <f>' Calculation'!$B$24</f>
        <v>Gas</v>
      </c>
      <c r="K35" s="209">
        <v>0.76465764657646573</v>
      </c>
      <c r="L35" s="223" t="s">
        <v>255</v>
      </c>
      <c r="M35" s="212">
        <f t="shared" si="8"/>
        <v>0.13605844075440754</v>
      </c>
      <c r="N35" s="213">
        <f t="shared" si="9"/>
        <v>4.1141453497521345</v>
      </c>
      <c r="O35" s="65"/>
      <c r="P35" s="65"/>
      <c r="Q35" s="65"/>
      <c r="R35" s="206"/>
    </row>
    <row r="36" spans="1:18" ht="12.75" customHeight="1">
      <c r="A36" s="207" t="s">
        <v>270</v>
      </c>
      <c r="B36" s="208" t="s">
        <v>271</v>
      </c>
      <c r="C36" s="208" t="s">
        <v>272</v>
      </c>
      <c r="D36" s="209">
        <v>10.518000000000001</v>
      </c>
      <c r="E36" s="209">
        <v>0.185772716173392</v>
      </c>
      <c r="F36" s="209">
        <f t="shared" si="5"/>
        <v>1.9539574287117372</v>
      </c>
      <c r="G36" s="210">
        <f t="shared" si="6"/>
        <v>4.2624999999999996E-2</v>
      </c>
      <c r="H36" s="209">
        <v>1.25</v>
      </c>
      <c r="I36" s="211">
        <f t="shared" si="7"/>
        <v>4.2624999999999998E-3</v>
      </c>
      <c r="J36" s="209" t="str">
        <f>' Calculation'!$B$24</f>
        <v>Gas</v>
      </c>
      <c r="K36" s="209">
        <v>1.0742107421074212</v>
      </c>
      <c r="L36" s="223" t="s">
        <v>255</v>
      </c>
      <c r="M36" s="212">
        <f t="shared" si="8"/>
        <v>4.5788232882328826E-2</v>
      </c>
      <c r="N36" s="213">
        <f t="shared" si="9"/>
        <v>1.9997456615940661</v>
      </c>
      <c r="O36" s="65"/>
      <c r="P36" s="65"/>
      <c r="Q36" s="65"/>
      <c r="R36" s="206"/>
    </row>
    <row r="37" spans="1:18" ht="12.75" customHeight="1">
      <c r="A37" s="207" t="s">
        <v>273</v>
      </c>
      <c r="B37" s="208" t="s">
        <v>274</v>
      </c>
      <c r="C37" s="208" t="s">
        <v>275</v>
      </c>
      <c r="D37" s="209">
        <v>42.743000000000002</v>
      </c>
      <c r="E37" s="209">
        <v>0.10780999346406515</v>
      </c>
      <c r="F37" s="209">
        <f t="shared" si="5"/>
        <v>4.6081225506345369</v>
      </c>
      <c r="G37" s="210">
        <f t="shared" si="6"/>
        <v>6.9904999999999993E-3</v>
      </c>
      <c r="H37" s="209">
        <v>0.20499999999999999</v>
      </c>
      <c r="I37" s="211">
        <f t="shared" si="7"/>
        <v>6.9904999999999989E-4</v>
      </c>
      <c r="J37" s="209" t="str">
        <f>' Calculation'!$B$24</f>
        <v>Gas</v>
      </c>
      <c r="K37" s="209">
        <v>1.1869618696186961</v>
      </c>
      <c r="L37" s="223" t="s">
        <v>255</v>
      </c>
      <c r="M37" s="212">
        <f t="shared" si="8"/>
        <v>8.2974569495694941E-3</v>
      </c>
      <c r="N37" s="213">
        <f t="shared" si="9"/>
        <v>4.6164200075841064</v>
      </c>
      <c r="O37" s="65"/>
      <c r="P37" s="65"/>
      <c r="Q37" s="65"/>
      <c r="R37" s="206"/>
    </row>
    <row r="38" spans="1:18" ht="12.75" customHeight="1">
      <c r="A38" s="207" t="s">
        <v>276</v>
      </c>
      <c r="B38" s="208" t="s">
        <v>277</v>
      </c>
      <c r="C38" s="208" t="s">
        <v>278</v>
      </c>
      <c r="D38" s="209">
        <v>7.407</v>
      </c>
      <c r="E38" s="209">
        <v>0.12965433518315639</v>
      </c>
      <c r="F38" s="209">
        <f t="shared" si="5"/>
        <v>0.96034966070163941</v>
      </c>
      <c r="G38" s="210">
        <f t="shared" si="6"/>
        <v>1.5337156999999999</v>
      </c>
      <c r="H38" s="209">
        <v>44.976999999999997</v>
      </c>
      <c r="I38" s="211">
        <f t="shared" si="7"/>
        <v>0.15337156999999998</v>
      </c>
      <c r="J38" s="209" t="str">
        <f>' Calculation'!$B$24</f>
        <v>Gas</v>
      </c>
      <c r="K38" s="209">
        <v>0.74313243132431317</v>
      </c>
      <c r="L38" s="223" t="s">
        <v>255</v>
      </c>
      <c r="M38" s="212">
        <f t="shared" si="8"/>
        <v>1.1397538771012707</v>
      </c>
      <c r="N38" s="213">
        <f t="shared" si="9"/>
        <v>2.10010353780291</v>
      </c>
      <c r="O38" s="65"/>
      <c r="P38" s="65"/>
      <c r="Q38" s="65"/>
      <c r="R38" s="206"/>
    </row>
    <row r="39" spans="1:18" ht="12.75" customHeight="1">
      <c r="A39" s="207" t="s">
        <v>256</v>
      </c>
      <c r="B39" s="208" t="s">
        <v>279</v>
      </c>
      <c r="C39" s="208" t="s">
        <v>280</v>
      </c>
      <c r="D39" s="209">
        <v>12.513</v>
      </c>
      <c r="E39" s="209">
        <v>0.23670086343605759</v>
      </c>
      <c r="F39" s="209">
        <f t="shared" si="5"/>
        <v>2.9618379041753884</v>
      </c>
      <c r="G39" s="210">
        <f t="shared" si="6"/>
        <v>0.72690969999999999</v>
      </c>
      <c r="H39" s="209">
        <v>21.317</v>
      </c>
      <c r="I39" s="211">
        <f t="shared" si="7"/>
        <v>7.2690969999999994E-2</v>
      </c>
      <c r="J39" s="209" t="str">
        <f>' Calculation'!$B$24</f>
        <v>Gas</v>
      </c>
      <c r="K39" s="209">
        <v>0.97580975809758097</v>
      </c>
      <c r="L39" s="209">
        <v>30</v>
      </c>
      <c r="M39" s="212">
        <f t="shared" si="8"/>
        <v>0.70932557851578515</v>
      </c>
      <c r="N39" s="213">
        <f t="shared" si="9"/>
        <v>3.6711634826911737</v>
      </c>
      <c r="O39" s="65"/>
      <c r="P39" s="65"/>
      <c r="Q39" s="65"/>
      <c r="R39" s="206"/>
    </row>
    <row r="40" spans="1:18" ht="12.75" customHeight="1">
      <c r="A40" s="207" t="s">
        <v>256</v>
      </c>
      <c r="B40" s="208" t="s">
        <v>281</v>
      </c>
      <c r="C40" s="208" t="s">
        <v>282</v>
      </c>
      <c r="D40" s="209">
        <v>12.775</v>
      </c>
      <c r="E40" s="209">
        <v>0.12708573183772798</v>
      </c>
      <c r="F40" s="209">
        <f t="shared" si="5"/>
        <v>1.6235202242269751</v>
      </c>
      <c r="G40" s="210">
        <f t="shared" si="6"/>
        <v>0.7438574</v>
      </c>
      <c r="H40" s="209">
        <v>21.814</v>
      </c>
      <c r="I40" s="211">
        <f t="shared" si="7"/>
        <v>7.4385740000000006E-2</v>
      </c>
      <c r="J40" s="209" t="str">
        <f>' Calculation'!$B$24</f>
        <v>Gas</v>
      </c>
      <c r="K40" s="209">
        <v>1.0219352193521936</v>
      </c>
      <c r="L40" s="223" t="s">
        <v>255</v>
      </c>
      <c r="M40" s="212">
        <f t="shared" si="8"/>
        <v>0.76017407523575242</v>
      </c>
      <c r="N40" s="213">
        <f t="shared" si="9"/>
        <v>2.3836942994627277</v>
      </c>
      <c r="O40" s="65"/>
      <c r="P40" s="65"/>
      <c r="Q40" s="65"/>
      <c r="R40" s="206"/>
    </row>
    <row r="41" spans="1:18" ht="12.75" customHeight="1">
      <c r="A41" s="207" t="s">
        <v>283</v>
      </c>
      <c r="B41" s="208" t="s">
        <v>284</v>
      </c>
      <c r="C41" s="208" t="s">
        <v>285</v>
      </c>
      <c r="D41" s="209">
        <v>20.992999999999999</v>
      </c>
      <c r="E41" s="209">
        <v>0.13637553460914359</v>
      </c>
      <c r="F41" s="209">
        <f t="shared" si="5"/>
        <v>2.8629315980497512</v>
      </c>
      <c r="G41" s="210">
        <f t="shared" si="6"/>
        <v>9.2717899999999992E-2</v>
      </c>
      <c r="H41" s="209">
        <v>2.7189999999999999</v>
      </c>
      <c r="I41" s="211">
        <f t="shared" si="7"/>
        <v>9.2717899999999985E-3</v>
      </c>
      <c r="J41" s="209" t="str">
        <f>' Calculation'!$B$24</f>
        <v>Gas</v>
      </c>
      <c r="K41" s="209">
        <v>0.87330873308733081</v>
      </c>
      <c r="L41" s="223" t="s">
        <v>255</v>
      </c>
      <c r="M41" s="212">
        <f t="shared" si="8"/>
        <v>8.0971351783517817E-2</v>
      </c>
      <c r="N41" s="213">
        <f t="shared" si="9"/>
        <v>2.9439029498332689</v>
      </c>
      <c r="O41" s="65"/>
      <c r="P41" s="65"/>
      <c r="Q41" s="65"/>
      <c r="R41" s="206"/>
    </row>
    <row r="42" spans="1:18" ht="12.75" customHeight="1">
      <c r="A42" s="207" t="s">
        <v>252</v>
      </c>
      <c r="B42" s="208" t="s">
        <v>80</v>
      </c>
      <c r="C42" s="208" t="s">
        <v>286</v>
      </c>
      <c r="D42" s="209">
        <v>18.137</v>
      </c>
      <c r="E42" s="209">
        <v>9.3100000000000002E-2</v>
      </c>
      <c r="F42" s="209">
        <f t="shared" si="5"/>
        <v>1.6885547000000001</v>
      </c>
      <c r="G42" s="210">
        <f t="shared" si="6"/>
        <v>0.50689649999999997</v>
      </c>
      <c r="H42" s="209">
        <v>14.865</v>
      </c>
      <c r="I42" s="211">
        <f t="shared" si="7"/>
        <v>5.0689649999999996E-2</v>
      </c>
      <c r="J42" s="209" t="str">
        <f>' Calculation'!$B$24</f>
        <v>Gas</v>
      </c>
      <c r="K42" s="209">
        <f>8.76/10.37</f>
        <v>0.84474445515911289</v>
      </c>
      <c r="L42" s="223" t="s">
        <v>255</v>
      </c>
      <c r="M42" s="212">
        <f t="shared" si="8"/>
        <v>0.42819800771456124</v>
      </c>
      <c r="N42" s="213">
        <f t="shared" si="9"/>
        <v>2.1167527077145611</v>
      </c>
      <c r="O42" s="65"/>
      <c r="P42" s="65"/>
      <c r="Q42" s="65"/>
      <c r="R42" s="206"/>
    </row>
    <row r="43" spans="1:18" ht="12.75" customHeight="1">
      <c r="A43" s="207" t="s">
        <v>270</v>
      </c>
      <c r="B43" s="208" t="s">
        <v>287</v>
      </c>
      <c r="C43" s="208" t="s">
        <v>272</v>
      </c>
      <c r="D43" s="209">
        <v>10.98</v>
      </c>
      <c r="E43" s="209">
        <v>0.170495122192896</v>
      </c>
      <c r="F43" s="209">
        <f t="shared" si="5"/>
        <v>1.8720364416779982</v>
      </c>
      <c r="G43" s="210">
        <f t="shared" si="6"/>
        <v>0.16084969999999998</v>
      </c>
      <c r="H43" s="209">
        <v>4.7169999999999996</v>
      </c>
      <c r="I43" s="211">
        <f t="shared" si="7"/>
        <v>1.6084969999999997E-2</v>
      </c>
      <c r="J43" s="209" t="str">
        <f>' Calculation'!$B$24</f>
        <v>Gas</v>
      </c>
      <c r="K43" s="209">
        <v>1.0742107421074212</v>
      </c>
      <c r="L43" s="223" t="s">
        <v>255</v>
      </c>
      <c r="M43" s="212">
        <f t="shared" si="8"/>
        <v>0.17278647560475605</v>
      </c>
      <c r="N43" s="213">
        <f t="shared" si="9"/>
        <v>2.0448229172827541</v>
      </c>
      <c r="O43" s="65"/>
      <c r="P43" s="65"/>
      <c r="Q43" s="65"/>
      <c r="R43" s="206"/>
    </row>
    <row r="44" spans="1:18" ht="12.75" customHeight="1">
      <c r="A44" s="207" t="s">
        <v>270</v>
      </c>
      <c r="B44" s="208" t="s">
        <v>288</v>
      </c>
      <c r="C44" s="208" t="s">
        <v>272</v>
      </c>
      <c r="D44" s="209">
        <v>12.776999999999999</v>
      </c>
      <c r="E44" s="209">
        <v>0.25462256597984878</v>
      </c>
      <c r="F44" s="209">
        <f t="shared" si="5"/>
        <v>3.2533125255245277</v>
      </c>
      <c r="G44" s="210">
        <f t="shared" si="6"/>
        <v>3.3520299999999996E-2</v>
      </c>
      <c r="H44" s="209">
        <v>0.98299999999999998</v>
      </c>
      <c r="I44" s="211">
        <f t="shared" si="7"/>
        <v>3.3520299999999998E-3</v>
      </c>
      <c r="J44" s="209" t="str">
        <f>' Calculation'!$B$24</f>
        <v>Gas</v>
      </c>
      <c r="K44" s="209">
        <v>1.0742107421074212</v>
      </c>
      <c r="L44" s="223" t="s">
        <v>255</v>
      </c>
      <c r="M44" s="212">
        <f t="shared" si="8"/>
        <v>3.6007866338663388E-2</v>
      </c>
      <c r="N44" s="213">
        <f t="shared" si="9"/>
        <v>3.2893203918631913</v>
      </c>
      <c r="O44" s="65"/>
      <c r="P44" s="65"/>
      <c r="Q44" s="65"/>
      <c r="R44" s="206"/>
    </row>
    <row r="45" spans="1:18" ht="12.75" customHeight="1">
      <c r="A45" s="207" t="s">
        <v>270</v>
      </c>
      <c r="B45" s="208" t="s">
        <v>289</v>
      </c>
      <c r="C45" s="208" t="s">
        <v>272</v>
      </c>
      <c r="D45" s="209">
        <v>5.8440000000000003</v>
      </c>
      <c r="E45" s="209">
        <v>0.22919999999999999</v>
      </c>
      <c r="F45" s="209">
        <f t="shared" si="5"/>
        <v>1.3394448000000001</v>
      </c>
      <c r="G45" s="210">
        <f t="shared" si="6"/>
        <v>0.1981551</v>
      </c>
      <c r="H45" s="209">
        <v>5.8109999999999999</v>
      </c>
      <c r="I45" s="211">
        <f t="shared" si="7"/>
        <v>1.9815510000000001E-2</v>
      </c>
      <c r="J45" s="209" t="str">
        <f>' Calculation'!$B$24</f>
        <v>Gas</v>
      </c>
      <c r="K45" s="209">
        <v>1.07</v>
      </c>
      <c r="L45" s="223" t="s">
        <v>255</v>
      </c>
      <c r="M45" s="212">
        <f t="shared" si="8"/>
        <v>0.21202595700000001</v>
      </c>
      <c r="N45" s="213">
        <f t="shared" si="9"/>
        <v>1.5514707570000001</v>
      </c>
      <c r="O45" s="65"/>
      <c r="P45" s="65"/>
      <c r="Q45" s="65"/>
      <c r="R45" s="206"/>
    </row>
    <row r="46" spans="1:18" ht="12.75" customHeight="1">
      <c r="A46" s="207" t="s">
        <v>256</v>
      </c>
      <c r="B46" s="208" t="s">
        <v>290</v>
      </c>
      <c r="C46" s="208" t="s">
        <v>291</v>
      </c>
      <c r="D46" s="209">
        <v>13.955</v>
      </c>
      <c r="E46" s="209">
        <v>0.10148082737744724</v>
      </c>
      <c r="F46" s="209">
        <f t="shared" si="5"/>
        <v>1.4161649460522763</v>
      </c>
      <c r="G46" s="210">
        <f t="shared" si="6"/>
        <v>0.78331109999999993</v>
      </c>
      <c r="H46" s="209">
        <v>22.971</v>
      </c>
      <c r="I46" s="211">
        <f t="shared" si="7"/>
        <v>7.8331109999999995E-2</v>
      </c>
      <c r="J46" s="209" t="str">
        <f>' Calculation'!$B$24</f>
        <v>Gas</v>
      </c>
      <c r="K46" s="209">
        <v>0.97785977859778583</v>
      </c>
      <c r="L46" s="223" t="s">
        <v>255</v>
      </c>
      <c r="M46" s="212">
        <f t="shared" si="8"/>
        <v>0.76596841881918798</v>
      </c>
      <c r="N46" s="213">
        <f t="shared" si="9"/>
        <v>2.182133364871464</v>
      </c>
      <c r="O46" s="65"/>
      <c r="P46" s="65"/>
      <c r="Q46" s="65"/>
      <c r="R46" s="206"/>
    </row>
    <row r="47" spans="1:18" ht="12.75" customHeight="1">
      <c r="A47" s="207" t="s">
        <v>268</v>
      </c>
      <c r="B47" s="208" t="s">
        <v>292</v>
      </c>
      <c r="C47" s="208" t="s">
        <v>275</v>
      </c>
      <c r="D47" s="209">
        <v>36.036000000000001</v>
      </c>
      <c r="E47" s="209">
        <v>0.11348406882544787</v>
      </c>
      <c r="F47" s="209">
        <f t="shared" si="5"/>
        <v>4.0895119041938397</v>
      </c>
      <c r="G47" s="210">
        <f t="shared" si="6"/>
        <v>5.8788399999999998E-2</v>
      </c>
      <c r="H47" s="209">
        <v>1.724</v>
      </c>
      <c r="I47" s="211">
        <f t="shared" si="7"/>
        <v>5.8788399999999998E-3</v>
      </c>
      <c r="J47" s="209" t="str">
        <f>' Calculation'!$B$24</f>
        <v>Gas</v>
      </c>
      <c r="K47" s="209">
        <v>1.1869618696186961</v>
      </c>
      <c r="L47" s="223" t="s">
        <v>255</v>
      </c>
      <c r="M47" s="212">
        <f t="shared" si="8"/>
        <v>6.9779589175891749E-2</v>
      </c>
      <c r="N47" s="213">
        <f t="shared" si="9"/>
        <v>4.1592914933697314</v>
      </c>
      <c r="O47" s="65"/>
      <c r="P47" s="65"/>
      <c r="Q47" s="65"/>
      <c r="R47" s="206"/>
    </row>
    <row r="48" spans="1:18" ht="12.75" customHeight="1">
      <c r="A48" s="214" t="s">
        <v>256</v>
      </c>
      <c r="B48" s="215" t="s">
        <v>293</v>
      </c>
      <c r="C48" s="215" t="s">
        <v>294</v>
      </c>
      <c r="D48" s="216">
        <v>13.173999999999999</v>
      </c>
      <c r="E48" s="216">
        <v>0.14450021666708041</v>
      </c>
      <c r="F48" s="216">
        <f t="shared" si="5"/>
        <v>1.9036458543721171</v>
      </c>
      <c r="G48" s="217">
        <f t="shared" si="6"/>
        <v>0.76097559999999997</v>
      </c>
      <c r="H48" s="216">
        <v>22.315999999999999</v>
      </c>
      <c r="I48" s="218">
        <f t="shared" si="7"/>
        <v>7.6097559999999995E-2</v>
      </c>
      <c r="J48" s="216" t="str">
        <f>' Calculation'!$B$24</f>
        <v>Gas</v>
      </c>
      <c r="K48" s="216">
        <v>1.1808118081180812</v>
      </c>
      <c r="L48" s="219" t="s">
        <v>255</v>
      </c>
      <c r="M48" s="220">
        <f t="shared" si="8"/>
        <v>0.89856897416974169</v>
      </c>
      <c r="N48" s="221">
        <f t="shared" si="9"/>
        <v>2.8022148285418589</v>
      </c>
      <c r="O48" s="65"/>
      <c r="P48" s="65"/>
      <c r="Q48" s="65"/>
      <c r="R48" s="206"/>
    </row>
    <row r="49" spans="1:18" ht="12.75" customHeight="1">
      <c r="A49" s="224"/>
      <c r="B49" s="225"/>
      <c r="C49" s="225"/>
      <c r="D49" s="225"/>
      <c r="E49" s="225"/>
      <c r="F49" s="225"/>
      <c r="G49" s="225"/>
      <c r="H49" s="225"/>
      <c r="I49" s="225"/>
      <c r="J49" s="225"/>
      <c r="K49" s="225"/>
      <c r="L49" s="225"/>
      <c r="M49" s="225"/>
      <c r="N49" s="225"/>
      <c r="O49" s="225"/>
      <c r="P49" s="225"/>
      <c r="Q49" s="225"/>
      <c r="R49" s="226"/>
    </row>
    <row r="50" spans="1:18" ht="12.75" customHeight="1">
      <c r="A50" s="227"/>
    </row>
    <row r="51" spans="1:18" ht="12.75" customHeight="1">
      <c r="A51" s="227"/>
    </row>
    <row r="52" spans="1:18" ht="12.75" customHeight="1">
      <c r="A52" s="227"/>
    </row>
    <row r="53" spans="1:18" ht="12.75" customHeight="1">
      <c r="A53" s="227"/>
    </row>
    <row r="54" spans="1:18" ht="12.75" customHeight="1">
      <c r="A54" s="227"/>
    </row>
    <row r="55" spans="1:18" ht="12.75" customHeight="1">
      <c r="A55" s="227"/>
    </row>
    <row r="56" spans="1:18" ht="12.75" customHeight="1">
      <c r="A56" s="227"/>
    </row>
    <row r="57" spans="1:18" ht="12.75" customHeight="1">
      <c r="A57" s="227"/>
    </row>
    <row r="58" spans="1:18" ht="12.75" customHeight="1">
      <c r="A58" s="227"/>
    </row>
    <row r="59" spans="1:18" ht="12.75" customHeight="1">
      <c r="A59" s="227"/>
    </row>
    <row r="60" spans="1:18" ht="12.75" customHeight="1">
      <c r="A60" s="227"/>
    </row>
    <row r="61" spans="1:18" ht="12.75" customHeight="1">
      <c r="A61" s="227"/>
    </row>
    <row r="62" spans="1:18" ht="12.75" customHeight="1">
      <c r="A62" s="227"/>
    </row>
    <row r="63" spans="1:18" ht="12.75" customHeight="1">
      <c r="A63" s="227"/>
    </row>
    <row r="64" spans="1:18" ht="12.75" customHeight="1">
      <c r="A64" s="227"/>
    </row>
    <row r="65" spans="1:1" ht="12.75" customHeight="1">
      <c r="A65" s="227"/>
    </row>
    <row r="66" spans="1:1" ht="12.75" customHeight="1">
      <c r="A66" s="227"/>
    </row>
    <row r="67" spans="1:1" ht="12.75" customHeight="1">
      <c r="A67" s="227"/>
    </row>
    <row r="68" spans="1:1" ht="12.75" customHeight="1">
      <c r="A68" s="227"/>
    </row>
    <row r="69" spans="1:1" ht="12.75" customHeight="1">
      <c r="A69" s="227"/>
    </row>
    <row r="70" spans="1:1" ht="12.75" customHeight="1">
      <c r="A70" s="227"/>
    </row>
    <row r="71" spans="1:1" ht="12.75" customHeight="1">
      <c r="A71" s="227"/>
    </row>
    <row r="72" spans="1:1" ht="12.75" customHeight="1">
      <c r="A72" s="227"/>
    </row>
    <row r="73" spans="1:1" ht="12.75" customHeight="1">
      <c r="A73" s="227"/>
    </row>
    <row r="74" spans="1:1" ht="12.75" customHeight="1">
      <c r="A74" s="227"/>
    </row>
    <row r="75" spans="1:1" ht="12.75" customHeight="1">
      <c r="A75" s="227"/>
    </row>
    <row r="76" spans="1:1" ht="12.75" customHeight="1">
      <c r="A76" s="227"/>
    </row>
    <row r="77" spans="1:1" ht="12.75" customHeight="1">
      <c r="A77" s="227"/>
    </row>
    <row r="78" spans="1:1" ht="12.75" customHeight="1">
      <c r="A78" s="227"/>
    </row>
    <row r="79" spans="1:1" ht="12.75" customHeight="1">
      <c r="A79" s="227"/>
    </row>
    <row r="80" spans="1:1" ht="12.75" customHeight="1">
      <c r="A80" s="227"/>
    </row>
    <row r="81" spans="1:1" ht="12.75" customHeight="1">
      <c r="A81" s="227"/>
    </row>
    <row r="82" spans="1:1" ht="12.75" customHeight="1">
      <c r="A82" s="227"/>
    </row>
    <row r="83" spans="1:1" ht="12.75" customHeight="1">
      <c r="A83" s="227"/>
    </row>
    <row r="84" spans="1:1" ht="12.75" customHeight="1">
      <c r="A84" s="227"/>
    </row>
    <row r="85" spans="1:1" ht="12.75" customHeight="1">
      <c r="A85" s="227"/>
    </row>
    <row r="86" spans="1:1" ht="12.75" customHeight="1">
      <c r="A86" s="227"/>
    </row>
    <row r="87" spans="1:1" ht="12.75" customHeight="1">
      <c r="A87" s="227"/>
    </row>
    <row r="88" spans="1:1" ht="12.75" customHeight="1">
      <c r="A88" s="227"/>
    </row>
    <row r="89" spans="1:1" ht="12.75" customHeight="1">
      <c r="A89" s="227"/>
    </row>
    <row r="90" spans="1:1" ht="12.75" customHeight="1">
      <c r="A90" s="227"/>
    </row>
    <row r="91" spans="1:1" ht="12.75" customHeight="1">
      <c r="A91" s="227"/>
    </row>
    <row r="92" spans="1:1" ht="12.75" customHeight="1">
      <c r="A92" s="227"/>
    </row>
    <row r="93" spans="1:1" ht="12.75" customHeight="1">
      <c r="A93" s="227"/>
    </row>
    <row r="94" spans="1:1" ht="12.75" customHeight="1">
      <c r="A94" s="227"/>
    </row>
    <row r="95" spans="1:1" ht="12.75" customHeight="1">
      <c r="A95" s="227"/>
    </row>
    <row r="96" spans="1:1" ht="12.75" customHeight="1">
      <c r="A96" s="227"/>
    </row>
    <row r="97" spans="1:1" ht="12.75" customHeight="1">
      <c r="A97" s="227"/>
    </row>
    <row r="98" spans="1:1" ht="12.75" customHeight="1">
      <c r="A98" s="227"/>
    </row>
    <row r="99" spans="1:1" ht="12.75" customHeight="1">
      <c r="A99" s="227"/>
    </row>
    <row r="100" spans="1:1" ht="12.75" customHeight="1">
      <c r="A100" s="227"/>
    </row>
    <row r="101" spans="1:1" ht="12.75" customHeight="1">
      <c r="A101" s="227"/>
    </row>
    <row r="102" spans="1:1" ht="12.75" customHeight="1">
      <c r="A102" s="227"/>
    </row>
    <row r="103" spans="1:1" ht="12.75" customHeight="1">
      <c r="A103" s="227"/>
    </row>
    <row r="104" spans="1:1" ht="12.75" customHeight="1">
      <c r="A104" s="227"/>
    </row>
    <row r="105" spans="1:1" ht="12.75" customHeight="1">
      <c r="A105" s="227"/>
    </row>
    <row r="106" spans="1:1" ht="12.75" customHeight="1">
      <c r="A106" s="227"/>
    </row>
    <row r="107" spans="1:1" ht="12.75" customHeight="1">
      <c r="A107" s="227"/>
    </row>
    <row r="108" spans="1:1" ht="12.75" customHeight="1">
      <c r="A108" s="227"/>
    </row>
    <row r="109" spans="1:1" ht="12.75" customHeight="1">
      <c r="A109" s="227"/>
    </row>
    <row r="110" spans="1:1" ht="12.75" customHeight="1">
      <c r="A110" s="227"/>
    </row>
    <row r="111" spans="1:1" ht="12.75" customHeight="1">
      <c r="A111" s="227"/>
    </row>
    <row r="112" spans="1:1" ht="12.75" customHeight="1">
      <c r="A112" s="227"/>
    </row>
    <row r="113" spans="1:1" ht="12.75" customHeight="1">
      <c r="A113" s="227"/>
    </row>
    <row r="114" spans="1:1" ht="12.75" customHeight="1">
      <c r="A114" s="227"/>
    </row>
    <row r="115" spans="1:1" ht="12.75" customHeight="1">
      <c r="A115" s="227"/>
    </row>
    <row r="116" spans="1:1" ht="12.75" customHeight="1">
      <c r="A116" s="227"/>
    </row>
    <row r="117" spans="1:1" ht="12.75" customHeight="1">
      <c r="A117" s="227"/>
    </row>
    <row r="118" spans="1:1" ht="12.75" customHeight="1">
      <c r="A118" s="227"/>
    </row>
    <row r="119" spans="1:1" ht="12.75" customHeight="1">
      <c r="A119" s="227"/>
    </row>
    <row r="120" spans="1:1" ht="12.75" customHeight="1">
      <c r="A120" s="227"/>
    </row>
    <row r="121" spans="1:1" ht="12.75" customHeight="1">
      <c r="A121" s="227"/>
    </row>
    <row r="122" spans="1:1" ht="12.75" customHeight="1">
      <c r="A122" s="227"/>
    </row>
    <row r="123" spans="1:1" ht="12.75" customHeight="1">
      <c r="A123" s="227"/>
    </row>
    <row r="124" spans="1:1" ht="12.75" customHeight="1">
      <c r="A124" s="227"/>
    </row>
    <row r="125" spans="1:1" ht="12.75" customHeight="1">
      <c r="A125" s="227"/>
    </row>
    <row r="126" spans="1:1" ht="12.75" customHeight="1">
      <c r="A126" s="227"/>
    </row>
    <row r="127" spans="1:1" ht="12.75" customHeight="1">
      <c r="A127" s="227"/>
    </row>
    <row r="128" spans="1:1" ht="12.75" customHeight="1">
      <c r="A128" s="227"/>
    </row>
    <row r="129" spans="1:1" ht="12.75" customHeight="1">
      <c r="A129" s="227"/>
    </row>
    <row r="130" spans="1:1" ht="12.75" customHeight="1">
      <c r="A130" s="227"/>
    </row>
    <row r="131" spans="1:1" ht="12.75" customHeight="1">
      <c r="A131" s="227"/>
    </row>
    <row r="132" spans="1:1" ht="12.75" customHeight="1">
      <c r="A132" s="227"/>
    </row>
    <row r="133" spans="1:1" ht="12.75" customHeight="1">
      <c r="A133" s="227"/>
    </row>
    <row r="134" spans="1:1" ht="12.75" customHeight="1">
      <c r="A134" s="227"/>
    </row>
    <row r="135" spans="1:1" ht="12.75" customHeight="1">
      <c r="A135" s="227"/>
    </row>
    <row r="136" spans="1:1" ht="12.75" customHeight="1">
      <c r="A136" s="227"/>
    </row>
    <row r="137" spans="1:1" ht="12.75" customHeight="1">
      <c r="A137" s="227"/>
    </row>
    <row r="138" spans="1:1" ht="12.75" customHeight="1">
      <c r="A138" s="227"/>
    </row>
    <row r="139" spans="1:1" ht="12.75" customHeight="1">
      <c r="A139" s="227"/>
    </row>
    <row r="140" spans="1:1" ht="12.75" customHeight="1">
      <c r="A140" s="227"/>
    </row>
    <row r="141" spans="1:1" ht="12.75" customHeight="1">
      <c r="A141" s="227"/>
    </row>
    <row r="142" spans="1:1" ht="12.75" customHeight="1">
      <c r="A142" s="227"/>
    </row>
    <row r="143" spans="1:1" ht="12.75" customHeight="1">
      <c r="A143" s="227"/>
    </row>
    <row r="144" spans="1:1" ht="12.75" customHeight="1">
      <c r="A144" s="227"/>
    </row>
    <row r="145" spans="1:1" ht="12.75" customHeight="1">
      <c r="A145" s="227"/>
    </row>
    <row r="146" spans="1:1" ht="12.75" customHeight="1">
      <c r="A146" s="227"/>
    </row>
    <row r="147" spans="1:1" ht="12.75" customHeight="1">
      <c r="A147" s="227"/>
    </row>
    <row r="148" spans="1:1" ht="12.75" customHeight="1">
      <c r="A148" s="227"/>
    </row>
    <row r="149" spans="1:1" ht="12.75" customHeight="1">
      <c r="A149" s="227"/>
    </row>
    <row r="150" spans="1:1" ht="12.75" customHeight="1">
      <c r="A150" s="227"/>
    </row>
    <row r="151" spans="1:1" ht="12.75" customHeight="1">
      <c r="A151" s="227"/>
    </row>
    <row r="152" spans="1:1" ht="12.75" customHeight="1">
      <c r="A152" s="227"/>
    </row>
    <row r="153" spans="1:1" ht="12.75" customHeight="1">
      <c r="A153" s="227"/>
    </row>
    <row r="154" spans="1:1" ht="12.75" customHeight="1">
      <c r="A154" s="227"/>
    </row>
    <row r="155" spans="1:1" ht="12.75" customHeight="1">
      <c r="A155" s="227"/>
    </row>
    <row r="156" spans="1:1" ht="12.75" customHeight="1">
      <c r="A156" s="227"/>
    </row>
    <row r="157" spans="1:1" ht="12.75" customHeight="1">
      <c r="A157" s="227"/>
    </row>
    <row r="158" spans="1:1" ht="12.75" customHeight="1">
      <c r="A158" s="227"/>
    </row>
    <row r="159" spans="1:1" ht="12.75" customHeight="1">
      <c r="A159" s="227"/>
    </row>
    <row r="160" spans="1:1" ht="12.75" customHeight="1">
      <c r="A160" s="227"/>
    </row>
    <row r="161" spans="1:1" ht="12.75" customHeight="1">
      <c r="A161" s="227"/>
    </row>
    <row r="162" spans="1:1" ht="12.75" customHeight="1">
      <c r="A162" s="227"/>
    </row>
    <row r="163" spans="1:1" ht="12.75" customHeight="1">
      <c r="A163" s="227"/>
    </row>
    <row r="164" spans="1:1" ht="12.75" customHeight="1">
      <c r="A164" s="227"/>
    </row>
    <row r="165" spans="1:1" ht="12.75" customHeight="1">
      <c r="A165" s="227"/>
    </row>
    <row r="166" spans="1:1" ht="12.75" customHeight="1">
      <c r="A166" s="227"/>
    </row>
    <row r="167" spans="1:1" ht="12.75" customHeight="1">
      <c r="A167" s="227"/>
    </row>
    <row r="168" spans="1:1" ht="12.75" customHeight="1">
      <c r="A168" s="227"/>
    </row>
    <row r="169" spans="1:1" ht="12.75" customHeight="1">
      <c r="A169" s="227"/>
    </row>
    <row r="170" spans="1:1" ht="12.75" customHeight="1">
      <c r="A170" s="227"/>
    </row>
    <row r="171" spans="1:1" ht="12.75" customHeight="1">
      <c r="A171" s="227"/>
    </row>
    <row r="172" spans="1:1" ht="12.75" customHeight="1">
      <c r="A172" s="227"/>
    </row>
    <row r="173" spans="1:1" ht="12.75" customHeight="1">
      <c r="A173" s="227"/>
    </row>
    <row r="174" spans="1:1" ht="12.75" customHeight="1">
      <c r="A174" s="227"/>
    </row>
    <row r="175" spans="1:1" ht="12.75" customHeight="1">
      <c r="A175" s="227"/>
    </row>
    <row r="176" spans="1:1" ht="12.75" customHeight="1">
      <c r="A176" s="227"/>
    </row>
    <row r="177" spans="1:1" ht="12.75" customHeight="1">
      <c r="A177" s="227"/>
    </row>
    <row r="178" spans="1:1" ht="12.75" customHeight="1">
      <c r="A178" s="227"/>
    </row>
    <row r="179" spans="1:1" ht="12.75" customHeight="1">
      <c r="A179" s="227"/>
    </row>
    <row r="180" spans="1:1" ht="12.75" customHeight="1">
      <c r="A180" s="227"/>
    </row>
    <row r="181" spans="1:1" ht="12.75" customHeight="1">
      <c r="A181" s="227"/>
    </row>
    <row r="182" spans="1:1" ht="12.75" customHeight="1">
      <c r="A182" s="227"/>
    </row>
    <row r="183" spans="1:1" ht="12.75" customHeight="1">
      <c r="A183" s="227"/>
    </row>
    <row r="184" spans="1:1" ht="12.75" customHeight="1">
      <c r="A184" s="227"/>
    </row>
    <row r="185" spans="1:1" ht="12.75" customHeight="1">
      <c r="A185" s="227"/>
    </row>
    <row r="186" spans="1:1" ht="12.75" customHeight="1">
      <c r="A186" s="227"/>
    </row>
    <row r="187" spans="1:1" ht="12.75" customHeight="1">
      <c r="A187" s="227"/>
    </row>
    <row r="188" spans="1:1" ht="12.75" customHeight="1">
      <c r="A188" s="227"/>
    </row>
    <row r="189" spans="1:1" ht="12.75" customHeight="1">
      <c r="A189" s="227"/>
    </row>
    <row r="190" spans="1:1" ht="12.75" customHeight="1">
      <c r="A190" s="227"/>
    </row>
    <row r="191" spans="1:1" ht="12.75" customHeight="1">
      <c r="A191" s="227"/>
    </row>
    <row r="192" spans="1:1" ht="12.75" customHeight="1">
      <c r="A192" s="227"/>
    </row>
    <row r="193" spans="1:1" ht="12.75" customHeight="1">
      <c r="A193" s="227"/>
    </row>
    <row r="194" spans="1:1" ht="12.75" customHeight="1">
      <c r="A194" s="227"/>
    </row>
    <row r="195" spans="1:1" ht="12.75" customHeight="1">
      <c r="A195" s="227"/>
    </row>
    <row r="196" spans="1:1" ht="12.75" customHeight="1">
      <c r="A196" s="227"/>
    </row>
    <row r="197" spans="1:1" ht="12.75" customHeight="1">
      <c r="A197" s="227"/>
    </row>
    <row r="198" spans="1:1" ht="12.75" customHeight="1">
      <c r="A198" s="227"/>
    </row>
    <row r="199" spans="1:1" ht="12.75" customHeight="1">
      <c r="A199" s="227"/>
    </row>
    <row r="200" spans="1:1" ht="12.75" customHeight="1">
      <c r="A200" s="227"/>
    </row>
    <row r="201" spans="1:1" ht="12.75" customHeight="1">
      <c r="A201" s="227"/>
    </row>
    <row r="202" spans="1:1" ht="12.75" customHeight="1">
      <c r="A202" s="227"/>
    </row>
    <row r="203" spans="1:1" ht="12.75" customHeight="1">
      <c r="A203" s="227"/>
    </row>
    <row r="204" spans="1:1" ht="12.75" customHeight="1">
      <c r="A204" s="227"/>
    </row>
    <row r="205" spans="1:1" ht="12.75" customHeight="1">
      <c r="A205" s="227"/>
    </row>
    <row r="206" spans="1:1" ht="12.75" customHeight="1">
      <c r="A206" s="227"/>
    </row>
    <row r="207" spans="1:1" ht="12.75" customHeight="1">
      <c r="A207" s="227"/>
    </row>
    <row r="208" spans="1:1" ht="12.75" customHeight="1">
      <c r="A208" s="227"/>
    </row>
    <row r="209" spans="1:1" ht="12.75" customHeight="1">
      <c r="A209" s="227"/>
    </row>
    <row r="210" spans="1:1" ht="12.75" customHeight="1">
      <c r="A210" s="227"/>
    </row>
    <row r="211" spans="1:1" ht="12.75" customHeight="1">
      <c r="A211" s="227"/>
    </row>
    <row r="212" spans="1:1" ht="12.75" customHeight="1">
      <c r="A212" s="227"/>
    </row>
    <row r="213" spans="1:1" ht="12.75" customHeight="1">
      <c r="A213" s="227"/>
    </row>
    <row r="214" spans="1:1" ht="12.75" customHeight="1">
      <c r="A214" s="227"/>
    </row>
    <row r="215" spans="1:1" ht="12.75" customHeight="1">
      <c r="A215" s="227"/>
    </row>
    <row r="216" spans="1:1" ht="12.75" customHeight="1">
      <c r="A216" s="227"/>
    </row>
    <row r="217" spans="1:1" ht="12.75" customHeight="1">
      <c r="A217" s="227"/>
    </row>
    <row r="218" spans="1:1" ht="12.75" customHeight="1">
      <c r="A218" s="227"/>
    </row>
    <row r="219" spans="1:1" ht="12.75" customHeight="1">
      <c r="A219" s="227"/>
    </row>
    <row r="220" spans="1:1" ht="12.75" customHeight="1">
      <c r="A220" s="227"/>
    </row>
    <row r="221" spans="1:1" ht="12.75" customHeight="1">
      <c r="A221" s="227"/>
    </row>
    <row r="222" spans="1:1" ht="12.75" customHeight="1">
      <c r="A222" s="227"/>
    </row>
    <row r="223" spans="1:1" ht="12.75" customHeight="1">
      <c r="A223" s="227"/>
    </row>
    <row r="224" spans="1:1" ht="12.75" customHeight="1">
      <c r="A224" s="227"/>
    </row>
    <row r="225" spans="1:1" ht="12.75" customHeight="1">
      <c r="A225" s="227"/>
    </row>
    <row r="226" spans="1:1" ht="12.75" customHeight="1">
      <c r="A226" s="227"/>
    </row>
    <row r="227" spans="1:1" ht="12.75" customHeight="1">
      <c r="A227" s="227"/>
    </row>
    <row r="228" spans="1:1" ht="12.75" customHeight="1">
      <c r="A228" s="227"/>
    </row>
    <row r="229" spans="1:1" ht="12.75" customHeight="1">
      <c r="A229" s="227"/>
    </row>
    <row r="230" spans="1:1" ht="12.75" customHeight="1">
      <c r="A230" s="227"/>
    </row>
    <row r="231" spans="1:1" ht="12.75" customHeight="1">
      <c r="A231" s="227"/>
    </row>
    <row r="232" spans="1:1" ht="12.75" customHeight="1">
      <c r="A232" s="227"/>
    </row>
    <row r="233" spans="1:1" ht="12.75" customHeight="1">
      <c r="A233" s="227"/>
    </row>
    <row r="234" spans="1:1" ht="12.75" customHeight="1">
      <c r="A234" s="227"/>
    </row>
    <row r="235" spans="1:1" ht="12.75" customHeight="1">
      <c r="A235" s="227"/>
    </row>
    <row r="236" spans="1:1" ht="12.75" customHeight="1">
      <c r="A236" s="227"/>
    </row>
    <row r="237" spans="1:1" ht="12.75" customHeight="1">
      <c r="A237" s="227"/>
    </row>
    <row r="238" spans="1:1" ht="12.75" customHeight="1">
      <c r="A238" s="227"/>
    </row>
    <row r="239" spans="1:1" ht="12.75" customHeight="1">
      <c r="A239" s="227"/>
    </row>
    <row r="240" spans="1:1" ht="12.75" customHeight="1">
      <c r="A240" s="227"/>
    </row>
    <row r="241" spans="1:1" ht="12.75" customHeight="1">
      <c r="A241" s="227"/>
    </row>
    <row r="242" spans="1:1" ht="12.75" customHeight="1">
      <c r="A242" s="227"/>
    </row>
    <row r="243" spans="1:1" ht="12.75" customHeight="1">
      <c r="A243" s="227"/>
    </row>
    <row r="244" spans="1:1" ht="12.75" customHeight="1">
      <c r="A244" s="227"/>
    </row>
    <row r="245" spans="1:1" ht="12.75" customHeight="1">
      <c r="A245" s="227"/>
    </row>
    <row r="246" spans="1:1" ht="12.75" customHeight="1">
      <c r="A246" s="227"/>
    </row>
    <row r="247" spans="1:1" ht="12.75" customHeight="1">
      <c r="A247" s="227"/>
    </row>
    <row r="248" spans="1:1" ht="12.75" customHeight="1">
      <c r="A248" s="227"/>
    </row>
    <row r="249" spans="1:1" ht="15.75" customHeight="1"/>
    <row r="250" spans="1:1" ht="15.75" customHeight="1"/>
    <row r="251" spans="1:1" ht="15.75" customHeight="1"/>
    <row r="252" spans="1:1" ht="15.75" customHeight="1"/>
    <row r="253" spans="1:1" ht="15.75" customHeight="1"/>
    <row r="254" spans="1:1" ht="15.75" customHeight="1"/>
    <row r="255" spans="1:1" ht="15.75" customHeight="1"/>
    <row r="256" spans="1:1"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B1:R2"/>
    <mergeCell ref="A3:N3"/>
    <mergeCell ref="O4:O24"/>
    <mergeCell ref="A27:N27"/>
  </mergeCell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D8D8D8"/>
  </sheetPr>
  <dimension ref="A1:Z1000"/>
  <sheetViews>
    <sheetView workbookViewId="0">
      <selection activeCell="B13" sqref="B13:K13"/>
    </sheetView>
  </sheetViews>
  <sheetFormatPr defaultColWidth="14.453125" defaultRowHeight="15" customHeight="1"/>
  <cols>
    <col min="1" max="1" width="24.7265625" customWidth="1"/>
    <col min="2" max="6" width="8.81640625" customWidth="1"/>
    <col min="7" max="7" width="10.26953125" customWidth="1"/>
    <col min="8" max="8" width="8.81640625" customWidth="1"/>
    <col min="9" max="9" width="14.453125" customWidth="1"/>
    <col min="10" max="26" width="8.81640625" customWidth="1"/>
  </cols>
  <sheetData>
    <row r="1" spans="1:26" ht="12.75" customHeight="1">
      <c r="A1" s="228" t="s">
        <v>296</v>
      </c>
      <c r="B1" s="229"/>
      <c r="C1" s="229"/>
      <c r="D1" s="229"/>
      <c r="E1" s="312"/>
      <c r="F1" s="306"/>
      <c r="G1" s="313"/>
      <c r="H1" s="229"/>
      <c r="I1" s="229"/>
      <c r="J1" s="229"/>
      <c r="K1" s="230"/>
    </row>
    <row r="2" spans="1:26" ht="12.75" customHeight="1">
      <c r="A2" s="231"/>
      <c r="B2" s="314" t="s">
        <v>297</v>
      </c>
      <c r="C2" s="299"/>
      <c r="D2" s="299"/>
      <c r="E2" s="299"/>
      <c r="F2" s="299"/>
      <c r="G2" s="299"/>
      <c r="H2" s="299"/>
      <c r="I2" s="300"/>
      <c r="J2" s="65"/>
      <c r="K2" s="206"/>
    </row>
    <row r="3" spans="1:26" ht="12.75" customHeight="1">
      <c r="A3" s="231"/>
      <c r="B3" s="232" t="s">
        <v>298</v>
      </c>
      <c r="C3" s="233" t="s">
        <v>299</v>
      </c>
      <c r="D3" s="233" t="s">
        <v>300</v>
      </c>
      <c r="E3" s="233" t="s">
        <v>301</v>
      </c>
      <c r="F3" s="233" t="s">
        <v>302</v>
      </c>
      <c r="G3" s="233" t="s">
        <v>303</v>
      </c>
      <c r="H3" s="233" t="s">
        <v>304</v>
      </c>
      <c r="I3" s="234" t="s">
        <v>305</v>
      </c>
      <c r="J3" s="65"/>
      <c r="K3" s="206"/>
    </row>
    <row r="4" spans="1:26" ht="12.75" customHeight="1">
      <c r="A4" s="231"/>
      <c r="B4" s="235" t="s">
        <v>306</v>
      </c>
      <c r="C4" s="236" t="s">
        <v>307</v>
      </c>
      <c r="D4" s="237">
        <v>2</v>
      </c>
      <c r="E4" s="238">
        <f>22*0.00401865</f>
        <v>8.8410300000000011E-2</v>
      </c>
      <c r="F4" s="238">
        <f>125*0.00401865</f>
        <v>0.50233125000000001</v>
      </c>
      <c r="G4" s="238">
        <f>73*0.00401865</f>
        <v>0.29336145000000002</v>
      </c>
      <c r="H4" s="236">
        <v>3</v>
      </c>
      <c r="I4" s="239">
        <v>0.11</v>
      </c>
      <c r="J4" s="65"/>
      <c r="K4" s="206"/>
    </row>
    <row r="5" spans="1:26" ht="12.75" customHeight="1">
      <c r="A5" s="231"/>
      <c r="B5" s="240" t="s">
        <v>225</v>
      </c>
      <c r="C5" s="241" t="s">
        <v>307</v>
      </c>
      <c r="D5" s="242">
        <v>4</v>
      </c>
      <c r="E5" s="243">
        <f>72*0.00401865</f>
        <v>0.28934280000000001</v>
      </c>
      <c r="F5" s="243">
        <f>149*0.00401865</f>
        <v>0.59877885000000008</v>
      </c>
      <c r="G5" s="243">
        <f>111*0.00401865</f>
        <v>0.44607015000000005</v>
      </c>
      <c r="H5" s="241">
        <v>3</v>
      </c>
      <c r="I5" s="244">
        <v>0.44</v>
      </c>
      <c r="J5" s="65"/>
      <c r="K5" s="206"/>
    </row>
    <row r="6" spans="1:26" ht="12.75" customHeight="1">
      <c r="A6" s="231"/>
      <c r="B6" s="240" t="s">
        <v>226</v>
      </c>
      <c r="C6" s="241" t="s">
        <v>307</v>
      </c>
      <c r="D6" s="242">
        <v>7</v>
      </c>
      <c r="E6" s="245">
        <f>81*0.00401865</f>
        <v>0.32551065000000001</v>
      </c>
      <c r="F6" s="243">
        <f t="shared" ref="F6:F7" si="0">187*0.00401865</f>
        <v>0.75148755000000012</v>
      </c>
      <c r="G6" s="243">
        <f>141*0.00401865</f>
        <v>0.5666296500000001</v>
      </c>
      <c r="H6" s="241">
        <v>4</v>
      </c>
      <c r="I6" s="244">
        <v>0.72</v>
      </c>
      <c r="J6" s="65"/>
      <c r="K6" s="206"/>
    </row>
    <row r="7" spans="1:26" ht="12.75" customHeight="1">
      <c r="A7" s="231"/>
      <c r="B7" s="240" t="s">
        <v>227</v>
      </c>
      <c r="C7" s="241" t="s">
        <v>307</v>
      </c>
      <c r="D7" s="242">
        <v>11</v>
      </c>
      <c r="E7" s="245">
        <f>90*0.00401865</f>
        <v>0.36167850000000001</v>
      </c>
      <c r="F7" s="243">
        <f t="shared" si="0"/>
        <v>0.75148755000000012</v>
      </c>
      <c r="G7" s="243">
        <f>144*0.00401865</f>
        <v>0.57868560000000002</v>
      </c>
      <c r="H7" s="241">
        <v>4</v>
      </c>
      <c r="I7" s="244">
        <v>0.87</v>
      </c>
      <c r="J7" s="65"/>
      <c r="K7" s="206"/>
    </row>
    <row r="8" spans="1:26" ht="12.75" customHeight="1">
      <c r="A8" s="231"/>
      <c r="B8" s="240" t="s">
        <v>308</v>
      </c>
      <c r="C8" s="241" t="s">
        <v>309</v>
      </c>
      <c r="D8" s="242">
        <v>50</v>
      </c>
      <c r="E8" s="243">
        <f>127*0.00401865</f>
        <v>0.51036855000000003</v>
      </c>
      <c r="F8" s="243">
        <f t="shared" ref="F8:F10" si="1">249*0.00401865</f>
        <v>1.0006438500000001</v>
      </c>
      <c r="G8" s="243">
        <f>188*0.00401865</f>
        <v>0.75550620000000002</v>
      </c>
      <c r="H8" s="241">
        <v>12</v>
      </c>
      <c r="I8" s="244">
        <v>0.89</v>
      </c>
      <c r="J8" s="65"/>
      <c r="K8" s="206"/>
    </row>
    <row r="9" spans="1:26" ht="12.75" customHeight="1">
      <c r="A9" s="231"/>
      <c r="B9" s="240" t="s">
        <v>310</v>
      </c>
      <c r="C9" s="241" t="s">
        <v>309</v>
      </c>
      <c r="D9" s="242">
        <v>90</v>
      </c>
      <c r="E9" s="243">
        <f>70*0.00401865</f>
        <v>0.28130550000000004</v>
      </c>
      <c r="F9" s="243">
        <f t="shared" si="1"/>
        <v>1.0006438500000001</v>
      </c>
      <c r="G9" s="243">
        <f>159*0.00401865</f>
        <v>0.6389653500000001</v>
      </c>
      <c r="H9" s="241">
        <v>12</v>
      </c>
      <c r="I9" s="244">
        <v>0.9</v>
      </c>
      <c r="J9" s="65"/>
      <c r="K9" s="206"/>
    </row>
    <row r="10" spans="1:26" ht="12.75" customHeight="1">
      <c r="A10" s="231"/>
      <c r="B10" s="240" t="s">
        <v>311</v>
      </c>
      <c r="C10" s="241" t="s">
        <v>309</v>
      </c>
      <c r="D10" s="242">
        <v>125</v>
      </c>
      <c r="E10" s="243">
        <f>65*0.00401865</f>
        <v>0.26121225000000003</v>
      </c>
      <c r="F10" s="243">
        <f t="shared" si="1"/>
        <v>1.0006438500000001</v>
      </c>
      <c r="G10" s="243">
        <f>157*0.00401865</f>
        <v>0.63092805000000007</v>
      </c>
      <c r="H10" s="241">
        <v>12</v>
      </c>
      <c r="I10" s="244">
        <v>0.95</v>
      </c>
      <c r="J10" s="65"/>
      <c r="K10" s="206"/>
    </row>
    <row r="11" spans="1:26" ht="12.75" customHeight="1">
      <c r="A11" s="231"/>
      <c r="B11" s="246" t="s">
        <v>134</v>
      </c>
      <c r="C11" s="247" t="s">
        <v>309</v>
      </c>
      <c r="D11" s="248">
        <v>150</v>
      </c>
      <c r="E11" s="249">
        <f>249*0.00401865</f>
        <v>1.0006438500000001</v>
      </c>
      <c r="F11" s="249">
        <f>498*0.00401865</f>
        <v>2.0012877000000002</v>
      </c>
      <c r="G11" s="249">
        <f>374*0.00401865</f>
        <v>1.5029751000000002</v>
      </c>
      <c r="H11" s="247">
        <v>12</v>
      </c>
      <c r="I11" s="250">
        <v>0.999</v>
      </c>
      <c r="J11" s="65"/>
      <c r="K11" s="206"/>
    </row>
    <row r="12" spans="1:26" ht="12.75" customHeight="1">
      <c r="A12" s="231"/>
      <c r="B12" s="251" t="s">
        <v>312</v>
      </c>
      <c r="C12" s="225"/>
      <c r="D12" s="252"/>
      <c r="E12" s="225"/>
      <c r="F12" s="225"/>
      <c r="G12" s="225"/>
      <c r="H12" s="225"/>
      <c r="I12" s="253"/>
      <c r="J12" s="65"/>
      <c r="K12" s="206"/>
      <c r="L12" s="49"/>
      <c r="M12" s="49"/>
      <c r="N12" s="49"/>
      <c r="O12" s="49"/>
      <c r="P12" s="49"/>
      <c r="Q12" s="49"/>
      <c r="R12" s="49"/>
      <c r="S12" s="49"/>
      <c r="T12" s="49"/>
      <c r="U12" s="49"/>
      <c r="V12" s="49"/>
      <c r="W12" s="49"/>
      <c r="X12" s="49"/>
      <c r="Y12" s="49"/>
      <c r="Z12" s="49"/>
    </row>
    <row r="13" spans="1:26" ht="25.5" customHeight="1">
      <c r="A13" s="224"/>
      <c r="B13" s="315" t="s">
        <v>313</v>
      </c>
      <c r="C13" s="316"/>
      <c r="D13" s="316"/>
      <c r="E13" s="316"/>
      <c r="F13" s="316"/>
      <c r="G13" s="316"/>
      <c r="H13" s="316"/>
      <c r="I13" s="316"/>
      <c r="J13" s="316"/>
      <c r="K13" s="317"/>
      <c r="N13" s="49"/>
    </row>
    <row r="14" spans="1:26" ht="12.75" customHeight="1">
      <c r="A14" s="49"/>
      <c r="B14" s="254"/>
      <c r="C14" s="49"/>
      <c r="D14" s="49"/>
      <c r="E14" s="49"/>
      <c r="F14" s="49"/>
      <c r="G14" s="49"/>
      <c r="H14" s="49"/>
      <c r="I14" s="49"/>
      <c r="J14" s="49"/>
      <c r="K14" s="49"/>
      <c r="L14" s="49"/>
      <c r="M14" s="49"/>
      <c r="N14" s="49"/>
      <c r="O14" s="49"/>
      <c r="P14" s="49"/>
      <c r="Q14" s="49"/>
      <c r="R14" s="49"/>
      <c r="S14" s="49"/>
      <c r="T14" s="49"/>
      <c r="U14" s="49"/>
      <c r="V14" s="49"/>
      <c r="W14" s="49"/>
      <c r="X14" s="49"/>
      <c r="Y14" s="49"/>
      <c r="Z14" s="49"/>
    </row>
    <row r="15" spans="1:26" ht="12.75" customHeight="1">
      <c r="B15" s="255" t="s">
        <v>314</v>
      </c>
      <c r="N15" s="49"/>
    </row>
    <row r="16" spans="1:26" ht="12.75" customHeight="1"/>
    <row r="17" spans="7:8" ht="12.75" customHeight="1"/>
    <row r="18" spans="7:8" ht="12.75" customHeight="1"/>
    <row r="19" spans="7:8" ht="12.75" customHeight="1"/>
    <row r="20" spans="7:8" ht="12.75" customHeight="1"/>
    <row r="21" spans="7:8" ht="12.75" customHeight="1"/>
    <row r="22" spans="7:8" ht="12.75" customHeight="1"/>
    <row r="23" spans="7:8" ht="12.75" customHeight="1"/>
    <row r="24" spans="7:8" ht="12.75" customHeight="1"/>
    <row r="25" spans="7:8" ht="12.75" customHeight="1"/>
    <row r="26" spans="7:8" ht="12.75" customHeight="1"/>
    <row r="27" spans="7:8" ht="12.75" customHeight="1"/>
    <row r="28" spans="7:8" ht="12.75" customHeight="1"/>
    <row r="29" spans="7:8" ht="12.75" customHeight="1"/>
    <row r="30" spans="7:8" ht="12.75" customHeight="1">
      <c r="G30" s="49"/>
      <c r="H30" s="49"/>
    </row>
    <row r="31" spans="7:8" ht="12.75" customHeight="1">
      <c r="G31" s="49"/>
    </row>
    <row r="32" spans="7:8"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E1:G1"/>
    <mergeCell ref="B2:I2"/>
    <mergeCell ref="B13:K13"/>
  </mergeCells>
  <hyperlinks>
    <hyperlink ref="B15" r:id="rId1" xr:uid="{00000000-0004-0000-0500-000000000000}"/>
  </hyperlinks>
  <pageMargins left="0.7" right="0.7" top="0.75" bottom="0.75" header="0" footer="0"/>
  <pageSetup orientation="landscape"/>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D8D8D8"/>
  </sheetPr>
  <dimension ref="A1:W1000"/>
  <sheetViews>
    <sheetView workbookViewId="0">
      <selection activeCell="A3" sqref="A3:A82"/>
    </sheetView>
  </sheetViews>
  <sheetFormatPr defaultColWidth="14.453125" defaultRowHeight="15" customHeight="1"/>
  <cols>
    <col min="1" max="1" width="27.26953125" customWidth="1"/>
    <col min="2" max="2" width="32.26953125" bestFit="1" customWidth="1"/>
    <col min="3" max="3" width="27.26953125" customWidth="1"/>
    <col min="4" max="5" width="8.81640625" customWidth="1"/>
    <col min="6" max="6" width="21.81640625" customWidth="1"/>
    <col min="7" max="23" width="8.81640625" customWidth="1"/>
  </cols>
  <sheetData>
    <row r="1" spans="1:23" ht="12.75" customHeight="1">
      <c r="A1" s="49" t="s">
        <v>315</v>
      </c>
      <c r="B1" s="49"/>
      <c r="C1" s="49"/>
      <c r="D1" s="49"/>
      <c r="E1" s="49"/>
      <c r="F1" s="49"/>
      <c r="G1" s="49"/>
      <c r="H1" s="49"/>
      <c r="I1" s="49"/>
      <c r="J1" s="49"/>
      <c r="K1" s="49"/>
      <c r="L1" s="49"/>
      <c r="M1" s="49"/>
      <c r="N1" s="49"/>
      <c r="O1" s="49"/>
      <c r="P1" s="49"/>
      <c r="Q1" s="49"/>
      <c r="R1" s="49"/>
      <c r="S1" s="49"/>
      <c r="T1" s="49"/>
      <c r="U1" s="49"/>
      <c r="V1" s="49"/>
      <c r="W1" s="49"/>
    </row>
    <row r="2" spans="1:23" ht="16.5" customHeight="1">
      <c r="A2" s="256" t="s">
        <v>316</v>
      </c>
      <c r="B2" s="257" t="s">
        <v>317</v>
      </c>
      <c r="C2" s="258" t="s">
        <v>318</v>
      </c>
      <c r="F2" s="49"/>
    </row>
    <row r="3" spans="1:23" ht="12.75" customHeight="1">
      <c r="A3" s="259" t="s">
        <v>319</v>
      </c>
      <c r="B3" s="260">
        <v>10</v>
      </c>
      <c r="C3" s="261">
        <v>0.18</v>
      </c>
      <c r="F3" s="49"/>
    </row>
    <row r="4" spans="1:23" ht="12.75" customHeight="1">
      <c r="A4" s="262" t="s">
        <v>320</v>
      </c>
      <c r="B4" s="263">
        <v>5</v>
      </c>
      <c r="C4" s="264">
        <v>0.06</v>
      </c>
      <c r="F4" s="49"/>
    </row>
    <row r="5" spans="1:23" ht="12.75" customHeight="1">
      <c r="A5" s="259" t="s">
        <v>321</v>
      </c>
      <c r="B5" s="260">
        <v>5</v>
      </c>
      <c r="C5" s="261">
        <v>0.06</v>
      </c>
      <c r="F5" s="49"/>
    </row>
    <row r="6" spans="1:23" ht="12.75" customHeight="1">
      <c r="A6" s="262" t="s">
        <v>322</v>
      </c>
      <c r="B6" s="265">
        <v>7.5</v>
      </c>
      <c r="C6" s="264">
        <v>0.06</v>
      </c>
      <c r="F6" s="49"/>
    </row>
    <row r="7" spans="1:23" ht="12.75" customHeight="1">
      <c r="A7" s="259" t="s">
        <v>323</v>
      </c>
      <c r="B7" s="260">
        <v>5</v>
      </c>
      <c r="C7" s="261">
        <v>0.06</v>
      </c>
      <c r="F7" s="49"/>
    </row>
    <row r="8" spans="1:23" ht="12.75" customHeight="1">
      <c r="A8" s="262" t="s">
        <v>324</v>
      </c>
      <c r="B8" s="265">
        <v>7.5</v>
      </c>
      <c r="C8" s="264">
        <v>0.18</v>
      </c>
      <c r="F8" s="49"/>
    </row>
    <row r="9" spans="1:23" ht="12.75" customHeight="1">
      <c r="A9" s="259" t="s">
        <v>325</v>
      </c>
      <c r="B9" s="260">
        <v>5</v>
      </c>
      <c r="C9" s="261">
        <v>0.06</v>
      </c>
      <c r="F9" s="49"/>
    </row>
    <row r="10" spans="1:23" ht="12.75" customHeight="1">
      <c r="A10" s="262" t="s">
        <v>326</v>
      </c>
      <c r="B10" s="263">
        <v>10</v>
      </c>
      <c r="C10" s="264">
        <v>0.18</v>
      </c>
      <c r="F10" s="49"/>
    </row>
    <row r="11" spans="1:23" ht="12.75" customHeight="1">
      <c r="A11" s="259" t="s">
        <v>327</v>
      </c>
      <c r="B11" s="260">
        <v>7.5</v>
      </c>
      <c r="C11" s="261">
        <v>0.06</v>
      </c>
      <c r="F11" s="49"/>
    </row>
    <row r="12" spans="1:23" ht="12.75" customHeight="1">
      <c r="A12" s="262" t="s">
        <v>328</v>
      </c>
      <c r="B12" s="263">
        <v>10</v>
      </c>
      <c r="C12" s="264">
        <v>0.12</v>
      </c>
      <c r="F12" s="49"/>
    </row>
    <row r="13" spans="1:23" ht="12.75" customHeight="1">
      <c r="A13" s="259" t="s">
        <v>329</v>
      </c>
      <c r="B13" s="260">
        <v>5</v>
      </c>
      <c r="C13" s="261">
        <v>0.06</v>
      </c>
      <c r="F13" s="49"/>
    </row>
    <row r="14" spans="1:23" ht="12.75" customHeight="1">
      <c r="A14" s="262" t="s">
        <v>330</v>
      </c>
      <c r="B14" s="263">
        <v>5</v>
      </c>
      <c r="C14" s="264">
        <v>0.12</v>
      </c>
    </row>
    <row r="15" spans="1:23" ht="12.75" customHeight="1">
      <c r="A15" s="259" t="s">
        <v>331</v>
      </c>
      <c r="B15" s="266">
        <v>7.5</v>
      </c>
      <c r="C15" s="261">
        <v>0.18</v>
      </c>
    </row>
    <row r="16" spans="1:23" ht="12.75" customHeight="1">
      <c r="A16" s="267" t="s">
        <v>332</v>
      </c>
      <c r="B16" s="268">
        <v>5</v>
      </c>
      <c r="C16" s="269">
        <v>0.12</v>
      </c>
    </row>
    <row r="17" spans="1:3" ht="12.75" customHeight="1">
      <c r="A17" s="259" t="s">
        <v>333</v>
      </c>
      <c r="B17" s="260">
        <v>5</v>
      </c>
      <c r="C17" s="261">
        <v>0.12</v>
      </c>
    </row>
    <row r="18" spans="1:3" ht="12.75" customHeight="1">
      <c r="A18" s="262" t="s">
        <v>334</v>
      </c>
      <c r="B18" s="263">
        <v>10</v>
      </c>
      <c r="C18" s="264">
        <v>0.12</v>
      </c>
    </row>
    <row r="19" spans="1:3" ht="12.75" customHeight="1">
      <c r="A19" s="259" t="s">
        <v>335</v>
      </c>
      <c r="B19" s="260">
        <v>10</v>
      </c>
      <c r="C19" s="261">
        <v>0.12</v>
      </c>
    </row>
    <row r="20" spans="1:3" ht="12.75" customHeight="1">
      <c r="A20" s="262" t="s">
        <v>336</v>
      </c>
      <c r="B20" s="263">
        <v>5</v>
      </c>
      <c r="C20" s="264">
        <v>0.06</v>
      </c>
    </row>
    <row r="21" spans="1:3" ht="12.75" customHeight="1">
      <c r="A21" s="259" t="s">
        <v>337</v>
      </c>
      <c r="B21" s="270" t="s">
        <v>338</v>
      </c>
      <c r="C21" s="261">
        <v>0.06</v>
      </c>
    </row>
    <row r="22" spans="1:3" ht="12.75" customHeight="1">
      <c r="A22" s="262" t="s">
        <v>339</v>
      </c>
      <c r="B22" s="263">
        <v>5</v>
      </c>
      <c r="C22" s="264">
        <v>0.06</v>
      </c>
    </row>
    <row r="23" spans="1:3" ht="12.75" customHeight="1">
      <c r="A23" s="259" t="s">
        <v>340</v>
      </c>
      <c r="B23" s="260">
        <v>10</v>
      </c>
      <c r="C23" s="261">
        <v>0.12</v>
      </c>
    </row>
    <row r="24" spans="1:3" ht="12.75" customHeight="1">
      <c r="A24" s="262" t="s">
        <v>341</v>
      </c>
      <c r="B24" s="263">
        <v>5</v>
      </c>
      <c r="C24" s="264">
        <v>0.06</v>
      </c>
    </row>
    <row r="25" spans="1:3" ht="12.75" customHeight="1">
      <c r="A25" s="259" t="s">
        <v>342</v>
      </c>
      <c r="B25" s="270" t="s">
        <v>343</v>
      </c>
      <c r="C25" s="261">
        <v>0.06</v>
      </c>
    </row>
    <row r="26" spans="1:3" ht="12.75" customHeight="1">
      <c r="A26" s="262" t="s">
        <v>344</v>
      </c>
      <c r="B26" s="263">
        <v>5</v>
      </c>
      <c r="C26" s="264">
        <v>0.06</v>
      </c>
    </row>
    <row r="27" spans="1:3" ht="12.75" customHeight="1">
      <c r="A27" s="259" t="s">
        <v>345</v>
      </c>
      <c r="B27" s="260">
        <v>10</v>
      </c>
      <c r="C27" s="261">
        <v>0.18</v>
      </c>
    </row>
    <row r="28" spans="1:3" ht="12.75" customHeight="1">
      <c r="A28" s="267" t="s">
        <v>346</v>
      </c>
      <c r="B28" s="268">
        <v>5</v>
      </c>
      <c r="C28" s="269">
        <v>0.06</v>
      </c>
    </row>
    <row r="29" spans="1:3" ht="12.75" customHeight="1">
      <c r="A29" s="259" t="s">
        <v>347</v>
      </c>
      <c r="B29" s="260">
        <v>10</v>
      </c>
      <c r="C29" s="261">
        <v>0.18</v>
      </c>
    </row>
    <row r="30" spans="1:3" ht="12.75" customHeight="1">
      <c r="A30" s="262" t="s">
        <v>348</v>
      </c>
      <c r="B30" s="263">
        <v>20</v>
      </c>
      <c r="C30" s="264">
        <v>0.06</v>
      </c>
    </row>
    <row r="31" spans="1:3" ht="12.75" customHeight="1">
      <c r="A31" s="259" t="s">
        <v>349</v>
      </c>
      <c r="B31" s="266">
        <v>7.5</v>
      </c>
      <c r="C31" s="261">
        <v>0.18</v>
      </c>
    </row>
    <row r="32" spans="1:3" ht="12.75" customHeight="1">
      <c r="A32" s="262" t="s">
        <v>350</v>
      </c>
      <c r="B32" s="265">
        <v>7.5</v>
      </c>
      <c r="C32" s="264">
        <v>0.18</v>
      </c>
    </row>
    <row r="33" spans="1:3" ht="12.75" customHeight="1">
      <c r="A33" s="259" t="s">
        <v>351</v>
      </c>
      <c r="B33" s="266">
        <v>7.5</v>
      </c>
      <c r="C33" s="261">
        <v>0.12</v>
      </c>
    </row>
    <row r="34" spans="1:3" ht="12.75" customHeight="1">
      <c r="A34" s="262" t="s">
        <v>352</v>
      </c>
      <c r="B34" s="265">
        <v>5</v>
      </c>
      <c r="C34" s="264">
        <v>0.06</v>
      </c>
    </row>
    <row r="35" spans="1:3" ht="12.75" customHeight="1">
      <c r="A35" s="259" t="s">
        <v>353</v>
      </c>
      <c r="B35" s="260">
        <v>20</v>
      </c>
      <c r="C35" s="261">
        <v>0.18</v>
      </c>
    </row>
    <row r="36" spans="1:3" ht="12.75" customHeight="1">
      <c r="A36" s="262" t="s">
        <v>354</v>
      </c>
      <c r="B36" s="263">
        <v>20</v>
      </c>
      <c r="C36" s="264">
        <v>0.06</v>
      </c>
    </row>
    <row r="37" spans="1:3" ht="12.75" customHeight="1">
      <c r="A37" s="259" t="s">
        <v>355</v>
      </c>
      <c r="B37" s="260">
        <v>20</v>
      </c>
      <c r="C37" s="261">
        <v>0.06</v>
      </c>
    </row>
    <row r="38" spans="1:3" ht="12.75" customHeight="1">
      <c r="A38" s="262" t="s">
        <v>356</v>
      </c>
      <c r="B38" s="265">
        <v>7.5</v>
      </c>
      <c r="C38" s="264">
        <v>0.06</v>
      </c>
    </row>
    <row r="39" spans="1:3" ht="12.75" customHeight="1">
      <c r="A39" s="259" t="s">
        <v>357</v>
      </c>
      <c r="B39" s="266">
        <v>7.5</v>
      </c>
      <c r="C39" s="261">
        <v>0.06</v>
      </c>
    </row>
    <row r="40" spans="1:3" ht="12.75" customHeight="1">
      <c r="A40" s="262" t="s">
        <v>358</v>
      </c>
      <c r="B40" s="263">
        <v>5</v>
      </c>
      <c r="C40" s="264">
        <v>0.06</v>
      </c>
    </row>
    <row r="41" spans="1:3" ht="12.75" customHeight="1">
      <c r="A41" s="259" t="s">
        <v>359</v>
      </c>
      <c r="B41" s="260">
        <v>5</v>
      </c>
      <c r="C41" s="261">
        <v>0.12</v>
      </c>
    </row>
    <row r="42" spans="1:3" ht="12.75" customHeight="1">
      <c r="A42" s="262" t="s">
        <v>360</v>
      </c>
      <c r="B42" s="263">
        <v>5</v>
      </c>
      <c r="C42" s="264">
        <v>0.06</v>
      </c>
    </row>
    <row r="43" spans="1:3" ht="12.75" customHeight="1">
      <c r="A43" s="259" t="s">
        <v>361</v>
      </c>
      <c r="B43" s="266">
        <v>7.5</v>
      </c>
      <c r="C43" s="261">
        <v>0.06</v>
      </c>
    </row>
    <row r="44" spans="1:3" ht="12.75" customHeight="1">
      <c r="A44" s="262" t="s">
        <v>362</v>
      </c>
      <c r="B44" s="263">
        <v>5</v>
      </c>
      <c r="C44" s="264">
        <v>0.06</v>
      </c>
    </row>
    <row r="45" spans="1:3" ht="12.75" customHeight="1">
      <c r="A45" s="259" t="s">
        <v>363</v>
      </c>
      <c r="B45" s="266">
        <v>7.5</v>
      </c>
      <c r="C45" s="261">
        <v>0.06</v>
      </c>
    </row>
    <row r="46" spans="1:3" ht="12.75" customHeight="1">
      <c r="A46" s="262" t="s">
        <v>364</v>
      </c>
      <c r="B46" s="263">
        <v>10</v>
      </c>
      <c r="C46" s="264">
        <v>0.18</v>
      </c>
    </row>
    <row r="47" spans="1:3" ht="12.75" customHeight="1">
      <c r="A47" s="259" t="s">
        <v>365</v>
      </c>
      <c r="B47" s="260">
        <v>10</v>
      </c>
      <c r="C47" s="261">
        <v>0.12</v>
      </c>
    </row>
    <row r="48" spans="1:3" ht="12.75" customHeight="1">
      <c r="A48" s="262" t="s">
        <v>366</v>
      </c>
      <c r="B48" s="263">
        <v>5</v>
      </c>
      <c r="C48" s="264">
        <v>0.06</v>
      </c>
    </row>
    <row r="49" spans="1:3" ht="12.75" customHeight="1">
      <c r="A49" s="259" t="s">
        <v>367</v>
      </c>
      <c r="B49" s="266">
        <v>7.5</v>
      </c>
      <c r="C49" s="261">
        <v>0.06</v>
      </c>
    </row>
    <row r="50" spans="1:3" ht="12.75" customHeight="1">
      <c r="A50" s="262" t="s">
        <v>368</v>
      </c>
      <c r="B50" s="265">
        <v>7.5</v>
      </c>
      <c r="C50" s="264">
        <v>0.12</v>
      </c>
    </row>
    <row r="51" spans="1:3" ht="12.75" customHeight="1">
      <c r="A51" s="259" t="s">
        <v>369</v>
      </c>
      <c r="B51" s="266">
        <v>7.5</v>
      </c>
      <c r="C51" s="261">
        <v>0.06</v>
      </c>
    </row>
    <row r="52" spans="1:3" ht="12.75" customHeight="1">
      <c r="A52" s="262" t="s">
        <v>370</v>
      </c>
      <c r="B52" s="263">
        <v>10</v>
      </c>
      <c r="C52" s="264">
        <v>0.06</v>
      </c>
    </row>
    <row r="53" spans="1:3" ht="12.75" customHeight="1">
      <c r="A53" s="259" t="s">
        <v>371</v>
      </c>
      <c r="B53" s="260">
        <v>5</v>
      </c>
      <c r="C53" s="261">
        <v>0.06</v>
      </c>
    </row>
    <row r="54" spans="1:3" ht="12.75" customHeight="1">
      <c r="A54" s="262" t="s">
        <v>372</v>
      </c>
      <c r="B54" s="263">
        <v>5</v>
      </c>
      <c r="C54" s="264">
        <v>0.12</v>
      </c>
    </row>
    <row r="55" spans="1:3" ht="12.75" customHeight="1">
      <c r="A55" s="259" t="s">
        <v>373</v>
      </c>
      <c r="B55" s="260">
        <v>5</v>
      </c>
      <c r="C55" s="261">
        <v>0.06</v>
      </c>
    </row>
    <row r="56" spans="1:3" ht="12.75" customHeight="1">
      <c r="A56" s="262" t="s">
        <v>374</v>
      </c>
      <c r="B56" s="263">
        <v>5</v>
      </c>
      <c r="C56" s="264">
        <v>0.06</v>
      </c>
    </row>
    <row r="57" spans="1:3" ht="12.75" customHeight="1">
      <c r="A57" s="259" t="s">
        <v>375</v>
      </c>
      <c r="B57" s="260">
        <v>5</v>
      </c>
      <c r="C57" s="261">
        <v>0.18</v>
      </c>
    </row>
    <row r="58" spans="1:3" ht="12.75" customHeight="1">
      <c r="A58" s="262" t="s">
        <v>376</v>
      </c>
      <c r="B58" s="263">
        <v>5</v>
      </c>
      <c r="C58" s="264">
        <v>0.12</v>
      </c>
    </row>
    <row r="59" spans="1:3" ht="12.75" customHeight="1">
      <c r="A59" s="259" t="s">
        <v>377</v>
      </c>
      <c r="B59" s="260">
        <v>20</v>
      </c>
      <c r="C59" s="261">
        <v>0.18</v>
      </c>
    </row>
    <row r="60" spans="1:3" ht="12.75" customHeight="1">
      <c r="A60" s="262" t="s">
        <v>378</v>
      </c>
      <c r="B60" s="263">
        <v>10</v>
      </c>
      <c r="C60" s="264">
        <v>0.06</v>
      </c>
    </row>
    <row r="61" spans="1:3" ht="12.75" customHeight="1">
      <c r="A61" s="259" t="s">
        <v>379</v>
      </c>
      <c r="B61" s="260">
        <v>5</v>
      </c>
      <c r="C61" s="261">
        <v>0.06</v>
      </c>
    </row>
    <row r="62" spans="1:3" ht="12.75" customHeight="1">
      <c r="A62" s="262" t="s">
        <v>380</v>
      </c>
      <c r="B62" s="263">
        <v>10</v>
      </c>
      <c r="C62" s="264">
        <v>0.18</v>
      </c>
    </row>
    <row r="63" spans="1:3" ht="12.75" customHeight="1">
      <c r="A63" s="259" t="s">
        <v>381</v>
      </c>
      <c r="B63" s="260">
        <v>5</v>
      </c>
      <c r="C63" s="261">
        <v>0.06</v>
      </c>
    </row>
    <row r="64" spans="1:3" ht="12.75" customHeight="1">
      <c r="A64" s="262" t="s">
        <v>382</v>
      </c>
      <c r="B64" s="263">
        <v>5</v>
      </c>
      <c r="C64" s="264">
        <v>0.06</v>
      </c>
    </row>
    <row r="65" spans="1:3" ht="12.75" customHeight="1">
      <c r="A65" s="259" t="s">
        <v>383</v>
      </c>
      <c r="B65" s="260">
        <v>5</v>
      </c>
      <c r="C65" s="261">
        <v>0.06</v>
      </c>
    </row>
    <row r="66" spans="1:3" ht="12.75" customHeight="1">
      <c r="A66" s="262" t="s">
        <v>384</v>
      </c>
      <c r="B66" s="263">
        <v>10</v>
      </c>
      <c r="C66" s="264">
        <v>0.06</v>
      </c>
    </row>
    <row r="67" spans="1:3" ht="12.75" customHeight="1">
      <c r="A67" s="259" t="s">
        <v>385</v>
      </c>
      <c r="B67" s="260">
        <v>5</v>
      </c>
      <c r="C67" s="261">
        <v>0.06</v>
      </c>
    </row>
    <row r="68" spans="1:3" ht="12.75" customHeight="1">
      <c r="A68" s="262" t="s">
        <v>386</v>
      </c>
      <c r="B68" s="265">
        <v>7.5</v>
      </c>
      <c r="C68" s="264">
        <v>0.18</v>
      </c>
    </row>
    <row r="69" spans="1:3" ht="12.75" customHeight="1">
      <c r="A69" s="259" t="s">
        <v>387</v>
      </c>
      <c r="B69" s="266">
        <v>7.5</v>
      </c>
      <c r="C69" s="261">
        <v>0.12</v>
      </c>
    </row>
    <row r="70" spans="1:3" ht="12.75" customHeight="1">
      <c r="A70" s="262" t="s">
        <v>388</v>
      </c>
      <c r="B70" s="263">
        <v>10</v>
      </c>
      <c r="C70" s="264">
        <v>0.12</v>
      </c>
    </row>
    <row r="71" spans="1:3" ht="12.75" customHeight="1">
      <c r="A71" s="259" t="s">
        <v>389</v>
      </c>
      <c r="B71" s="266">
        <v>7.5</v>
      </c>
      <c r="C71" s="261">
        <v>0.12</v>
      </c>
    </row>
    <row r="72" spans="1:3" ht="12.75" customHeight="1">
      <c r="A72" s="262" t="s">
        <v>390</v>
      </c>
      <c r="B72" s="265">
        <v>7.5</v>
      </c>
      <c r="C72" s="264">
        <v>0.06</v>
      </c>
    </row>
    <row r="73" spans="1:3" ht="12.75" customHeight="1">
      <c r="A73" s="259" t="s">
        <v>391</v>
      </c>
      <c r="B73" s="260">
        <v>5</v>
      </c>
      <c r="C73" s="261">
        <v>0.06</v>
      </c>
    </row>
    <row r="74" spans="1:3" ht="12.75" customHeight="1">
      <c r="A74" s="262" t="s">
        <v>392</v>
      </c>
      <c r="B74" s="263">
        <v>10</v>
      </c>
      <c r="C74" s="264">
        <v>0.06</v>
      </c>
    </row>
    <row r="75" spans="1:3" ht="12.75" customHeight="1">
      <c r="A75" s="259" t="s">
        <v>393</v>
      </c>
      <c r="B75" s="260">
        <v>7.5</v>
      </c>
      <c r="C75" s="261">
        <v>0.06</v>
      </c>
    </row>
    <row r="76" spans="1:3" ht="12.75" customHeight="1">
      <c r="A76" s="262" t="s">
        <v>394</v>
      </c>
      <c r="B76" s="271" t="s">
        <v>395</v>
      </c>
      <c r="C76" s="264">
        <v>0</v>
      </c>
    </row>
    <row r="77" spans="1:3" ht="12.75" customHeight="1">
      <c r="A77" s="259" t="s">
        <v>396</v>
      </c>
      <c r="B77" s="260">
        <v>5</v>
      </c>
      <c r="C77" s="261">
        <v>0.06</v>
      </c>
    </row>
    <row r="78" spans="1:3" ht="12.75" customHeight="1">
      <c r="A78" s="262" t="s">
        <v>397</v>
      </c>
      <c r="B78" s="265">
        <v>7.5</v>
      </c>
      <c r="C78" s="264">
        <v>0.06</v>
      </c>
    </row>
    <row r="79" spans="1:3" ht="12.75" customHeight="1">
      <c r="A79" s="259" t="s">
        <v>398</v>
      </c>
      <c r="B79" s="266">
        <v>7.5</v>
      </c>
      <c r="C79" s="261">
        <v>0.12</v>
      </c>
    </row>
    <row r="80" spans="1:3" ht="12.75" customHeight="1">
      <c r="A80" s="262" t="s">
        <v>399</v>
      </c>
      <c r="B80" s="263">
        <v>5</v>
      </c>
      <c r="C80" s="264">
        <v>0.06</v>
      </c>
    </row>
    <row r="81" spans="1:3" ht="12.75" customHeight="1">
      <c r="A81" s="259" t="s">
        <v>400</v>
      </c>
      <c r="B81" s="266">
        <v>7.5</v>
      </c>
      <c r="C81" s="261">
        <v>0.18</v>
      </c>
    </row>
    <row r="82" spans="1:3" ht="12.75" customHeight="1">
      <c r="A82" s="272" t="s">
        <v>401</v>
      </c>
      <c r="B82" s="273">
        <v>10</v>
      </c>
      <c r="C82" s="274">
        <v>0.18</v>
      </c>
    </row>
    <row r="83" spans="1:3" ht="12.75" customHeight="1"/>
    <row r="84" spans="1:3" ht="12.75" customHeight="1"/>
    <row r="85" spans="1:3" ht="12.75" customHeight="1"/>
    <row r="86" spans="1:3" ht="12.75" customHeight="1"/>
    <row r="87" spans="1:3" ht="12.75" customHeight="1"/>
    <row r="88" spans="1:3" ht="12.75" customHeight="1"/>
    <row r="89" spans="1:3" ht="12.75" customHeight="1"/>
    <row r="90" spans="1:3" ht="12.75" customHeight="1"/>
    <row r="91" spans="1:3" ht="12.75" customHeight="1"/>
    <row r="92" spans="1:3" ht="12.75" customHeight="1"/>
    <row r="93" spans="1:3" ht="12.75" customHeight="1"/>
    <row r="94" spans="1:3" ht="12.75" customHeight="1"/>
    <row r="95" spans="1:3" ht="12.75" customHeight="1"/>
    <row r="96" spans="1:3"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Readme</vt:lpstr>
      <vt:lpstr> Calculation</vt:lpstr>
      <vt:lpstr>Scenario Comparison</vt:lpstr>
      <vt:lpstr>Reference Tables --&gt;</vt:lpstr>
      <vt:lpstr>Table 1 - Operational Info</vt:lpstr>
      <vt:lpstr>Table 2 - Filtration Info</vt:lpstr>
      <vt:lpstr>Table 3 - ASHRAE 62.1 OA Rates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Williams, Mason</cp:lastModifiedBy>
  <dcterms:created xsi:type="dcterms:W3CDTF">2020-11-30T14:57:40Z</dcterms:created>
  <dcterms:modified xsi:type="dcterms:W3CDTF">2023-11-09T02:43:03Z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b7864bb8-b671-4bed-ba85-9478127ab5e9_Enabled">
    <vt:lpwstr>true</vt:lpwstr>
  </property>
  <property fmtid="{D5CDD505-2E9C-101B-9397-08002B2CF9AE}" pid="3" name="MSIP_Label_b7864bb8-b671-4bed-ba85-9478127ab5e9_SetDate">
    <vt:lpwstr>2023-11-09T01:54:43Z</vt:lpwstr>
  </property>
  <property fmtid="{D5CDD505-2E9C-101B-9397-08002B2CF9AE}" pid="4" name="MSIP_Label_b7864bb8-b671-4bed-ba85-9478127ab5e9_Method">
    <vt:lpwstr>Standard</vt:lpwstr>
  </property>
  <property fmtid="{D5CDD505-2E9C-101B-9397-08002B2CF9AE}" pid="5" name="MSIP_Label_b7864bb8-b671-4bed-ba85-9478127ab5e9_Name">
    <vt:lpwstr>Confidential – 2023</vt:lpwstr>
  </property>
  <property fmtid="{D5CDD505-2E9C-101B-9397-08002B2CF9AE}" pid="6" name="MSIP_Label_b7864bb8-b671-4bed-ba85-9478127ab5e9_SiteId">
    <vt:lpwstr>36839a65-7f3f-4bac-9ea4-f571f10a9a03</vt:lpwstr>
  </property>
  <property fmtid="{D5CDD505-2E9C-101B-9397-08002B2CF9AE}" pid="7" name="MSIP_Label_b7864bb8-b671-4bed-ba85-9478127ab5e9_ActionId">
    <vt:lpwstr>dacc58d8-65f5-4f21-96d3-ac1e82c9e57c</vt:lpwstr>
  </property>
  <property fmtid="{D5CDD505-2E9C-101B-9397-08002B2CF9AE}" pid="8" name="MSIP_Label_b7864bb8-b671-4bed-ba85-9478127ab5e9_ContentBits">
    <vt:lpwstr>0</vt:lpwstr>
  </property>
</Properties>
</file>