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9" i="1" l="1"/>
  <c r="K58" i="1"/>
  <c r="K57" i="1"/>
  <c r="AA43" i="1"/>
  <c r="AA44" i="1"/>
  <c r="AA45" i="1"/>
  <c r="AA46" i="1"/>
  <c r="AA47" i="1"/>
  <c r="AA48" i="1"/>
  <c r="AA49" i="1"/>
  <c r="AA50" i="1"/>
  <c r="AA51" i="1"/>
  <c r="AA52" i="1"/>
  <c r="AB43" i="1"/>
  <c r="AB44" i="1"/>
  <c r="AB45" i="1"/>
  <c r="AB46" i="1"/>
  <c r="AB47" i="1"/>
  <c r="AB48" i="1"/>
  <c r="AB49" i="1"/>
  <c r="AB50" i="1"/>
  <c r="AB51" i="1"/>
  <c r="AB52" i="1"/>
  <c r="AC43" i="1"/>
  <c r="AC44" i="1"/>
  <c r="AC45" i="1"/>
  <c r="AC46" i="1"/>
  <c r="AC47" i="1"/>
  <c r="AC48" i="1"/>
  <c r="AC49" i="1"/>
  <c r="AC50" i="1"/>
  <c r="AC51" i="1"/>
  <c r="AC52" i="1"/>
  <c r="P43" i="1"/>
  <c r="P44" i="1"/>
  <c r="P45" i="1"/>
  <c r="P46" i="1"/>
  <c r="P47" i="1"/>
  <c r="P48" i="1"/>
  <c r="P49" i="1"/>
  <c r="P50" i="1"/>
  <c r="P51" i="1"/>
  <c r="P52" i="1"/>
  <c r="Q43" i="1"/>
  <c r="Q44" i="1"/>
  <c r="Q45" i="1"/>
  <c r="Q46" i="1"/>
  <c r="Q47" i="1"/>
  <c r="Q48" i="1"/>
  <c r="Q49" i="1"/>
  <c r="Q50" i="1"/>
  <c r="Q51" i="1"/>
  <c r="Q52" i="1"/>
  <c r="R43" i="1"/>
  <c r="R44" i="1"/>
  <c r="R45" i="1"/>
  <c r="R46" i="1"/>
  <c r="R47" i="1"/>
  <c r="R48" i="1"/>
  <c r="R49" i="1"/>
  <c r="R50" i="1"/>
  <c r="R51" i="1"/>
  <c r="R52" i="1"/>
  <c r="D63" i="1"/>
  <c r="D64" i="1"/>
  <c r="D65" i="1"/>
  <c r="D66" i="1"/>
  <c r="D67" i="1"/>
  <c r="D68" i="1"/>
  <c r="D69" i="1"/>
  <c r="D70" i="1"/>
  <c r="D71" i="1"/>
  <c r="D72" i="1"/>
  <c r="F63" i="1"/>
  <c r="F64" i="1"/>
  <c r="F65" i="1"/>
  <c r="F66" i="1"/>
  <c r="F67" i="1"/>
  <c r="F68" i="1"/>
  <c r="F69" i="1"/>
  <c r="F70" i="1"/>
  <c r="F71" i="1"/>
  <c r="F72" i="1"/>
  <c r="AA33" i="1"/>
  <c r="AA34" i="1"/>
  <c r="AA35" i="1"/>
  <c r="AA36" i="1"/>
  <c r="AA37" i="1"/>
  <c r="AA38" i="1"/>
  <c r="AA39" i="1"/>
  <c r="AA40" i="1"/>
  <c r="AA41" i="1"/>
  <c r="AA42" i="1"/>
  <c r="AB33" i="1"/>
  <c r="AB34" i="1"/>
  <c r="AB35" i="1"/>
  <c r="AB36" i="1"/>
  <c r="AB37" i="1"/>
  <c r="AB38" i="1"/>
  <c r="AB39" i="1"/>
  <c r="AB40" i="1"/>
  <c r="AB41" i="1"/>
  <c r="AB42" i="1"/>
  <c r="AC33" i="1"/>
  <c r="AC34" i="1"/>
  <c r="AC35" i="1"/>
  <c r="AC36" i="1"/>
  <c r="AC37" i="1"/>
  <c r="AC38" i="1"/>
  <c r="AC39" i="1"/>
  <c r="AC40" i="1"/>
  <c r="AC41" i="1"/>
  <c r="AC42" i="1"/>
  <c r="P33" i="1"/>
  <c r="P34" i="1"/>
  <c r="P35" i="1"/>
  <c r="P36" i="1"/>
  <c r="P37" i="1"/>
  <c r="P38" i="1"/>
  <c r="P39" i="1"/>
  <c r="P40" i="1"/>
  <c r="P41" i="1"/>
  <c r="P42" i="1"/>
  <c r="Q33" i="1"/>
  <c r="Q34" i="1"/>
  <c r="Q35" i="1"/>
  <c r="Q36" i="1"/>
  <c r="Q37" i="1"/>
  <c r="Q38" i="1"/>
  <c r="Q39" i="1"/>
  <c r="Q40" i="1"/>
  <c r="Q41" i="1"/>
  <c r="Q42" i="1"/>
  <c r="R33" i="1"/>
  <c r="R34" i="1"/>
  <c r="R35" i="1"/>
  <c r="R36" i="1"/>
  <c r="R37" i="1"/>
  <c r="R38" i="1"/>
  <c r="R39" i="1"/>
  <c r="R40" i="1"/>
  <c r="R41" i="1"/>
  <c r="R42" i="1"/>
  <c r="D53" i="1"/>
  <c r="D54" i="1"/>
  <c r="D55" i="1"/>
  <c r="D56" i="1"/>
  <c r="D57" i="1"/>
  <c r="D58" i="1"/>
  <c r="D59" i="1"/>
  <c r="D60" i="1"/>
  <c r="D61" i="1"/>
  <c r="D62" i="1"/>
  <c r="F53" i="1"/>
  <c r="F54" i="1"/>
  <c r="F55" i="1"/>
  <c r="F56" i="1"/>
  <c r="F57" i="1"/>
  <c r="F58" i="1"/>
  <c r="F59" i="1"/>
  <c r="F60" i="1"/>
  <c r="F61" i="1"/>
  <c r="F62" i="1"/>
  <c r="AA23" i="1"/>
  <c r="AA24" i="1"/>
  <c r="AA25" i="1"/>
  <c r="AA26" i="1"/>
  <c r="AA27" i="1"/>
  <c r="AA28" i="1"/>
  <c r="AA29" i="1"/>
  <c r="AA30" i="1"/>
  <c r="AA31" i="1"/>
  <c r="AA32" i="1"/>
  <c r="AB23" i="1"/>
  <c r="AB24" i="1"/>
  <c r="AB25" i="1"/>
  <c r="AB26" i="1"/>
  <c r="AB27" i="1"/>
  <c r="AB28" i="1"/>
  <c r="AB29" i="1"/>
  <c r="AB30" i="1"/>
  <c r="AB31" i="1"/>
  <c r="AB32" i="1"/>
  <c r="AC23" i="1"/>
  <c r="AC24" i="1"/>
  <c r="AC25" i="1"/>
  <c r="AC26" i="1"/>
  <c r="AC27" i="1"/>
  <c r="AC28" i="1"/>
  <c r="AC29" i="1"/>
  <c r="AC30" i="1"/>
  <c r="AC31" i="1"/>
  <c r="AC32" i="1"/>
  <c r="P23" i="1"/>
  <c r="P24" i="1"/>
  <c r="P25" i="1"/>
  <c r="P26" i="1"/>
  <c r="P27" i="1"/>
  <c r="P28" i="1"/>
  <c r="P29" i="1"/>
  <c r="P30" i="1"/>
  <c r="P31" i="1"/>
  <c r="P32" i="1"/>
  <c r="Q23" i="1"/>
  <c r="Q24" i="1"/>
  <c r="Q25" i="1"/>
  <c r="Q26" i="1"/>
  <c r="Q27" i="1"/>
  <c r="Q28" i="1"/>
  <c r="Q29" i="1"/>
  <c r="Q30" i="1"/>
  <c r="Q31" i="1"/>
  <c r="Q32" i="1"/>
  <c r="R23" i="1"/>
  <c r="R24" i="1"/>
  <c r="R25" i="1"/>
  <c r="R26" i="1"/>
  <c r="R27" i="1"/>
  <c r="R28" i="1"/>
  <c r="R29" i="1"/>
  <c r="R30" i="1"/>
  <c r="R31" i="1"/>
  <c r="R32" i="1"/>
  <c r="D43" i="1"/>
  <c r="D44" i="1"/>
  <c r="D45" i="1"/>
  <c r="D46" i="1"/>
  <c r="D47" i="1"/>
  <c r="D48" i="1"/>
  <c r="D49" i="1"/>
  <c r="D50" i="1"/>
  <c r="D51" i="1"/>
  <c r="D52" i="1"/>
  <c r="F43" i="1"/>
  <c r="F44" i="1"/>
  <c r="F45" i="1"/>
  <c r="F46" i="1"/>
  <c r="F47" i="1"/>
  <c r="F48" i="1"/>
  <c r="F49" i="1"/>
  <c r="F50" i="1"/>
  <c r="F51" i="1"/>
  <c r="F52" i="1"/>
  <c r="AC22" i="1"/>
  <c r="AB22" i="1"/>
  <c r="AA22" i="1"/>
  <c r="AC21" i="1"/>
  <c r="AB21" i="1"/>
  <c r="AA21" i="1"/>
  <c r="AC20" i="1"/>
  <c r="AB20" i="1"/>
  <c r="AA20" i="1"/>
  <c r="AC19" i="1"/>
  <c r="AB19" i="1"/>
  <c r="AA19" i="1"/>
  <c r="AC18" i="1"/>
  <c r="AB18" i="1"/>
  <c r="AA18" i="1"/>
  <c r="AC17" i="1"/>
  <c r="AB17" i="1"/>
  <c r="AA17" i="1"/>
  <c r="AC16" i="1"/>
  <c r="AB16" i="1"/>
  <c r="AA16" i="1"/>
  <c r="AC15" i="1"/>
  <c r="AB15" i="1"/>
  <c r="AA15" i="1"/>
  <c r="AC14" i="1"/>
  <c r="AB14" i="1"/>
  <c r="AA14" i="1"/>
  <c r="AC13" i="1"/>
  <c r="AB13" i="1"/>
  <c r="AA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P21" i="1"/>
  <c r="Q21" i="1"/>
  <c r="R21" i="1"/>
  <c r="P22" i="1"/>
  <c r="Q22" i="1"/>
  <c r="R22" i="1"/>
  <c r="R13" i="1"/>
  <c r="Q13" i="1"/>
  <c r="P13" i="1"/>
  <c r="D33" i="1"/>
  <c r="D34" i="1"/>
  <c r="D35" i="1"/>
  <c r="D36" i="1"/>
  <c r="D37" i="1"/>
  <c r="D38" i="1"/>
  <c r="D39" i="1"/>
  <c r="D40" i="1"/>
  <c r="D41" i="1"/>
  <c r="D42" i="1"/>
  <c r="F33" i="1"/>
  <c r="F34" i="1"/>
  <c r="F35" i="1"/>
  <c r="F36" i="1"/>
  <c r="F37" i="1"/>
  <c r="F38" i="1"/>
  <c r="F39" i="1"/>
  <c r="F40" i="1"/>
  <c r="F41" i="1"/>
  <c r="F42" i="1"/>
  <c r="D23" i="1"/>
  <c r="D24" i="1"/>
  <c r="D25" i="1"/>
  <c r="D26" i="1"/>
  <c r="D27" i="1"/>
  <c r="D28" i="1"/>
  <c r="D29" i="1"/>
  <c r="D30" i="1"/>
  <c r="D31" i="1"/>
  <c r="D32" i="1"/>
  <c r="F23" i="1"/>
  <c r="F24" i="1"/>
  <c r="F25" i="1"/>
  <c r="F26" i="1"/>
  <c r="F27" i="1"/>
  <c r="F28" i="1"/>
  <c r="F29" i="1"/>
  <c r="F30" i="1"/>
  <c r="F31" i="1"/>
  <c r="F32" i="1"/>
  <c r="F14" i="1"/>
  <c r="F15" i="1"/>
  <c r="F16" i="1"/>
  <c r="F17" i="1"/>
  <c r="F18" i="1"/>
  <c r="F19" i="1"/>
  <c r="F20" i="1"/>
  <c r="F21" i="1"/>
  <c r="F22" i="1"/>
  <c r="F13" i="1"/>
  <c r="D14" i="1"/>
  <c r="D15" i="1"/>
  <c r="D16" i="1"/>
  <c r="D17" i="1"/>
  <c r="D18" i="1"/>
  <c r="D19" i="1"/>
  <c r="D20" i="1"/>
  <c r="D21" i="1"/>
  <c r="D22" i="1"/>
  <c r="D13" i="1"/>
  <c r="L4" i="1" l="1"/>
  <c r="L5" i="1"/>
  <c r="L6" i="1"/>
  <c r="L7" i="1"/>
  <c r="L8" i="1"/>
  <c r="L9" i="1"/>
  <c r="L3" i="1"/>
  <c r="O3" i="1" s="1"/>
  <c r="I9" i="1"/>
  <c r="I8" i="1"/>
  <c r="I7" i="1"/>
  <c r="I6" i="1"/>
  <c r="I5" i="1"/>
  <c r="I4" i="1"/>
  <c r="I3" i="1"/>
  <c r="B9" i="1"/>
  <c r="B8" i="1"/>
  <c r="B7" i="1"/>
  <c r="B6" i="1"/>
  <c r="B5" i="1"/>
  <c r="E5" i="1"/>
  <c r="E6" i="1"/>
  <c r="E7" i="1"/>
  <c r="E8" i="1"/>
  <c r="O8" i="1" s="1"/>
  <c r="E9" i="1"/>
  <c r="B4" i="1"/>
  <c r="E4" i="1"/>
  <c r="E3" i="1"/>
  <c r="B3" i="1"/>
  <c r="O5" i="1" l="1"/>
  <c r="O7" i="1"/>
  <c r="O9" i="1"/>
  <c r="O6" i="1"/>
  <c r="O4" i="1"/>
</calcChain>
</file>

<file path=xl/sharedStrings.xml><?xml version="1.0" encoding="utf-8"?>
<sst xmlns="http://schemas.openxmlformats.org/spreadsheetml/2006/main" count="49" uniqueCount="29">
  <si>
    <t>Vs</t>
  </si>
  <si>
    <t>It</t>
  </si>
  <si>
    <t>Rl</t>
  </si>
  <si>
    <t>Vr</t>
  </si>
  <si>
    <t>Pr</t>
  </si>
  <si>
    <t>angle</t>
  </si>
  <si>
    <t>agnle</t>
  </si>
  <si>
    <t>Pr(mW)</t>
  </si>
  <si>
    <t>single transmiter square copper coil 0.3mm @ 913KHz</t>
  </si>
  <si>
    <t>single transmiter square PCB 70um @ 884.222KHz</t>
  </si>
  <si>
    <t>increased Pr(%)</t>
  </si>
  <si>
    <t>sigle trasmiter PCB @884.22KHz RL=120 Vs=4</t>
  </si>
  <si>
    <t>Vsen</t>
  </si>
  <si>
    <t>ADCval</t>
  </si>
  <si>
    <t xml:space="preserve">angle </t>
  </si>
  <si>
    <t>position</t>
  </si>
  <si>
    <t>Vsen1</t>
  </si>
  <si>
    <t>Vsen2</t>
  </si>
  <si>
    <t>ADC1</t>
  </si>
  <si>
    <t>ADC2</t>
  </si>
  <si>
    <t>It1</t>
  </si>
  <si>
    <t>It2</t>
  </si>
  <si>
    <t>antipahse @865KHz Vs=4 Rl=180</t>
  </si>
  <si>
    <t>inpahse @913KHz Vs=4 Rl=180 position from coil1 center to coil2</t>
  </si>
  <si>
    <t>hexagon coils test1: measure the coupling and resonate frequency</t>
  </si>
  <si>
    <t xml:space="preserve">single coil frequency </t>
  </si>
  <si>
    <t>Inphase frequency</t>
  </si>
  <si>
    <t>K(%)</t>
  </si>
  <si>
    <t>antiphase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</si>
</sst>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/>
    <xf numFmtId="0" fontId="0" fillId="3" borderId="0" xfId="0" applyFill="1" applyAlignment="1">
      <alignment horizontal="center"/>
    </xf>
  </cellXfs>
  <cellStyles count="1">
    <cellStyle name="Normal" xfId="0" builtinId="0"/>
  </cellStyles>
  <dxfs count="4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13792393597859"/>
          <c:y val="6.0027722565839381E-2"/>
          <c:w val="0.85124354553720005"/>
          <c:h val="0.82451450325466069"/>
        </c:manualLayout>
      </c:layout>
      <c:lineChart>
        <c:grouping val="standard"/>
        <c:varyColors val="0"/>
        <c:ser>
          <c:idx val="0"/>
          <c:order val="0"/>
          <c:tx>
            <c:v>copper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Sheet1!$H$3:$H$9</c:f>
              <c:numCache>
                <c:formatCode>General</c:formatCode>
                <c:ptCount val="7"/>
                <c:pt idx="0">
                  <c:v>4.09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cat>
          <c:val>
            <c:numRef>
              <c:f>Sheet1!$L$3:$L$9</c:f>
              <c:numCache>
                <c:formatCode>General</c:formatCode>
                <c:ptCount val="7"/>
                <c:pt idx="0">
                  <c:v>433.20083333333332</c:v>
                </c:pt>
                <c:pt idx="1">
                  <c:v>630.74999999999977</c:v>
                </c:pt>
                <c:pt idx="2">
                  <c:v>901.33333333333348</c:v>
                </c:pt>
                <c:pt idx="3">
                  <c:v>1180.0833333333335</c:v>
                </c:pt>
                <c:pt idx="4">
                  <c:v>1518.75</c:v>
                </c:pt>
                <c:pt idx="5">
                  <c:v>1900.0833333333333</c:v>
                </c:pt>
                <c:pt idx="6">
                  <c:v>2324.0833333333335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CD-4841-A77C-0FF805E519F8}"/>
            </c:ext>
          </c:extLst>
        </c:ser>
        <c:ser>
          <c:idx val="1"/>
          <c:order val="1"/>
          <c:tx>
            <c:v>PCB70um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Sheet1!$H$3:$H$9</c:f>
              <c:numCache>
                <c:formatCode>General</c:formatCode>
                <c:ptCount val="7"/>
                <c:pt idx="0">
                  <c:v>4.09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cat>
          <c:val>
            <c:numRef>
              <c:f>Sheet1!$E$3:$E$9</c:f>
              <c:numCache>
                <c:formatCode>General</c:formatCode>
                <c:ptCount val="7"/>
                <c:pt idx="0">
                  <c:v>301.00083333333333</c:v>
                </c:pt>
                <c:pt idx="1">
                  <c:v>472.50750000000005</c:v>
                </c:pt>
                <c:pt idx="2">
                  <c:v>646.80083333333334</c:v>
                </c:pt>
                <c:pt idx="3">
                  <c:v>866.99999999999989</c:v>
                </c:pt>
                <c:pt idx="4">
                  <c:v>1121.3333333333333</c:v>
                </c:pt>
                <c:pt idx="5">
                  <c:v>1408.3333333333335</c:v>
                </c:pt>
                <c:pt idx="6">
                  <c:v>1704.0833333333335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CD-4841-A77C-0FF805E51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510942960"/>
        <c:axId val="510946704"/>
      </c:lineChart>
      <c:catAx>
        <c:axId val="510942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946704"/>
        <c:crosses val="autoZero"/>
        <c:auto val="1"/>
        <c:lblAlgn val="ctr"/>
        <c:lblOffset val="100"/>
        <c:noMultiLvlLbl val="0"/>
      </c:catAx>
      <c:valAx>
        <c:axId val="51094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Power(mW)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94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19171877392619"/>
          <c:y val="0.57445097600908657"/>
          <c:w val="0.13809376769080337"/>
          <c:h val="0.316971864597241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401782</xdr:colOff>
      <xdr:row>0</xdr:row>
      <xdr:rowOff>0</xdr:rowOff>
    </xdr:from>
    <xdr:to>
      <xdr:col>26</xdr:col>
      <xdr:colOff>433647</xdr:colOff>
      <xdr:row>9</xdr:row>
      <xdr:rowOff>41563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F9" totalsRowShown="0" headerRowDxfId="47" dataDxfId="46">
  <autoFilter ref="A2:F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Vs" dataDxfId="45"/>
    <tableColumn id="2" name="It" dataDxfId="44">
      <calculatedColumnFormula>176/200</calculatedColumnFormula>
    </tableColumn>
    <tableColumn id="3" name="Rl" dataDxfId="43"/>
    <tableColumn id="4" name="Vr" dataDxfId="42"/>
    <tableColumn id="5" name="Pr(mW)" dataDxfId="41">
      <calculatedColumnFormula>Table1[Vr]^2/Table1[Rl]*1000</calculatedColumnFormula>
    </tableColumn>
    <tableColumn id="6" name="agnle" dataDxfId="4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H2:L9" totalsRowShown="0" headerRowDxfId="34" dataDxfId="33">
  <autoFilter ref="H2:L9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Vs" dataDxfId="39"/>
    <tableColumn id="2" name="It" dataDxfId="38"/>
    <tableColumn id="3" name="Rl" dataDxfId="37"/>
    <tableColumn id="4" name="Vr" dataDxfId="36"/>
    <tableColumn id="5" name="Pr(mW)" dataDxfId="35">
      <calculatedColumnFormula>Table2[[#This Row],[Vr]]^2/Table2[[#This Row],[Rl]]*1000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2:G72" totalsRowShown="0" headerRowDxfId="25" dataDxfId="24">
  <autoFilter ref="A12:G7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angle " dataDxfId="32"/>
    <tableColumn id="2" name="position" dataDxfId="31"/>
    <tableColumn id="3" name="Vsen" dataDxfId="30"/>
    <tableColumn id="4" name="It" dataDxfId="29">
      <calculatedColumnFormula>Table3[[#This Row],[Vsen]]/200.5</calculatedColumnFormula>
    </tableColumn>
    <tableColumn id="5" name="Vr" dataDxfId="28"/>
    <tableColumn id="6" name="Pr" dataDxfId="27">
      <calculatedColumnFormula>Table3[[#This Row],[Vr]]^2/120*1000</calculatedColumnFormula>
    </tableColumn>
    <tableColumn id="7" name="ADCval" dataDxfId="2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I12:R52" totalsRowShown="0" headerRowDxfId="13" dataDxfId="12">
  <autoFilter ref="I12:R5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angle" dataDxfId="23"/>
    <tableColumn id="2" name="position" dataDxfId="22"/>
    <tableColumn id="3" name="Vsen1" dataDxfId="21"/>
    <tableColumn id="4" name="Vsen2" dataDxfId="20"/>
    <tableColumn id="5" name="Vr" dataDxfId="19"/>
    <tableColumn id="6" name="ADC1" dataDxfId="18"/>
    <tableColumn id="7" name="ADC2" dataDxfId="17"/>
    <tableColumn id="8" name="Pr" dataDxfId="16">
      <calculatedColumnFormula>Table4[[#This Row],[Vr]]^2/180</calculatedColumnFormula>
    </tableColumn>
    <tableColumn id="9" name="It1" dataDxfId="15">
      <calculatedColumnFormula>Table4[[#This Row],[Vsen1]]/200.05</calculatedColumnFormula>
    </tableColumn>
    <tableColumn id="10" name="It2" dataDxfId="14">
      <calculatedColumnFormula>Table4[[#This Row],[Vsen2]]/178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46" displayName="Table46" ref="T12:AC52" totalsRowShown="0" headerRowDxfId="11" dataDxfId="10">
  <autoFilter ref="T12:AC5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angle" dataDxfId="9"/>
    <tableColumn id="2" name="position" dataDxfId="8"/>
    <tableColumn id="3" name="Vsen1" dataDxfId="7"/>
    <tableColumn id="4" name="Vsen2" dataDxfId="6"/>
    <tableColumn id="5" name="Vr" dataDxfId="5"/>
    <tableColumn id="6" name="ADC1" dataDxfId="4"/>
    <tableColumn id="7" name="ADC2" dataDxfId="3"/>
    <tableColumn id="8" name="Pr" dataDxfId="2">
      <calculatedColumnFormula>Table46[[#This Row],[Vr]]^2/180</calculatedColumnFormula>
    </tableColumn>
    <tableColumn id="9" name="It1" dataDxfId="1">
      <calculatedColumnFormula>Table46[[#This Row],[Vsen1]]/200.05</calculatedColumnFormula>
    </tableColumn>
    <tableColumn id="10" name="It2" dataDxfId="0">
      <calculatedColumnFormula>Table46[[#This Row],[Vsen2]]/178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2"/>
  <sheetViews>
    <sheetView tabSelected="1" topLeftCell="G45" zoomScale="115" zoomScaleNormal="115" workbookViewId="0">
      <selection activeCell="S61" sqref="S61"/>
    </sheetView>
  </sheetViews>
  <sheetFormatPr defaultRowHeight="14.4" x14ac:dyDescent="0.3"/>
  <cols>
    <col min="2" max="2" width="9.6640625" customWidth="1"/>
    <col min="10" max="10" width="9.6640625" customWidth="1"/>
    <col min="12" max="12" width="9.44140625" customWidth="1"/>
    <col min="15" max="15" width="13.6640625" customWidth="1"/>
  </cols>
  <sheetData>
    <row r="1" spans="1:29" x14ac:dyDescent="0.3">
      <c r="A1" s="3" t="s">
        <v>9</v>
      </c>
      <c r="B1" s="3"/>
      <c r="C1" s="3"/>
      <c r="D1" s="3"/>
      <c r="E1" s="3"/>
      <c r="F1" s="3"/>
      <c r="H1" s="3" t="s">
        <v>8</v>
      </c>
      <c r="I1" s="3"/>
      <c r="J1" s="3"/>
      <c r="K1" s="3"/>
      <c r="L1" s="3"/>
      <c r="M1" s="4"/>
    </row>
    <row r="2" spans="1:29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7</v>
      </c>
      <c r="F2" s="1" t="s">
        <v>6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7</v>
      </c>
      <c r="O2" t="s">
        <v>10</v>
      </c>
    </row>
    <row r="3" spans="1:29" x14ac:dyDescent="0.3">
      <c r="A3" s="1">
        <v>4.0999999999999996</v>
      </c>
      <c r="B3" s="1">
        <f>176/200</f>
        <v>0.88</v>
      </c>
      <c r="C3" s="1">
        <v>120</v>
      </c>
      <c r="D3" s="1">
        <v>6.01</v>
      </c>
      <c r="E3" s="1">
        <f>Table1[Vr]^2/Table1[Rl]*1000</f>
        <v>301.00083333333333</v>
      </c>
      <c r="F3" s="1">
        <v>0</v>
      </c>
      <c r="H3" s="1">
        <v>4.09</v>
      </c>
      <c r="I3" s="1">
        <f>224/200</f>
        <v>1.1200000000000001</v>
      </c>
      <c r="J3" s="1">
        <v>120</v>
      </c>
      <c r="K3" s="1">
        <v>7.21</v>
      </c>
      <c r="L3" s="1">
        <f>Table2[[#This Row],[Vr]]^2/Table2[[#This Row],[Rl]]*1000</f>
        <v>433.20083333333332</v>
      </c>
      <c r="O3">
        <f>(Table2[[#This Row],[Pr(mW)]]/Table1[[#This Row],[Pr(mW)]]-1)*100</f>
        <v>43.920144185647317</v>
      </c>
    </row>
    <row r="4" spans="1:29" x14ac:dyDescent="0.3">
      <c r="A4" s="1">
        <v>5.09</v>
      </c>
      <c r="B4" s="1">
        <f>219/200</f>
        <v>1.095</v>
      </c>
      <c r="C4" s="1">
        <v>120</v>
      </c>
      <c r="D4" s="1">
        <v>7.53</v>
      </c>
      <c r="E4" s="1">
        <f>Table1[Vr]^2/Table1[Rl]*1000</f>
        <v>472.50750000000005</v>
      </c>
      <c r="F4" s="1">
        <v>0</v>
      </c>
      <c r="H4" s="1">
        <v>5</v>
      </c>
      <c r="I4" s="1">
        <f>275/200</f>
        <v>1.375</v>
      </c>
      <c r="J4" s="1">
        <v>120</v>
      </c>
      <c r="K4" s="1">
        <v>8.6999999999999993</v>
      </c>
      <c r="L4" s="1">
        <f>Table2[[#This Row],[Vr]]^2/Table2[[#This Row],[Rl]]*1000</f>
        <v>630.74999999999977</v>
      </c>
      <c r="O4">
        <f>(Table2[[#This Row],[Pr(mW)]]/Table1[[#This Row],[Pr(mW)]]-1)*100</f>
        <v>33.489944604053832</v>
      </c>
    </row>
    <row r="5" spans="1:29" x14ac:dyDescent="0.3">
      <c r="A5" s="1">
        <v>6</v>
      </c>
      <c r="B5" s="1">
        <f>260/200</f>
        <v>1.3</v>
      </c>
      <c r="C5" s="1">
        <v>120</v>
      </c>
      <c r="D5" s="1">
        <v>8.81</v>
      </c>
      <c r="E5" s="1">
        <f>Table1[Vr]^2/Table1[Rl]*1000</f>
        <v>646.80083333333334</v>
      </c>
      <c r="F5" s="1">
        <v>0</v>
      </c>
      <c r="H5" s="1">
        <v>6</v>
      </c>
      <c r="I5" s="1">
        <f>330/200</f>
        <v>1.65</v>
      </c>
      <c r="J5" s="1">
        <v>120</v>
      </c>
      <c r="K5" s="1">
        <v>10.4</v>
      </c>
      <c r="L5" s="1">
        <f>Table2[[#This Row],[Vr]]^2/Table2[[#This Row],[Rl]]*1000</f>
        <v>901.33333333333348</v>
      </c>
      <c r="O5">
        <f>(Table2[[#This Row],[Pr(mW)]]/Table1[[#This Row],[Pr(mW)]]-1)*100</f>
        <v>39.352531240296805</v>
      </c>
    </row>
    <row r="6" spans="1:29" x14ac:dyDescent="0.3">
      <c r="A6" s="1">
        <v>7</v>
      </c>
      <c r="B6" s="1">
        <f>307/200</f>
        <v>1.5349999999999999</v>
      </c>
      <c r="C6" s="1">
        <v>120</v>
      </c>
      <c r="D6" s="1">
        <v>10.199999999999999</v>
      </c>
      <c r="E6" s="1">
        <f>Table1[Vr]^2/Table1[Rl]*1000</f>
        <v>866.99999999999989</v>
      </c>
      <c r="F6" s="1">
        <v>0</v>
      </c>
      <c r="H6" s="1">
        <v>7</v>
      </c>
      <c r="I6" s="1">
        <f>390/200</f>
        <v>1.95</v>
      </c>
      <c r="J6" s="1">
        <v>120</v>
      </c>
      <c r="K6" s="1">
        <v>11.9</v>
      </c>
      <c r="L6" s="1">
        <f>Table2[[#This Row],[Vr]]^2/Table2[[#This Row],[Rl]]*1000</f>
        <v>1180.0833333333335</v>
      </c>
      <c r="O6">
        <f>(Table2[[#This Row],[Pr(mW)]]/Table1[[#This Row],[Pr(mW)]]-1)*100</f>
        <v>36.111111111111136</v>
      </c>
    </row>
    <row r="7" spans="1:29" x14ac:dyDescent="0.3">
      <c r="A7" s="1">
        <v>8.06</v>
      </c>
      <c r="B7" s="1">
        <f>354/200</f>
        <v>1.77</v>
      </c>
      <c r="C7" s="1">
        <v>120</v>
      </c>
      <c r="D7" s="1">
        <v>11.6</v>
      </c>
      <c r="E7" s="1">
        <f>Table1[Vr]^2/Table1[Rl]*1000</f>
        <v>1121.3333333333333</v>
      </c>
      <c r="F7" s="1">
        <v>0</v>
      </c>
      <c r="H7" s="1">
        <v>8</v>
      </c>
      <c r="I7" s="1">
        <f>446/200</f>
        <v>2.23</v>
      </c>
      <c r="J7" s="1">
        <v>120</v>
      </c>
      <c r="K7" s="1">
        <v>13.5</v>
      </c>
      <c r="L7" s="1">
        <f>Table2[[#This Row],[Vr]]^2/Table2[[#This Row],[Rl]]*1000</f>
        <v>1518.75</v>
      </c>
      <c r="O7">
        <f>(Table2[[#This Row],[Pr(mW)]]/Table1[[#This Row],[Pr(mW)]]-1)*100</f>
        <v>35.441438763376929</v>
      </c>
    </row>
    <row r="8" spans="1:29" x14ac:dyDescent="0.3">
      <c r="A8" s="1">
        <v>9.1</v>
      </c>
      <c r="B8" s="1">
        <f>402/200</f>
        <v>2.0099999999999998</v>
      </c>
      <c r="C8" s="1">
        <v>120</v>
      </c>
      <c r="D8" s="1">
        <v>13</v>
      </c>
      <c r="E8" s="1">
        <f>Table1[Vr]^2/Table1[Rl]*1000</f>
        <v>1408.3333333333335</v>
      </c>
      <c r="F8" s="1">
        <v>0</v>
      </c>
      <c r="H8" s="1">
        <v>9</v>
      </c>
      <c r="I8" s="1">
        <f>507/200</f>
        <v>2.5350000000000001</v>
      </c>
      <c r="J8" s="1">
        <v>120</v>
      </c>
      <c r="K8" s="1">
        <v>15.1</v>
      </c>
      <c r="L8" s="1">
        <f>Table2[[#This Row],[Vr]]^2/Table2[[#This Row],[Rl]]*1000</f>
        <v>1900.0833333333333</v>
      </c>
      <c r="O8">
        <f>(Table2[[#This Row],[Pr(mW)]]/Table1[[#This Row],[Pr(mW)]]-1)*100</f>
        <v>34.917159763313599</v>
      </c>
    </row>
    <row r="9" spans="1:29" x14ac:dyDescent="0.3">
      <c r="A9" s="1">
        <v>10.14</v>
      </c>
      <c r="B9" s="1">
        <f>448/200</f>
        <v>2.2400000000000002</v>
      </c>
      <c r="C9" s="1">
        <v>120</v>
      </c>
      <c r="D9" s="1">
        <v>14.3</v>
      </c>
      <c r="E9" s="1">
        <f>Table1[Vr]^2/Table1[Rl]*1000</f>
        <v>1704.0833333333335</v>
      </c>
      <c r="F9" s="1">
        <v>0</v>
      </c>
      <c r="H9" s="1">
        <v>10</v>
      </c>
      <c r="I9" s="1">
        <f>570/200</f>
        <v>2.85</v>
      </c>
      <c r="J9" s="1">
        <v>120</v>
      </c>
      <c r="K9" s="1">
        <v>16.7</v>
      </c>
      <c r="L9" s="1">
        <f>Table2[[#This Row],[Vr]]^2/Table2[[#This Row],[Rl]]*1000</f>
        <v>2324.0833333333335</v>
      </c>
      <c r="O9">
        <f>(Table2[[#This Row],[Pr(mW)]]/Table1[[#This Row],[Pr(mW)]]-1)*100</f>
        <v>36.383197222358056</v>
      </c>
    </row>
    <row r="11" spans="1:29" x14ac:dyDescent="0.3">
      <c r="A11" s="3" t="s">
        <v>11</v>
      </c>
      <c r="B11" s="3"/>
      <c r="C11" s="3"/>
      <c r="D11" s="3"/>
      <c r="E11" s="3"/>
      <c r="F11" s="3"/>
      <c r="G11" s="3"/>
      <c r="I11" s="3" t="s">
        <v>23</v>
      </c>
      <c r="J11" s="3"/>
      <c r="K11" s="3"/>
      <c r="L11" s="3"/>
      <c r="M11" s="3"/>
      <c r="N11" s="3"/>
      <c r="O11" s="3"/>
      <c r="P11" s="3"/>
      <c r="Q11" s="3"/>
      <c r="R11" s="3"/>
      <c r="T11" s="3" t="s">
        <v>22</v>
      </c>
      <c r="U11" s="3"/>
      <c r="V11" s="3"/>
      <c r="W11" s="3"/>
      <c r="X11" s="3"/>
      <c r="Y11" s="3"/>
      <c r="Z11" s="3"/>
      <c r="AA11" s="3"/>
      <c r="AB11" s="3"/>
      <c r="AC11" s="3"/>
    </row>
    <row r="12" spans="1:29" x14ac:dyDescent="0.3">
      <c r="A12" s="1" t="s">
        <v>14</v>
      </c>
      <c r="B12" s="1" t="s">
        <v>15</v>
      </c>
      <c r="C12" s="1" t="s">
        <v>12</v>
      </c>
      <c r="D12" s="1" t="s">
        <v>1</v>
      </c>
      <c r="E12" s="1" t="s">
        <v>3</v>
      </c>
      <c r="F12" s="1" t="s">
        <v>4</v>
      </c>
      <c r="G12" s="1" t="s">
        <v>13</v>
      </c>
      <c r="I12" s="1" t="s">
        <v>5</v>
      </c>
      <c r="J12" s="1" t="s">
        <v>15</v>
      </c>
      <c r="K12" s="1" t="s">
        <v>16</v>
      </c>
      <c r="L12" s="1" t="s">
        <v>17</v>
      </c>
      <c r="M12" s="1" t="s">
        <v>3</v>
      </c>
      <c r="N12" s="1" t="s">
        <v>18</v>
      </c>
      <c r="O12" s="1" t="s">
        <v>19</v>
      </c>
      <c r="P12" s="1" t="s">
        <v>4</v>
      </c>
      <c r="Q12" s="1" t="s">
        <v>20</v>
      </c>
      <c r="R12" s="1" t="s">
        <v>21</v>
      </c>
      <c r="T12" s="1" t="s">
        <v>5</v>
      </c>
      <c r="U12" s="1" t="s">
        <v>15</v>
      </c>
      <c r="V12" s="1" t="s">
        <v>16</v>
      </c>
      <c r="W12" s="1" t="s">
        <v>17</v>
      </c>
      <c r="X12" s="1" t="s">
        <v>3</v>
      </c>
      <c r="Y12" s="1" t="s">
        <v>18</v>
      </c>
      <c r="Z12" s="1" t="s">
        <v>19</v>
      </c>
      <c r="AA12" s="1" t="s">
        <v>4</v>
      </c>
      <c r="AB12" s="1" t="s">
        <v>20</v>
      </c>
      <c r="AC12" s="1" t="s">
        <v>21</v>
      </c>
    </row>
    <row r="13" spans="1:29" x14ac:dyDescent="0.3">
      <c r="A13" s="1">
        <v>0</v>
      </c>
      <c r="B13" s="1">
        <v>0</v>
      </c>
      <c r="C13" s="1">
        <v>183</v>
      </c>
      <c r="D13" s="1">
        <f>Table3[[#This Row],[Vsen]]/200.5</f>
        <v>0.91271820448877805</v>
      </c>
      <c r="E13" s="1">
        <v>6.2</v>
      </c>
      <c r="F13" s="1">
        <f>Table3[[#This Row],[Vr]]^2/120*1000</f>
        <v>320.33333333333337</v>
      </c>
      <c r="G13" s="1">
        <v>191</v>
      </c>
      <c r="I13" s="1">
        <v>0</v>
      </c>
      <c r="J13" s="1">
        <v>10</v>
      </c>
      <c r="K13" s="1">
        <v>175</v>
      </c>
      <c r="L13" s="1">
        <v>195</v>
      </c>
      <c r="M13" s="1">
        <v>8.26</v>
      </c>
      <c r="N13" s="1">
        <v>145</v>
      </c>
      <c r="O13" s="1">
        <v>196</v>
      </c>
      <c r="P13" s="1">
        <f>Table4[[#This Row],[Vr]]^2/180</f>
        <v>0.37904222222222217</v>
      </c>
      <c r="Q13" s="1">
        <f>Table4[[#This Row],[Vsen1]]/200.05</f>
        <v>0.87478130467383153</v>
      </c>
      <c r="R13" s="1">
        <f>Table4[[#This Row],[Vsen2]]/178</f>
        <v>1.095505617977528</v>
      </c>
      <c r="T13" s="1">
        <v>0</v>
      </c>
      <c r="U13" s="1">
        <v>10</v>
      </c>
      <c r="V13" s="1">
        <v>226</v>
      </c>
      <c r="W13" s="1">
        <v>189</v>
      </c>
      <c r="X13" s="1">
        <v>7.18</v>
      </c>
      <c r="Y13" s="1">
        <v>256</v>
      </c>
      <c r="Z13" s="1">
        <v>168</v>
      </c>
      <c r="AA13" s="1">
        <f>Table46[[#This Row],[Vr]]^2/180</f>
        <v>0.28640222222222222</v>
      </c>
      <c r="AB13" s="1">
        <f>Table46[[#This Row],[Vsen1]]/200.05</f>
        <v>1.1297175706073481</v>
      </c>
      <c r="AC13" s="1">
        <f>Table46[[#This Row],[Vsen2]]/178</f>
        <v>1.0617977528089888</v>
      </c>
    </row>
    <row r="14" spans="1:29" x14ac:dyDescent="0.3">
      <c r="A14" s="1">
        <v>10</v>
      </c>
      <c r="B14" s="1">
        <v>0</v>
      </c>
      <c r="C14" s="1">
        <v>183</v>
      </c>
      <c r="D14" s="1">
        <f>Table3[[#This Row],[Vsen]]/200.5</f>
        <v>0.91271820448877805</v>
      </c>
      <c r="E14" s="1">
        <v>6.15</v>
      </c>
      <c r="F14" s="1">
        <f>Table3[[#This Row],[Vr]]^2/120*1000</f>
        <v>315.18750000000006</v>
      </c>
      <c r="G14" s="1">
        <v>194</v>
      </c>
      <c r="I14" s="1">
        <v>10</v>
      </c>
      <c r="J14" s="1">
        <v>10</v>
      </c>
      <c r="K14" s="1">
        <v>175</v>
      </c>
      <c r="L14" s="1">
        <v>193</v>
      </c>
      <c r="M14" s="1">
        <v>8.35</v>
      </c>
      <c r="N14" s="1">
        <v>145</v>
      </c>
      <c r="O14" s="1">
        <v>193</v>
      </c>
      <c r="P14" s="1">
        <f>Table4[[#This Row],[Vr]]^2/180</f>
        <v>0.38734722222222218</v>
      </c>
      <c r="Q14" s="1">
        <f>Table4[[#This Row],[Vsen1]]/200.05</f>
        <v>0.87478130467383153</v>
      </c>
      <c r="R14" s="1">
        <f>Table4[[#This Row],[Vsen2]]/178</f>
        <v>1.0842696629213484</v>
      </c>
      <c r="T14" s="1">
        <v>10</v>
      </c>
      <c r="U14" s="1">
        <v>10</v>
      </c>
      <c r="V14" s="1">
        <v>234</v>
      </c>
      <c r="W14" s="1">
        <v>193</v>
      </c>
      <c r="X14" s="1">
        <v>6.25</v>
      </c>
      <c r="Y14" s="1">
        <v>273</v>
      </c>
      <c r="Z14" s="1">
        <v>180</v>
      </c>
      <c r="AA14" s="1">
        <f>Table46[[#This Row],[Vr]]^2/180</f>
        <v>0.2170138888888889</v>
      </c>
      <c r="AB14" s="1">
        <f>Table46[[#This Row],[Vsen1]]/200.05</f>
        <v>1.1697075731067232</v>
      </c>
      <c r="AC14" s="1">
        <f>Table46[[#This Row],[Vsen2]]/178</f>
        <v>1.0842696629213484</v>
      </c>
    </row>
    <row r="15" spans="1:29" x14ac:dyDescent="0.3">
      <c r="A15" s="1">
        <v>20</v>
      </c>
      <c r="B15" s="1">
        <v>0</v>
      </c>
      <c r="C15" s="1">
        <v>186</v>
      </c>
      <c r="D15" s="1">
        <f>Table3[[#This Row],[Vsen]]/200.5</f>
        <v>0.92768079800498748</v>
      </c>
      <c r="E15" s="1">
        <v>6.06</v>
      </c>
      <c r="F15" s="1">
        <f>Table3[[#This Row],[Vr]]^2/120*1000</f>
        <v>306.02999999999997</v>
      </c>
      <c r="G15" s="1">
        <v>202</v>
      </c>
      <c r="I15" s="1">
        <v>20</v>
      </c>
      <c r="J15" s="1">
        <v>10</v>
      </c>
      <c r="K15" s="1">
        <v>177</v>
      </c>
      <c r="L15" s="1">
        <v>193</v>
      </c>
      <c r="M15" s="1">
        <v>8.3000000000000007</v>
      </c>
      <c r="N15" s="1">
        <v>150</v>
      </c>
      <c r="O15" s="1">
        <v>193</v>
      </c>
      <c r="P15" s="1">
        <f>Table4[[#This Row],[Vr]]^2/180</f>
        <v>0.3827222222222223</v>
      </c>
      <c r="Q15" s="1">
        <f>Table4[[#This Row],[Vsen1]]/200.05</f>
        <v>0.88477880529867525</v>
      </c>
      <c r="R15" s="1">
        <f>Table4[[#This Row],[Vsen2]]/178</f>
        <v>1.0842696629213484</v>
      </c>
      <c r="T15" s="1">
        <v>20</v>
      </c>
      <c r="U15" s="1">
        <v>10</v>
      </c>
      <c r="V15" s="1">
        <v>239</v>
      </c>
      <c r="W15" s="1">
        <v>198</v>
      </c>
      <c r="X15" s="1">
        <v>5.35</v>
      </c>
      <c r="Y15" s="1">
        <v>287</v>
      </c>
      <c r="Z15" s="1">
        <v>188</v>
      </c>
      <c r="AA15" s="1">
        <f>Table46[[#This Row],[Vr]]^2/180</f>
        <v>0.15901388888888887</v>
      </c>
      <c r="AB15" s="1">
        <f>Table46[[#This Row],[Vsen1]]/200.05</f>
        <v>1.1947013246688327</v>
      </c>
      <c r="AC15" s="1">
        <f>Table46[[#This Row],[Vsen2]]/178</f>
        <v>1.1123595505617978</v>
      </c>
    </row>
    <row r="16" spans="1:29" x14ac:dyDescent="0.3">
      <c r="A16" s="1">
        <v>30</v>
      </c>
      <c r="B16" s="1">
        <v>0</v>
      </c>
      <c r="C16" s="1">
        <v>189</v>
      </c>
      <c r="D16" s="1">
        <f>Table3[[#This Row],[Vsen]]/200.5</f>
        <v>0.94264339152119703</v>
      </c>
      <c r="E16" s="1">
        <v>5.91</v>
      </c>
      <c r="F16" s="1">
        <f>Table3[[#This Row],[Vr]]^2/120*1000</f>
        <v>291.0675</v>
      </c>
      <c r="G16" s="1">
        <v>211</v>
      </c>
      <c r="I16" s="1">
        <v>30</v>
      </c>
      <c r="J16" s="1">
        <v>10</v>
      </c>
      <c r="K16" s="1">
        <v>181</v>
      </c>
      <c r="L16" s="1">
        <v>195</v>
      </c>
      <c r="M16" s="1">
        <v>8.1</v>
      </c>
      <c r="N16" s="1">
        <v>157</v>
      </c>
      <c r="O16" s="1">
        <v>197</v>
      </c>
      <c r="P16" s="1">
        <f>Table4[[#This Row],[Vr]]^2/180</f>
        <v>0.36449999999999999</v>
      </c>
      <c r="Q16" s="1">
        <f>Table4[[#This Row],[Vsen1]]/200.05</f>
        <v>0.90477380654836281</v>
      </c>
      <c r="R16" s="1">
        <f>Table4[[#This Row],[Vsen2]]/178</f>
        <v>1.095505617977528</v>
      </c>
      <c r="T16" s="1">
        <v>30</v>
      </c>
      <c r="U16" s="1">
        <v>10</v>
      </c>
      <c r="V16" s="1">
        <v>245</v>
      </c>
      <c r="W16" s="1">
        <v>201</v>
      </c>
      <c r="X16" s="1">
        <v>4.29</v>
      </c>
      <c r="Y16" s="1">
        <v>301</v>
      </c>
      <c r="Z16" s="1">
        <v>193</v>
      </c>
      <c r="AA16" s="1">
        <f>Table46[[#This Row],[Vr]]^2/180</f>
        <v>0.102245</v>
      </c>
      <c r="AB16" s="1">
        <f>Table46[[#This Row],[Vsen1]]/200.05</f>
        <v>1.224693826543364</v>
      </c>
      <c r="AC16" s="1">
        <f>Table46[[#This Row],[Vsen2]]/178</f>
        <v>1.1292134831460674</v>
      </c>
    </row>
    <row r="17" spans="1:29" x14ac:dyDescent="0.3">
      <c r="A17" s="1">
        <v>40</v>
      </c>
      <c r="B17" s="1">
        <v>0</v>
      </c>
      <c r="C17" s="1">
        <v>196</v>
      </c>
      <c r="D17" s="1">
        <f>Table3[[#This Row],[Vsen]]/200.5</f>
        <v>0.97755610972568574</v>
      </c>
      <c r="E17" s="1">
        <v>5.6</v>
      </c>
      <c r="F17" s="1">
        <f>Table3[[#This Row],[Vr]]^2/120*1000</f>
        <v>261.33333333333331</v>
      </c>
      <c r="G17" s="1">
        <v>230</v>
      </c>
      <c r="I17" s="1">
        <v>40</v>
      </c>
      <c r="J17" s="1">
        <v>10</v>
      </c>
      <c r="K17" s="1">
        <v>187</v>
      </c>
      <c r="L17" s="1">
        <v>199</v>
      </c>
      <c r="M17" s="1">
        <v>7.75</v>
      </c>
      <c r="N17" s="1">
        <v>172</v>
      </c>
      <c r="O17" s="1">
        <v>205</v>
      </c>
      <c r="P17" s="1">
        <f>Table4[[#This Row],[Vr]]^2/180</f>
        <v>0.33368055555555554</v>
      </c>
      <c r="Q17" s="1">
        <f>Table4[[#This Row],[Vsen1]]/200.05</f>
        <v>0.93476630842289421</v>
      </c>
      <c r="R17" s="1">
        <f>Table4[[#This Row],[Vsen2]]/178</f>
        <v>1.1179775280898876</v>
      </c>
      <c r="T17" s="1">
        <v>40</v>
      </c>
      <c r="U17" s="1">
        <v>10</v>
      </c>
      <c r="V17" s="1">
        <v>250</v>
      </c>
      <c r="W17" s="1">
        <v>205</v>
      </c>
      <c r="X17" s="1">
        <v>2.94</v>
      </c>
      <c r="Y17" s="1">
        <v>316</v>
      </c>
      <c r="Z17" s="1">
        <v>199</v>
      </c>
      <c r="AA17" s="1">
        <f>Table46[[#This Row],[Vr]]^2/180</f>
        <v>4.8019999999999993E-2</v>
      </c>
      <c r="AB17" s="1">
        <f>Table46[[#This Row],[Vsen1]]/200.05</f>
        <v>1.2496875781054735</v>
      </c>
      <c r="AC17" s="1">
        <f>Table46[[#This Row],[Vsen2]]/178</f>
        <v>1.151685393258427</v>
      </c>
    </row>
    <row r="18" spans="1:29" x14ac:dyDescent="0.3">
      <c r="A18" s="1">
        <v>50</v>
      </c>
      <c r="B18" s="1">
        <v>0</v>
      </c>
      <c r="C18" s="1">
        <v>205</v>
      </c>
      <c r="D18" s="1">
        <f>Table3[[#This Row],[Vsen]]/200.5</f>
        <v>1.0224438902743143</v>
      </c>
      <c r="E18" s="1">
        <v>4.99</v>
      </c>
      <c r="F18" s="1">
        <f>Table3[[#This Row],[Vr]]^2/120*1000</f>
        <v>207.50083333333336</v>
      </c>
      <c r="G18" s="1">
        <v>257</v>
      </c>
      <c r="I18" s="1">
        <v>50</v>
      </c>
      <c r="J18" s="1">
        <v>10</v>
      </c>
      <c r="K18" s="1">
        <v>199</v>
      </c>
      <c r="L18" s="1">
        <v>208</v>
      </c>
      <c r="M18" s="1">
        <v>6.73</v>
      </c>
      <c r="N18" s="1">
        <v>197</v>
      </c>
      <c r="O18" s="1">
        <v>223</v>
      </c>
      <c r="P18" s="1">
        <f>Table4[[#This Row],[Vr]]^2/180</f>
        <v>0.25162722222222222</v>
      </c>
      <c r="Q18" s="1">
        <f>Table4[[#This Row],[Vsen1]]/200.05</f>
        <v>0.994751312171957</v>
      </c>
      <c r="R18" s="1">
        <f>Table4[[#This Row],[Vsen2]]/178</f>
        <v>1.1685393258426966</v>
      </c>
      <c r="T18" s="1">
        <v>50</v>
      </c>
      <c r="U18" s="1">
        <v>10</v>
      </c>
      <c r="V18" s="1">
        <v>252</v>
      </c>
      <c r="W18" s="1">
        <v>207</v>
      </c>
      <c r="X18" s="1">
        <v>1.25</v>
      </c>
      <c r="Y18" s="1">
        <v>325</v>
      </c>
      <c r="Z18" s="1">
        <v>203</v>
      </c>
      <c r="AA18" s="1">
        <f>Table46[[#This Row],[Vr]]^2/180</f>
        <v>8.6805555555555559E-3</v>
      </c>
      <c r="AB18" s="1">
        <f>Table46[[#This Row],[Vsen1]]/200.05</f>
        <v>1.2596850787303173</v>
      </c>
      <c r="AC18" s="1">
        <f>Table46[[#This Row],[Vsen2]]/178</f>
        <v>1.1629213483146068</v>
      </c>
    </row>
    <row r="19" spans="1:29" x14ac:dyDescent="0.3">
      <c r="A19" s="1">
        <v>60</v>
      </c>
      <c r="B19" s="1">
        <v>0</v>
      </c>
      <c r="C19" s="1">
        <v>221</v>
      </c>
      <c r="D19" s="1">
        <f>Table3[[#This Row],[Vsen]]/200.5</f>
        <v>1.1022443890274314</v>
      </c>
      <c r="E19" s="1">
        <v>3.96</v>
      </c>
      <c r="F19" s="1">
        <f>Table3[[#This Row],[Vr]]^2/120*1000</f>
        <v>130.67999999999998</v>
      </c>
      <c r="G19" s="1">
        <v>290</v>
      </c>
      <c r="I19" s="1">
        <v>60</v>
      </c>
      <c r="J19" s="1">
        <v>10</v>
      </c>
      <c r="K19" s="1">
        <v>207</v>
      </c>
      <c r="L19" s="1">
        <v>214</v>
      </c>
      <c r="M19" s="1">
        <v>5.72</v>
      </c>
      <c r="N19" s="1">
        <v>218</v>
      </c>
      <c r="O19" s="1">
        <v>239</v>
      </c>
      <c r="P19" s="1">
        <f>Table4[[#This Row],[Vr]]^2/180</f>
        <v>0.18176888888888887</v>
      </c>
      <c r="Q19" s="1">
        <f>Table4[[#This Row],[Vsen1]]/200.05</f>
        <v>1.034741314671332</v>
      </c>
      <c r="R19" s="1">
        <f>Table4[[#This Row],[Vsen2]]/178</f>
        <v>1.202247191011236</v>
      </c>
      <c r="T19" s="1">
        <v>60</v>
      </c>
      <c r="U19" s="1">
        <v>10</v>
      </c>
      <c r="V19" s="1">
        <v>253</v>
      </c>
      <c r="W19" s="1">
        <v>207</v>
      </c>
      <c r="X19" s="1">
        <v>0.5</v>
      </c>
      <c r="Y19" s="1">
        <v>329</v>
      </c>
      <c r="Z19" s="1">
        <v>200</v>
      </c>
      <c r="AA19" s="1">
        <f>Table46[[#This Row],[Vr]]^2/180</f>
        <v>1.3888888888888889E-3</v>
      </c>
      <c r="AB19" s="1">
        <f>Table46[[#This Row],[Vsen1]]/200.05</f>
        <v>1.2646838290427393</v>
      </c>
      <c r="AC19" s="1">
        <f>Table46[[#This Row],[Vsen2]]/178</f>
        <v>1.1629213483146068</v>
      </c>
    </row>
    <row r="20" spans="1:29" x14ac:dyDescent="0.3">
      <c r="A20" s="1">
        <v>70</v>
      </c>
      <c r="B20" s="1">
        <v>0</v>
      </c>
      <c r="C20" s="1">
        <v>231</v>
      </c>
      <c r="D20" s="1">
        <f>Table3[[#This Row],[Vsen]]/200.5</f>
        <v>1.1521197007481296</v>
      </c>
      <c r="E20" s="1">
        <v>2.67</v>
      </c>
      <c r="F20" s="1">
        <f>Table3[[#This Row],[Vr]]^2/120*1000</f>
        <v>59.407499999999992</v>
      </c>
      <c r="G20" s="1">
        <v>317</v>
      </c>
      <c r="I20" s="1">
        <v>70</v>
      </c>
      <c r="J20" s="1">
        <v>10</v>
      </c>
      <c r="K20" s="1">
        <v>216</v>
      </c>
      <c r="L20" s="1">
        <v>223</v>
      </c>
      <c r="M20" s="1">
        <v>3.82</v>
      </c>
      <c r="N20" s="1">
        <v>243</v>
      </c>
      <c r="O20" s="1">
        <v>260</v>
      </c>
      <c r="P20" s="1">
        <f>Table4[[#This Row],[Vr]]^2/180</f>
        <v>8.1068888888888885E-2</v>
      </c>
      <c r="Q20" s="1">
        <f>Table4[[#This Row],[Vsen1]]/200.05</f>
        <v>1.0797300674831292</v>
      </c>
      <c r="R20" s="1">
        <f>Table4[[#This Row],[Vsen2]]/178</f>
        <v>1.252808988764045</v>
      </c>
      <c r="T20" s="1">
        <v>70</v>
      </c>
      <c r="U20" s="1">
        <v>10</v>
      </c>
      <c r="V20" s="1">
        <v>248</v>
      </c>
      <c r="W20" s="1">
        <v>203</v>
      </c>
      <c r="X20" s="1">
        <v>-3</v>
      </c>
      <c r="Y20" s="1">
        <v>321</v>
      </c>
      <c r="Z20" s="1">
        <v>191</v>
      </c>
      <c r="AA20" s="1">
        <f>Table46[[#This Row],[Vr]]^2/180</f>
        <v>0.05</v>
      </c>
      <c r="AB20" s="1">
        <f>Table46[[#This Row],[Vsen1]]/200.05</f>
        <v>1.2396900774806299</v>
      </c>
      <c r="AC20" s="1">
        <f>Table46[[#This Row],[Vsen2]]/178</f>
        <v>1.1404494382022472</v>
      </c>
    </row>
    <row r="21" spans="1:29" x14ac:dyDescent="0.3">
      <c r="A21" s="1">
        <v>80</v>
      </c>
      <c r="B21" s="1">
        <v>0</v>
      </c>
      <c r="C21" s="1">
        <v>238</v>
      </c>
      <c r="D21" s="1">
        <f>Table3[[#This Row],[Vsen]]/200.5</f>
        <v>1.1870324189526185</v>
      </c>
      <c r="E21" s="1">
        <v>0.9</v>
      </c>
      <c r="F21" s="1">
        <f>Table3[[#This Row],[Vr]]^2/120*1000</f>
        <v>6.7500000000000009</v>
      </c>
      <c r="G21" s="1">
        <v>334</v>
      </c>
      <c r="I21" s="1">
        <v>80</v>
      </c>
      <c r="J21" s="1">
        <v>10</v>
      </c>
      <c r="K21" s="1">
        <v>239</v>
      </c>
      <c r="L21" s="1">
        <v>229</v>
      </c>
      <c r="M21" s="1">
        <v>2.15</v>
      </c>
      <c r="N21" s="1">
        <v>255</v>
      </c>
      <c r="O21" s="1">
        <v>268</v>
      </c>
      <c r="P21" s="1">
        <f>Table4[[#This Row],[Vr]]^2/180</f>
        <v>2.5680555555555554E-2</v>
      </c>
      <c r="Q21" s="1">
        <f>Table4[[#This Row],[Vsen1]]/200.05</f>
        <v>1.1947013246688327</v>
      </c>
      <c r="R21" s="1">
        <f>Table4[[#This Row],[Vsen2]]/178</f>
        <v>1.2865168539325842</v>
      </c>
      <c r="T21" s="1">
        <v>80</v>
      </c>
      <c r="U21" s="1">
        <v>10</v>
      </c>
      <c r="V21" s="1">
        <v>240</v>
      </c>
      <c r="W21" s="1">
        <v>195</v>
      </c>
      <c r="X21" s="1">
        <v>-5.0999999999999996</v>
      </c>
      <c r="Y21" s="1">
        <v>300</v>
      </c>
      <c r="Z21" s="1">
        <v>172</v>
      </c>
      <c r="AA21" s="1">
        <f>Table46[[#This Row],[Vr]]^2/180</f>
        <v>0.14449999999999999</v>
      </c>
      <c r="AB21" s="1">
        <f>Table46[[#This Row],[Vsen1]]/200.05</f>
        <v>1.1997000749812545</v>
      </c>
      <c r="AC21" s="1">
        <f>Table46[[#This Row],[Vsen2]]/178</f>
        <v>1.095505617977528</v>
      </c>
    </row>
    <row r="22" spans="1:29" x14ac:dyDescent="0.3">
      <c r="A22" s="1">
        <v>90</v>
      </c>
      <c r="B22" s="1">
        <v>0</v>
      </c>
      <c r="C22" s="1">
        <v>239</v>
      </c>
      <c r="D22" s="1">
        <f>Table3[[#This Row],[Vsen]]/200.5</f>
        <v>1.1920199501246882</v>
      </c>
      <c r="E22" s="1">
        <v>0.06</v>
      </c>
      <c r="F22" s="1">
        <f>Table3[[#This Row],[Vr]]^2/120*1000</f>
        <v>3.0000000000000002E-2</v>
      </c>
      <c r="G22" s="1">
        <v>335</v>
      </c>
      <c r="I22" s="1">
        <v>90</v>
      </c>
      <c r="J22" s="1">
        <v>10</v>
      </c>
      <c r="K22" s="1">
        <v>241</v>
      </c>
      <c r="L22" s="1">
        <v>231</v>
      </c>
      <c r="M22" s="1">
        <v>0.25</v>
      </c>
      <c r="N22" s="1">
        <v>257</v>
      </c>
      <c r="O22" s="1">
        <v>275</v>
      </c>
      <c r="P22" s="1">
        <f>Table4[[#This Row],[Vr]]^2/180</f>
        <v>3.4722222222222224E-4</v>
      </c>
      <c r="Q22" s="1">
        <f>Table4[[#This Row],[Vsen1]]/200.05</f>
        <v>1.2046988252936766</v>
      </c>
      <c r="R22" s="1">
        <f>Table4[[#This Row],[Vsen2]]/178</f>
        <v>1.297752808988764</v>
      </c>
      <c r="T22" s="1">
        <v>90</v>
      </c>
      <c r="U22" s="1">
        <v>10</v>
      </c>
      <c r="V22" s="1">
        <v>234</v>
      </c>
      <c r="W22" s="1">
        <v>189</v>
      </c>
      <c r="X22" s="1">
        <v>-6.2</v>
      </c>
      <c r="Y22" s="1">
        <v>281</v>
      </c>
      <c r="Z22" s="1">
        <v>161</v>
      </c>
      <c r="AA22" s="1">
        <f>Table46[[#This Row],[Vr]]^2/180</f>
        <v>0.21355555555555558</v>
      </c>
      <c r="AB22" s="1">
        <f>Table46[[#This Row],[Vsen1]]/200.05</f>
        <v>1.1697075731067232</v>
      </c>
      <c r="AC22" s="1">
        <f>Table46[[#This Row],[Vsen2]]/178</f>
        <v>1.0617977528089888</v>
      </c>
    </row>
    <row r="23" spans="1:29" x14ac:dyDescent="0.3">
      <c r="A23" s="1">
        <v>0</v>
      </c>
      <c r="B23" s="1">
        <v>5</v>
      </c>
      <c r="C23" s="1">
        <v>182</v>
      </c>
      <c r="D23" s="1">
        <f>Table3[[#This Row],[Vsen]]/200.5</f>
        <v>0.9077306733167082</v>
      </c>
      <c r="E23" s="1">
        <v>6.07</v>
      </c>
      <c r="F23" s="1">
        <f>Table3[[#This Row],[Vr]]^2/120*1000</f>
        <v>307.04083333333335</v>
      </c>
      <c r="G23" s="1">
        <v>198</v>
      </c>
      <c r="I23" s="1">
        <v>0</v>
      </c>
      <c r="J23" s="1">
        <v>15</v>
      </c>
      <c r="K23" s="1">
        <v>179</v>
      </c>
      <c r="L23" s="1">
        <v>196</v>
      </c>
      <c r="M23" s="1">
        <v>8.14</v>
      </c>
      <c r="N23" s="1">
        <v>158</v>
      </c>
      <c r="O23" s="1">
        <v>198</v>
      </c>
      <c r="P23" s="1">
        <f>Table4[[#This Row],[Vr]]^2/180</f>
        <v>0.36810888888888893</v>
      </c>
      <c r="Q23" s="1">
        <f>Table4[[#This Row],[Vsen1]]/200.05</f>
        <v>0.89477630592351909</v>
      </c>
      <c r="R23" s="1">
        <f>Table4[[#This Row],[Vsen2]]/178</f>
        <v>1.101123595505618</v>
      </c>
      <c r="T23" s="1">
        <v>0</v>
      </c>
      <c r="U23" s="1">
        <v>15</v>
      </c>
      <c r="V23" s="1">
        <v>241</v>
      </c>
      <c r="W23" s="1">
        <v>199</v>
      </c>
      <c r="X23" s="1">
        <v>5.2</v>
      </c>
      <c r="Y23" s="1">
        <v>295</v>
      </c>
      <c r="Z23" s="1">
        <v>190</v>
      </c>
      <c r="AA23" s="1">
        <f>Table46[[#This Row],[Vr]]^2/180</f>
        <v>0.15022222222222223</v>
      </c>
      <c r="AB23" s="1">
        <f>Table46[[#This Row],[Vsen1]]/200.05</f>
        <v>1.2046988252936766</v>
      </c>
      <c r="AC23" s="1">
        <f>Table46[[#This Row],[Vsen2]]/178</f>
        <v>1.1179775280898876</v>
      </c>
    </row>
    <row r="24" spans="1:29" x14ac:dyDescent="0.3">
      <c r="A24" s="1">
        <v>10</v>
      </c>
      <c r="B24" s="1">
        <v>5</v>
      </c>
      <c r="C24" s="1">
        <v>184</v>
      </c>
      <c r="D24" s="1">
        <f>Table3[[#This Row],[Vsen]]/200.5</f>
        <v>0.9177057356608479</v>
      </c>
      <c r="E24" s="1">
        <v>5.99</v>
      </c>
      <c r="F24" s="1">
        <f>Table3[[#This Row],[Vr]]^2/120*1000</f>
        <v>299.00083333333339</v>
      </c>
      <c r="G24" s="1">
        <v>202</v>
      </c>
      <c r="I24" s="1">
        <v>10</v>
      </c>
      <c r="J24" s="1">
        <v>15</v>
      </c>
      <c r="K24" s="1">
        <v>179</v>
      </c>
      <c r="L24" s="1">
        <v>195</v>
      </c>
      <c r="M24" s="1">
        <v>8.23</v>
      </c>
      <c r="N24" s="1">
        <v>159</v>
      </c>
      <c r="O24" s="1">
        <v>194</v>
      </c>
      <c r="P24" s="1">
        <f>Table4[[#This Row],[Vr]]^2/180</f>
        <v>0.37629388888888887</v>
      </c>
      <c r="Q24" s="1">
        <f>Table4[[#This Row],[Vsen1]]/200.05</f>
        <v>0.89477630592351909</v>
      </c>
      <c r="R24" s="1">
        <f>Table4[[#This Row],[Vsen2]]/178</f>
        <v>1.095505617977528</v>
      </c>
      <c r="T24" s="1">
        <v>10</v>
      </c>
      <c r="U24" s="1">
        <v>15</v>
      </c>
      <c r="V24" s="1">
        <v>244</v>
      </c>
      <c r="W24" s="1">
        <v>201</v>
      </c>
      <c r="X24" s="1">
        <v>4.3</v>
      </c>
      <c r="Y24" s="1">
        <v>306</v>
      </c>
      <c r="Z24" s="1">
        <v>196</v>
      </c>
      <c r="AA24" s="1">
        <f>Table46[[#This Row],[Vr]]^2/180</f>
        <v>0.10272222222222221</v>
      </c>
      <c r="AB24" s="1">
        <f>Table46[[#This Row],[Vsen1]]/200.05</f>
        <v>1.2196950762309422</v>
      </c>
      <c r="AC24" s="1">
        <f>Table46[[#This Row],[Vsen2]]/178</f>
        <v>1.1292134831460674</v>
      </c>
    </row>
    <row r="25" spans="1:29" x14ac:dyDescent="0.3">
      <c r="A25" s="1">
        <v>20</v>
      </c>
      <c r="B25" s="1">
        <v>5</v>
      </c>
      <c r="C25" s="1">
        <v>191</v>
      </c>
      <c r="D25" s="1">
        <f>Table3[[#This Row],[Vsen]]/200.5</f>
        <v>0.95261845386533661</v>
      </c>
      <c r="E25" s="1">
        <v>5.72</v>
      </c>
      <c r="F25" s="1">
        <f>Table3[[#This Row],[Vr]]^2/120*1000</f>
        <v>272.65333333333331</v>
      </c>
      <c r="G25" s="1">
        <v>219</v>
      </c>
      <c r="I25" s="1">
        <v>20</v>
      </c>
      <c r="J25" s="1">
        <v>15</v>
      </c>
      <c r="K25" s="1">
        <v>183</v>
      </c>
      <c r="L25" s="1">
        <v>197</v>
      </c>
      <c r="M25" s="1">
        <v>8.11</v>
      </c>
      <c r="N25" s="1">
        <v>165</v>
      </c>
      <c r="O25" s="1">
        <v>196</v>
      </c>
      <c r="P25" s="1">
        <f>Table4[[#This Row],[Vr]]^2/180</f>
        <v>0.36540055555555551</v>
      </c>
      <c r="Q25" s="1">
        <f>Table4[[#This Row],[Vsen1]]/200.05</f>
        <v>0.91477130717320665</v>
      </c>
      <c r="R25" s="1">
        <f>Table4[[#This Row],[Vsen2]]/178</f>
        <v>1.1067415730337078</v>
      </c>
      <c r="T25" s="1">
        <v>20</v>
      </c>
      <c r="U25" s="1">
        <v>15</v>
      </c>
      <c r="V25" s="1">
        <v>250</v>
      </c>
      <c r="W25" s="1">
        <v>205</v>
      </c>
      <c r="X25" s="1">
        <v>3.1</v>
      </c>
      <c r="Y25" s="1">
        <v>317</v>
      </c>
      <c r="Z25" s="1">
        <v>200</v>
      </c>
      <c r="AA25" s="1">
        <f>Table46[[#This Row],[Vr]]^2/180</f>
        <v>5.3388888888888895E-2</v>
      </c>
      <c r="AB25" s="1">
        <f>Table46[[#This Row],[Vsen1]]/200.05</f>
        <v>1.2496875781054735</v>
      </c>
      <c r="AC25" s="1">
        <f>Table46[[#This Row],[Vsen2]]/178</f>
        <v>1.151685393258427</v>
      </c>
    </row>
    <row r="26" spans="1:29" x14ac:dyDescent="0.3">
      <c r="A26" s="1">
        <v>30</v>
      </c>
      <c r="B26" s="1">
        <v>5</v>
      </c>
      <c r="C26" s="1">
        <v>199</v>
      </c>
      <c r="D26" s="1">
        <f>Table3[[#This Row],[Vsen]]/200.5</f>
        <v>0.99251870324189528</v>
      </c>
      <c r="E26" s="1">
        <v>5.45</v>
      </c>
      <c r="F26" s="1">
        <f>Table3[[#This Row],[Vr]]^2/120*1000</f>
        <v>247.52083333333334</v>
      </c>
      <c r="G26" s="1">
        <v>233</v>
      </c>
      <c r="I26" s="1">
        <v>30</v>
      </c>
      <c r="J26" s="1">
        <v>15</v>
      </c>
      <c r="K26" s="1">
        <v>188</v>
      </c>
      <c r="L26" s="1">
        <v>199</v>
      </c>
      <c r="M26" s="1">
        <v>7.85</v>
      </c>
      <c r="N26" s="1">
        <v>176</v>
      </c>
      <c r="O26" s="1">
        <v>202</v>
      </c>
      <c r="P26" s="1">
        <f>Table4[[#This Row],[Vr]]^2/180</f>
        <v>0.34234722222222219</v>
      </c>
      <c r="Q26" s="1">
        <f>Table4[[#This Row],[Vsen1]]/200.05</f>
        <v>0.93976505873531613</v>
      </c>
      <c r="R26" s="1">
        <f>Table4[[#This Row],[Vsen2]]/178</f>
        <v>1.1179775280898876</v>
      </c>
      <c r="T26" s="1">
        <v>30</v>
      </c>
      <c r="U26" s="1">
        <v>15</v>
      </c>
      <c r="V26" s="1">
        <v>254</v>
      </c>
      <c r="W26" s="1">
        <v>207</v>
      </c>
      <c r="X26" s="1">
        <v>1.5</v>
      </c>
      <c r="Y26" s="1">
        <v>328</v>
      </c>
      <c r="Z26" s="1">
        <v>203</v>
      </c>
      <c r="AA26" s="1">
        <f>Table46[[#This Row],[Vr]]^2/180</f>
        <v>1.2500000000000001E-2</v>
      </c>
      <c r="AB26" s="1">
        <f>Table46[[#This Row],[Vsen1]]/200.05</f>
        <v>1.2696825793551612</v>
      </c>
      <c r="AC26" s="1">
        <f>Table46[[#This Row],[Vsen2]]/178</f>
        <v>1.1629213483146068</v>
      </c>
    </row>
    <row r="27" spans="1:29" x14ac:dyDescent="0.3">
      <c r="A27" s="1">
        <v>40</v>
      </c>
      <c r="B27" s="1">
        <v>5</v>
      </c>
      <c r="C27" s="1">
        <v>207</v>
      </c>
      <c r="D27" s="1">
        <f>Table3[[#This Row],[Vsen]]/200.5</f>
        <v>1.032418952618454</v>
      </c>
      <c r="E27" s="1">
        <v>4.9000000000000004</v>
      </c>
      <c r="F27" s="1">
        <f>Table3[[#This Row],[Vr]]^2/120*1000</f>
        <v>200.08333333333337</v>
      </c>
      <c r="G27" s="1">
        <v>257</v>
      </c>
      <c r="I27" s="1">
        <v>40</v>
      </c>
      <c r="J27" s="1">
        <v>15</v>
      </c>
      <c r="K27" s="1">
        <v>193</v>
      </c>
      <c r="L27" s="1">
        <v>204</v>
      </c>
      <c r="M27" s="1">
        <v>7.38</v>
      </c>
      <c r="N27" s="1">
        <v>189</v>
      </c>
      <c r="O27" s="1">
        <v>216</v>
      </c>
      <c r="P27" s="1">
        <f>Table4[[#This Row],[Vr]]^2/180</f>
        <v>0.30257999999999996</v>
      </c>
      <c r="Q27" s="1">
        <f>Table4[[#This Row],[Vsen1]]/200.05</f>
        <v>0.96475881029742561</v>
      </c>
      <c r="R27" s="1">
        <f>Table4[[#This Row],[Vsen2]]/178</f>
        <v>1.146067415730337</v>
      </c>
      <c r="T27" s="1">
        <v>40</v>
      </c>
      <c r="U27" s="1">
        <v>15</v>
      </c>
      <c r="V27" s="1">
        <v>253</v>
      </c>
      <c r="W27" s="1">
        <v>207</v>
      </c>
      <c r="X27" s="1">
        <v>0.44</v>
      </c>
      <c r="Y27" s="1">
        <v>332</v>
      </c>
      <c r="Z27" s="1">
        <v>201</v>
      </c>
      <c r="AA27" s="1">
        <f>Table46[[#This Row],[Vr]]^2/180</f>
        <v>1.0755555555555555E-3</v>
      </c>
      <c r="AB27" s="1">
        <f>Table46[[#This Row],[Vsen1]]/200.05</f>
        <v>1.2646838290427393</v>
      </c>
      <c r="AC27" s="1">
        <f>Table46[[#This Row],[Vsen2]]/178</f>
        <v>1.1629213483146068</v>
      </c>
    </row>
    <row r="28" spans="1:29" x14ac:dyDescent="0.3">
      <c r="A28" s="1">
        <v>50</v>
      </c>
      <c r="B28" s="1">
        <v>5</v>
      </c>
      <c r="C28" s="1">
        <v>219</v>
      </c>
      <c r="D28" s="1">
        <f>Table3[[#This Row],[Vsen]]/200.5</f>
        <v>1.0922693266832917</v>
      </c>
      <c r="E28" s="1">
        <v>3.86</v>
      </c>
      <c r="F28" s="1">
        <f>Table3[[#This Row],[Vr]]^2/120*1000</f>
        <v>124.16333333333333</v>
      </c>
      <c r="G28" s="1">
        <v>290</v>
      </c>
      <c r="I28" s="1">
        <v>50</v>
      </c>
      <c r="J28" s="1">
        <v>15</v>
      </c>
      <c r="K28" s="1">
        <v>204</v>
      </c>
      <c r="L28" s="1">
        <v>212</v>
      </c>
      <c r="M28" s="1">
        <v>6.13</v>
      </c>
      <c r="N28" s="1">
        <v>218</v>
      </c>
      <c r="O28" s="1">
        <v>232</v>
      </c>
      <c r="P28" s="1">
        <f>Table4[[#This Row],[Vr]]^2/180</f>
        <v>0.20876055555555556</v>
      </c>
      <c r="Q28" s="1">
        <f>Table4[[#This Row],[Vsen1]]/200.05</f>
        <v>1.0197450637340664</v>
      </c>
      <c r="R28" s="1">
        <f>Table4[[#This Row],[Vsen2]]/178</f>
        <v>1.1910112359550562</v>
      </c>
      <c r="T28" s="1">
        <v>50</v>
      </c>
      <c r="U28" s="1">
        <v>15</v>
      </c>
      <c r="V28" s="1">
        <v>251</v>
      </c>
      <c r="W28" s="1">
        <v>203</v>
      </c>
      <c r="X28" s="1">
        <v>-2.6</v>
      </c>
      <c r="Y28" s="1">
        <v>326</v>
      </c>
      <c r="Z28" s="1">
        <v>191</v>
      </c>
      <c r="AA28" s="1">
        <f>Table46[[#This Row],[Vr]]^2/180</f>
        <v>3.7555555555555557E-2</v>
      </c>
      <c r="AB28" s="1">
        <f>Table46[[#This Row],[Vsen1]]/200.05</f>
        <v>1.2546863284178955</v>
      </c>
      <c r="AC28" s="1">
        <f>Table46[[#This Row],[Vsen2]]/178</f>
        <v>1.1404494382022472</v>
      </c>
    </row>
    <row r="29" spans="1:29" x14ac:dyDescent="0.3">
      <c r="A29" s="1">
        <v>60</v>
      </c>
      <c r="B29" s="1">
        <v>5</v>
      </c>
      <c r="C29" s="1">
        <v>228</v>
      </c>
      <c r="D29" s="1">
        <f>Table3[[#This Row],[Vsen]]/200.5</f>
        <v>1.1371571072319202</v>
      </c>
      <c r="E29" s="1">
        <v>2.75</v>
      </c>
      <c r="F29" s="1">
        <f>Table3[[#This Row],[Vr]]^2/120*1000</f>
        <v>63.020833333333329</v>
      </c>
      <c r="G29" s="1">
        <v>313</v>
      </c>
      <c r="I29" s="1">
        <v>60</v>
      </c>
      <c r="J29" s="1">
        <v>15</v>
      </c>
      <c r="K29" s="1">
        <v>212</v>
      </c>
      <c r="L29" s="1">
        <v>219</v>
      </c>
      <c r="M29" s="1">
        <v>4.8499999999999996</v>
      </c>
      <c r="N29" s="1">
        <v>237</v>
      </c>
      <c r="O29" s="1">
        <v>249</v>
      </c>
      <c r="P29" s="1">
        <f>Table4[[#This Row],[Vr]]^2/180</f>
        <v>0.13068055555555555</v>
      </c>
      <c r="Q29" s="1">
        <f>Table4[[#This Row],[Vsen1]]/200.05</f>
        <v>1.0597350662334415</v>
      </c>
      <c r="R29" s="1">
        <f>Table4[[#This Row],[Vsen2]]/178</f>
        <v>1.2303370786516854</v>
      </c>
      <c r="T29" s="1">
        <v>60</v>
      </c>
      <c r="U29" s="1">
        <v>15</v>
      </c>
      <c r="V29" s="1">
        <v>244</v>
      </c>
      <c r="W29" s="1">
        <v>198</v>
      </c>
      <c r="X29" s="1">
        <v>-4.01</v>
      </c>
      <c r="Y29" s="1">
        <v>315</v>
      </c>
      <c r="Z29" s="1">
        <v>181</v>
      </c>
      <c r="AA29" s="1">
        <f>Table46[[#This Row],[Vr]]^2/180</f>
        <v>8.9333888888888879E-2</v>
      </c>
      <c r="AB29" s="1">
        <f>Table46[[#This Row],[Vsen1]]/200.05</f>
        <v>1.2196950762309422</v>
      </c>
      <c r="AC29" s="1">
        <f>Table46[[#This Row],[Vsen2]]/178</f>
        <v>1.1123595505617978</v>
      </c>
    </row>
    <row r="30" spans="1:29" x14ac:dyDescent="0.3">
      <c r="A30" s="1">
        <v>70</v>
      </c>
      <c r="B30" s="1">
        <v>5</v>
      </c>
      <c r="C30" s="1">
        <v>234</v>
      </c>
      <c r="D30" s="1">
        <f>Table3[[#This Row],[Vsen]]/200.5</f>
        <v>1.1670822942643391</v>
      </c>
      <c r="E30" s="1">
        <v>1.18</v>
      </c>
      <c r="F30" s="1">
        <f>Table3[[#This Row],[Vr]]^2/120*1000</f>
        <v>11.603333333333332</v>
      </c>
      <c r="G30" s="1">
        <v>329</v>
      </c>
      <c r="I30" s="1">
        <v>70</v>
      </c>
      <c r="J30" s="1">
        <v>15</v>
      </c>
      <c r="K30" s="1">
        <v>218</v>
      </c>
      <c r="L30" s="1">
        <v>225</v>
      </c>
      <c r="M30" s="1">
        <v>3.15</v>
      </c>
      <c r="N30" s="1">
        <v>256</v>
      </c>
      <c r="O30" s="1">
        <v>263</v>
      </c>
      <c r="P30" s="1">
        <f>Table4[[#This Row],[Vr]]^2/180</f>
        <v>5.5124999999999993E-2</v>
      </c>
      <c r="Q30" s="1">
        <f>Table4[[#This Row],[Vsen1]]/200.05</f>
        <v>1.089727568107973</v>
      </c>
      <c r="R30" s="1">
        <f>Table4[[#This Row],[Vsen2]]/178</f>
        <v>1.2640449438202248</v>
      </c>
      <c r="T30" s="1">
        <v>70</v>
      </c>
      <c r="U30" s="1">
        <v>15</v>
      </c>
      <c r="V30" s="1">
        <v>236</v>
      </c>
      <c r="W30" s="1">
        <v>190</v>
      </c>
      <c r="X30" s="1">
        <v>-5.7</v>
      </c>
      <c r="Y30" s="1">
        <v>295</v>
      </c>
      <c r="Z30" s="1">
        <v>164</v>
      </c>
      <c r="AA30" s="1">
        <f>Table46[[#This Row],[Vr]]^2/180</f>
        <v>0.18050000000000002</v>
      </c>
      <c r="AB30" s="1">
        <f>Table46[[#This Row],[Vsen1]]/200.05</f>
        <v>1.1797050737315671</v>
      </c>
      <c r="AC30" s="1">
        <f>Table46[[#This Row],[Vsen2]]/178</f>
        <v>1.0674157303370786</v>
      </c>
    </row>
    <row r="31" spans="1:29" x14ac:dyDescent="0.3">
      <c r="A31" s="1">
        <v>80</v>
      </c>
      <c r="B31" s="1">
        <v>5</v>
      </c>
      <c r="C31" s="1">
        <v>235</v>
      </c>
      <c r="D31" s="1">
        <f>Table3[[#This Row],[Vsen]]/200.5</f>
        <v>1.172069825436409</v>
      </c>
      <c r="E31" s="1">
        <v>0.61299999999999999</v>
      </c>
      <c r="F31" s="1">
        <f>Table3[[#This Row],[Vr]]^2/120*1000</f>
        <v>3.1314083333333333</v>
      </c>
      <c r="G31" s="1">
        <v>331</v>
      </c>
      <c r="I31" s="1">
        <v>80</v>
      </c>
      <c r="J31" s="1">
        <v>15</v>
      </c>
      <c r="K31" s="1">
        <v>221</v>
      </c>
      <c r="L31" s="1">
        <v>229</v>
      </c>
      <c r="M31" s="1">
        <v>1.41</v>
      </c>
      <c r="N31" s="1">
        <v>262</v>
      </c>
      <c r="O31" s="1">
        <v>275</v>
      </c>
      <c r="P31" s="1">
        <f>Table4[[#This Row],[Vr]]^2/180</f>
        <v>1.1044999999999999E-2</v>
      </c>
      <c r="Q31" s="1">
        <f>Table4[[#This Row],[Vsen1]]/200.05</f>
        <v>1.1047238190452386</v>
      </c>
      <c r="R31" s="1">
        <f>Table4[[#This Row],[Vsen2]]/178</f>
        <v>1.2865168539325842</v>
      </c>
      <c r="T31" s="1">
        <v>80</v>
      </c>
      <c r="U31" s="1">
        <v>15</v>
      </c>
      <c r="V31" s="1">
        <v>226</v>
      </c>
      <c r="W31" s="1">
        <v>183</v>
      </c>
      <c r="X31" s="1">
        <v>-7.02</v>
      </c>
      <c r="Y31" s="1">
        <v>272</v>
      </c>
      <c r="Z31" s="1">
        <v>148</v>
      </c>
      <c r="AA31" s="1">
        <f>Table46[[#This Row],[Vr]]^2/180</f>
        <v>0.27377999999999997</v>
      </c>
      <c r="AB31" s="1">
        <f>Table46[[#This Row],[Vsen1]]/200.05</f>
        <v>1.1297175706073481</v>
      </c>
      <c r="AC31" s="1">
        <f>Table46[[#This Row],[Vsen2]]/178</f>
        <v>1.0280898876404494</v>
      </c>
    </row>
    <row r="32" spans="1:29" x14ac:dyDescent="0.3">
      <c r="A32" s="1">
        <v>90</v>
      </c>
      <c r="B32" s="1">
        <v>5</v>
      </c>
      <c r="C32" s="1">
        <v>231</v>
      </c>
      <c r="D32" s="1">
        <f>Table3[[#This Row],[Vsen]]/200.5</f>
        <v>1.1521197007481296</v>
      </c>
      <c r="E32" s="1">
        <v>-2.13</v>
      </c>
      <c r="F32" s="1">
        <f>Table3[[#This Row],[Vr]]^2/120*1000</f>
        <v>37.80749999999999</v>
      </c>
      <c r="G32" s="1">
        <v>320</v>
      </c>
      <c r="I32" s="1">
        <v>90</v>
      </c>
      <c r="J32" s="1">
        <v>15</v>
      </c>
      <c r="K32" s="1">
        <v>222</v>
      </c>
      <c r="L32" s="1">
        <v>229</v>
      </c>
      <c r="M32" s="1">
        <v>0.16300000000000001</v>
      </c>
      <c r="N32" s="1">
        <v>260</v>
      </c>
      <c r="O32" s="1">
        <v>277</v>
      </c>
      <c r="P32" s="1">
        <f>Table4[[#This Row],[Vr]]^2/180</f>
        <v>1.4760555555555556E-4</v>
      </c>
      <c r="Q32" s="1">
        <f>Table4[[#This Row],[Vsen1]]/200.05</f>
        <v>1.1097225693576604</v>
      </c>
      <c r="R32" s="1">
        <f>Table4[[#This Row],[Vsen2]]/178</f>
        <v>1.2865168539325842</v>
      </c>
      <c r="T32" s="1">
        <v>90</v>
      </c>
      <c r="U32" s="1">
        <v>15</v>
      </c>
      <c r="V32" s="1">
        <v>223</v>
      </c>
      <c r="W32" s="1">
        <v>177</v>
      </c>
      <c r="X32" s="1">
        <v>-7.7</v>
      </c>
      <c r="Y32" s="1">
        <v>257</v>
      </c>
      <c r="Z32" s="1">
        <v>136</v>
      </c>
      <c r="AA32" s="1">
        <f>Table46[[#This Row],[Vr]]^2/180</f>
        <v>0.3293888888888889</v>
      </c>
      <c r="AB32" s="1">
        <f>Table46[[#This Row],[Vsen1]]/200.05</f>
        <v>1.1147213196700825</v>
      </c>
      <c r="AC32" s="1">
        <f>Table46[[#This Row],[Vsen2]]/178</f>
        <v>0.9943820224719101</v>
      </c>
    </row>
    <row r="33" spans="1:29" x14ac:dyDescent="0.3">
      <c r="A33" s="1">
        <v>0</v>
      </c>
      <c r="B33" s="1">
        <v>10</v>
      </c>
      <c r="C33" s="1">
        <v>191</v>
      </c>
      <c r="D33" s="1">
        <f>Table3[[#This Row],[Vsen]]/200.5</f>
        <v>0.95261845386533661</v>
      </c>
      <c r="E33" s="1">
        <v>5.82</v>
      </c>
      <c r="F33" s="1">
        <f>Table3[[#This Row],[Vr]]^2/120*1000</f>
        <v>282.2700000000001</v>
      </c>
      <c r="G33" s="1">
        <v>214</v>
      </c>
      <c r="I33" s="1">
        <v>0</v>
      </c>
      <c r="J33" s="1">
        <v>20</v>
      </c>
      <c r="K33" s="1">
        <v>181</v>
      </c>
      <c r="L33" s="1">
        <v>195</v>
      </c>
      <c r="M33" s="1">
        <v>8.1199999999999992</v>
      </c>
      <c r="N33" s="1">
        <v>162</v>
      </c>
      <c r="O33" s="1">
        <v>195</v>
      </c>
      <c r="P33" s="1">
        <f>Table4[[#This Row],[Vr]]^2/180</f>
        <v>0.36630222222222214</v>
      </c>
      <c r="Q33" s="1">
        <f>Table4[[#This Row],[Vsen1]]/200.05</f>
        <v>0.90477380654836281</v>
      </c>
      <c r="R33" s="1">
        <f>Table4[[#This Row],[Vsen2]]/178</f>
        <v>1.095505617977528</v>
      </c>
      <c r="T33" s="1">
        <v>0</v>
      </c>
      <c r="U33" s="1">
        <v>20</v>
      </c>
      <c r="V33" s="1">
        <v>249</v>
      </c>
      <c r="W33" s="1">
        <v>204</v>
      </c>
      <c r="X33" s="1">
        <v>3.36</v>
      </c>
      <c r="Y33" s="1">
        <v>313</v>
      </c>
      <c r="Z33" s="1">
        <v>197</v>
      </c>
      <c r="AA33" s="1">
        <f>Table46[[#This Row],[Vr]]^2/180</f>
        <v>6.2719999999999984E-2</v>
      </c>
      <c r="AB33" s="1">
        <f>Table46[[#This Row],[Vsen1]]/200.05</f>
        <v>1.2446888277930517</v>
      </c>
      <c r="AC33" s="1">
        <f>Table46[[#This Row],[Vsen2]]/178</f>
        <v>1.146067415730337</v>
      </c>
    </row>
    <row r="34" spans="1:29" x14ac:dyDescent="0.3">
      <c r="A34" s="1">
        <v>10</v>
      </c>
      <c r="B34" s="1">
        <v>10</v>
      </c>
      <c r="C34" s="1">
        <v>196</v>
      </c>
      <c r="D34" s="1">
        <f>Table3[[#This Row],[Vsen]]/200.5</f>
        <v>0.97755610972568574</v>
      </c>
      <c r="E34" s="1">
        <v>5.7</v>
      </c>
      <c r="F34" s="1">
        <f>Table3[[#This Row],[Vr]]^2/120*1000</f>
        <v>270.75</v>
      </c>
      <c r="G34" s="1">
        <v>222</v>
      </c>
      <c r="I34" s="1">
        <v>10</v>
      </c>
      <c r="J34" s="1">
        <v>20</v>
      </c>
      <c r="K34" s="1">
        <v>182</v>
      </c>
      <c r="L34" s="1">
        <v>195</v>
      </c>
      <c r="M34" s="1">
        <v>8.1</v>
      </c>
      <c r="N34" s="1">
        <v>164</v>
      </c>
      <c r="O34" s="1">
        <v>195</v>
      </c>
      <c r="P34" s="1">
        <f>Table4[[#This Row],[Vr]]^2/180</f>
        <v>0.36449999999999999</v>
      </c>
      <c r="Q34" s="1">
        <f>Table4[[#This Row],[Vsen1]]/200.05</f>
        <v>0.90977255686078473</v>
      </c>
      <c r="R34" s="1">
        <f>Table4[[#This Row],[Vsen2]]/178</f>
        <v>1.095505617977528</v>
      </c>
      <c r="T34" s="1">
        <v>10</v>
      </c>
      <c r="U34" s="1">
        <v>20</v>
      </c>
      <c r="V34" s="1">
        <v>250</v>
      </c>
      <c r="W34" s="1">
        <v>205</v>
      </c>
      <c r="X34" s="1">
        <v>2.38</v>
      </c>
      <c r="Y34" s="1">
        <v>320</v>
      </c>
      <c r="Z34" s="1">
        <v>200</v>
      </c>
      <c r="AA34" s="1">
        <f>Table46[[#This Row],[Vr]]^2/180</f>
        <v>3.1468888888888887E-2</v>
      </c>
      <c r="AB34" s="1">
        <f>Table46[[#This Row],[Vsen1]]/200.05</f>
        <v>1.2496875781054735</v>
      </c>
      <c r="AC34" s="1">
        <f>Table46[[#This Row],[Vsen2]]/178</f>
        <v>1.151685393258427</v>
      </c>
    </row>
    <row r="35" spans="1:29" x14ac:dyDescent="0.3">
      <c r="A35" s="1">
        <v>20</v>
      </c>
      <c r="B35" s="1">
        <v>10</v>
      </c>
      <c r="C35" s="1">
        <v>205</v>
      </c>
      <c r="D35" s="1">
        <f>Table3[[#This Row],[Vsen]]/200.5</f>
        <v>1.0224438902743143</v>
      </c>
      <c r="E35" s="1">
        <v>5.2</v>
      </c>
      <c r="F35" s="1">
        <f>Table3[[#This Row],[Vr]]^2/120*1000</f>
        <v>225.33333333333337</v>
      </c>
      <c r="G35" s="1">
        <v>246</v>
      </c>
      <c r="I35" s="1">
        <v>20</v>
      </c>
      <c r="J35" s="1">
        <v>20</v>
      </c>
      <c r="K35" s="1">
        <v>186</v>
      </c>
      <c r="L35" s="1">
        <v>197</v>
      </c>
      <c r="M35" s="1">
        <v>7.98</v>
      </c>
      <c r="N35" s="1">
        <v>173</v>
      </c>
      <c r="O35" s="1">
        <v>194</v>
      </c>
      <c r="P35" s="1">
        <f>Table4[[#This Row],[Vr]]^2/180</f>
        <v>0.35378000000000004</v>
      </c>
      <c r="Q35" s="1">
        <f>Table4[[#This Row],[Vsen1]]/200.05</f>
        <v>0.92976755811047229</v>
      </c>
      <c r="R35" s="1">
        <f>Table4[[#This Row],[Vsen2]]/178</f>
        <v>1.1067415730337078</v>
      </c>
      <c r="T35" s="1">
        <v>20</v>
      </c>
      <c r="U35" s="1">
        <v>20</v>
      </c>
      <c r="V35" s="1">
        <v>252</v>
      </c>
      <c r="W35" s="1">
        <v>208</v>
      </c>
      <c r="X35" s="1">
        <v>1.1299999999999999</v>
      </c>
      <c r="Y35" s="1">
        <v>327</v>
      </c>
      <c r="Z35" s="1">
        <v>201</v>
      </c>
      <c r="AA35" s="1">
        <f>Table46[[#This Row],[Vr]]^2/180</f>
        <v>7.0938888888888874E-3</v>
      </c>
      <c r="AB35" s="1">
        <f>Table46[[#This Row],[Vsen1]]/200.05</f>
        <v>1.2596850787303173</v>
      </c>
      <c r="AC35" s="1">
        <f>Table46[[#This Row],[Vsen2]]/178</f>
        <v>1.1685393258426966</v>
      </c>
    </row>
    <row r="36" spans="1:29" x14ac:dyDescent="0.3">
      <c r="A36" s="1">
        <v>30</v>
      </c>
      <c r="B36" s="1">
        <v>10</v>
      </c>
      <c r="C36" s="1">
        <v>211</v>
      </c>
      <c r="D36" s="1">
        <f>Table3[[#This Row],[Vsen]]/200.5</f>
        <v>1.0523690773067331</v>
      </c>
      <c r="E36" s="1">
        <v>4.82</v>
      </c>
      <c r="F36" s="1">
        <f>Table3[[#This Row],[Vr]]^2/120*1000</f>
        <v>193.60333333333335</v>
      </c>
      <c r="G36" s="1">
        <v>261</v>
      </c>
      <c r="I36" s="1">
        <v>30</v>
      </c>
      <c r="J36" s="1">
        <v>20</v>
      </c>
      <c r="K36" s="1">
        <v>191</v>
      </c>
      <c r="L36" s="1">
        <v>200</v>
      </c>
      <c r="M36" s="1">
        <v>7.58</v>
      </c>
      <c r="N36" s="1">
        <v>183</v>
      </c>
      <c r="O36" s="1">
        <v>205</v>
      </c>
      <c r="P36" s="1">
        <f>Table4[[#This Row],[Vr]]^2/180</f>
        <v>0.31920222222222222</v>
      </c>
      <c r="Q36" s="1">
        <f>Table4[[#This Row],[Vsen1]]/200.05</f>
        <v>0.95476130967258177</v>
      </c>
      <c r="R36" s="1">
        <f>Table4[[#This Row],[Vsen2]]/178</f>
        <v>1.1235955056179776</v>
      </c>
      <c r="T36" s="1">
        <v>30</v>
      </c>
      <c r="U36" s="1">
        <v>20</v>
      </c>
      <c r="V36" s="1">
        <v>252</v>
      </c>
      <c r="W36" s="1">
        <v>206</v>
      </c>
      <c r="X36" s="1">
        <v>-0.9</v>
      </c>
      <c r="Y36" s="1">
        <v>329</v>
      </c>
      <c r="Z36" s="1">
        <v>196</v>
      </c>
      <c r="AA36" s="1">
        <f>Table46[[#This Row],[Vr]]^2/180</f>
        <v>4.5000000000000005E-3</v>
      </c>
      <c r="AB36" s="1">
        <f>Table46[[#This Row],[Vsen1]]/200.05</f>
        <v>1.2596850787303173</v>
      </c>
      <c r="AC36" s="1">
        <f>Table46[[#This Row],[Vsen2]]/178</f>
        <v>1.1573033707865168</v>
      </c>
    </row>
    <row r="37" spans="1:29" x14ac:dyDescent="0.3">
      <c r="A37" s="1">
        <v>40</v>
      </c>
      <c r="B37" s="1">
        <v>10</v>
      </c>
      <c r="C37" s="1">
        <v>220</v>
      </c>
      <c r="D37" s="1">
        <f>Table3[[#This Row],[Vsen]]/200.5</f>
        <v>1.0972568578553616</v>
      </c>
      <c r="E37" s="1">
        <v>4.1100000000000003</v>
      </c>
      <c r="F37" s="1">
        <f>Table3[[#This Row],[Vr]]^2/120*1000</f>
        <v>140.76750000000001</v>
      </c>
      <c r="G37" s="1">
        <v>283</v>
      </c>
      <c r="I37" s="1">
        <v>40</v>
      </c>
      <c r="J37" s="1">
        <v>20</v>
      </c>
      <c r="K37" s="1">
        <v>198</v>
      </c>
      <c r="L37" s="1">
        <v>206</v>
      </c>
      <c r="M37" s="1">
        <v>6.83</v>
      </c>
      <c r="N37" s="1">
        <v>203</v>
      </c>
      <c r="O37" s="1">
        <v>216</v>
      </c>
      <c r="P37" s="1">
        <f>Table4[[#This Row],[Vr]]^2/180</f>
        <v>0.25916055555555556</v>
      </c>
      <c r="Q37" s="1">
        <f>Table4[[#This Row],[Vsen1]]/200.05</f>
        <v>0.98975256185953508</v>
      </c>
      <c r="R37" s="1">
        <f>Table4[[#This Row],[Vsen2]]/178</f>
        <v>1.1573033707865168</v>
      </c>
      <c r="T37" s="1">
        <v>40</v>
      </c>
      <c r="U37" s="1">
        <v>20</v>
      </c>
      <c r="V37" s="1">
        <v>249</v>
      </c>
      <c r="W37" s="1">
        <v>203</v>
      </c>
      <c r="X37" s="1">
        <v>-2.6</v>
      </c>
      <c r="Y37" s="1">
        <v>324</v>
      </c>
      <c r="Z37" s="1">
        <v>189</v>
      </c>
      <c r="AA37" s="1">
        <f>Table46[[#This Row],[Vr]]^2/180</f>
        <v>3.7555555555555557E-2</v>
      </c>
      <c r="AB37" s="1">
        <f>Table46[[#This Row],[Vsen1]]/200.05</f>
        <v>1.2446888277930517</v>
      </c>
      <c r="AC37" s="1">
        <f>Table46[[#This Row],[Vsen2]]/178</f>
        <v>1.1404494382022472</v>
      </c>
    </row>
    <row r="38" spans="1:29" x14ac:dyDescent="0.3">
      <c r="A38" s="1">
        <v>50</v>
      </c>
      <c r="B38" s="1">
        <v>10</v>
      </c>
      <c r="C38" s="1">
        <v>230</v>
      </c>
      <c r="D38" s="1">
        <f>Table3[[#This Row],[Vsen]]/200.5</f>
        <v>1.1471321695760599</v>
      </c>
      <c r="E38" s="1">
        <v>2.97</v>
      </c>
      <c r="F38" s="1">
        <f>Table3[[#This Row],[Vr]]^2/120*1000</f>
        <v>73.507500000000022</v>
      </c>
      <c r="G38" s="1">
        <v>307</v>
      </c>
      <c r="I38" s="1">
        <v>50</v>
      </c>
      <c r="J38" s="1">
        <v>20</v>
      </c>
      <c r="K38" s="1">
        <v>210</v>
      </c>
      <c r="L38" s="1">
        <v>214</v>
      </c>
      <c r="M38" s="1">
        <v>5.5</v>
      </c>
      <c r="N38" s="1">
        <v>229</v>
      </c>
      <c r="O38" s="1">
        <v>236</v>
      </c>
      <c r="P38" s="1">
        <f>Table4[[#This Row],[Vr]]^2/180</f>
        <v>0.16805555555555557</v>
      </c>
      <c r="Q38" s="1">
        <f>Table4[[#This Row],[Vsen1]]/200.05</f>
        <v>1.0497375656085979</v>
      </c>
      <c r="R38" s="1">
        <f>Table4[[#This Row],[Vsen2]]/178</f>
        <v>1.202247191011236</v>
      </c>
      <c r="T38" s="1">
        <v>50</v>
      </c>
      <c r="U38" s="1">
        <v>20</v>
      </c>
      <c r="V38" s="1">
        <v>244</v>
      </c>
      <c r="W38" s="1">
        <v>196</v>
      </c>
      <c r="X38" s="1">
        <v>-4.53</v>
      </c>
      <c r="Y38" s="1">
        <v>308</v>
      </c>
      <c r="Z38" s="1">
        <v>173</v>
      </c>
      <c r="AA38" s="1">
        <f>Table46[[#This Row],[Vr]]^2/180</f>
        <v>0.11400500000000001</v>
      </c>
      <c r="AB38" s="1">
        <f>Table46[[#This Row],[Vsen1]]/200.05</f>
        <v>1.2196950762309422</v>
      </c>
      <c r="AC38" s="1">
        <f>Table46[[#This Row],[Vsen2]]/178</f>
        <v>1.101123595505618</v>
      </c>
    </row>
    <row r="39" spans="1:29" x14ac:dyDescent="0.3">
      <c r="A39" s="1">
        <v>60</v>
      </c>
      <c r="B39" s="1">
        <v>10</v>
      </c>
      <c r="C39" s="1">
        <v>236</v>
      </c>
      <c r="D39" s="1">
        <f>Table3[[#This Row],[Vsen]]/200.5</f>
        <v>1.1770573566084788</v>
      </c>
      <c r="E39" s="1">
        <v>1.86</v>
      </c>
      <c r="F39" s="1">
        <f>Table3[[#This Row],[Vr]]^2/120*1000</f>
        <v>28.830000000000005</v>
      </c>
      <c r="G39" s="1">
        <v>323</v>
      </c>
      <c r="I39" s="1">
        <v>60</v>
      </c>
      <c r="J39" s="1">
        <v>20</v>
      </c>
      <c r="K39" s="1">
        <v>216</v>
      </c>
      <c r="L39" s="1">
        <v>219</v>
      </c>
      <c r="M39" s="1">
        <v>4.3</v>
      </c>
      <c r="N39" s="1">
        <v>244</v>
      </c>
      <c r="O39" s="1">
        <v>248</v>
      </c>
      <c r="P39" s="1">
        <f>Table4[[#This Row],[Vr]]^2/180</f>
        <v>0.10272222222222221</v>
      </c>
      <c r="Q39" s="1">
        <f>Table4[[#This Row],[Vsen1]]/200.05</f>
        <v>1.0797300674831292</v>
      </c>
      <c r="R39" s="1">
        <f>Table4[[#This Row],[Vsen2]]/178</f>
        <v>1.2303370786516854</v>
      </c>
      <c r="T39" s="1">
        <v>60</v>
      </c>
      <c r="U39" s="1">
        <v>20</v>
      </c>
      <c r="V39" s="1">
        <v>237</v>
      </c>
      <c r="W39" s="1">
        <v>191</v>
      </c>
      <c r="X39" s="1">
        <v>-5.8</v>
      </c>
      <c r="Y39" s="1">
        <v>291</v>
      </c>
      <c r="Z39" s="1">
        <v>160</v>
      </c>
      <c r="AA39" s="1">
        <f>Table46[[#This Row],[Vr]]^2/180</f>
        <v>0.18688888888888888</v>
      </c>
      <c r="AB39" s="1">
        <f>Table46[[#This Row],[Vsen1]]/200.05</f>
        <v>1.1847038240439889</v>
      </c>
      <c r="AC39" s="1">
        <f>Table46[[#This Row],[Vsen2]]/178</f>
        <v>1.0730337078651686</v>
      </c>
    </row>
    <row r="40" spans="1:29" x14ac:dyDescent="0.3">
      <c r="A40" s="1">
        <v>70</v>
      </c>
      <c r="B40" s="1">
        <v>10</v>
      </c>
      <c r="C40" s="1">
        <v>240</v>
      </c>
      <c r="D40" s="1">
        <f>Table3[[#This Row],[Vsen]]/200.5</f>
        <v>1.1970074812967582</v>
      </c>
      <c r="E40" s="1">
        <v>0.1</v>
      </c>
      <c r="F40" s="1">
        <f>Table3[[#This Row],[Vr]]^2/120*1000</f>
        <v>8.3333333333333343E-2</v>
      </c>
      <c r="G40" s="1">
        <v>332</v>
      </c>
      <c r="I40" s="1">
        <v>70</v>
      </c>
      <c r="J40" s="1">
        <v>20</v>
      </c>
      <c r="K40" s="1">
        <v>220</v>
      </c>
      <c r="L40" s="1">
        <v>224</v>
      </c>
      <c r="M40" s="1">
        <v>2.68</v>
      </c>
      <c r="N40" s="1">
        <v>257</v>
      </c>
      <c r="O40" s="1">
        <v>263</v>
      </c>
      <c r="P40" s="1">
        <f>Table4[[#This Row],[Vr]]^2/180</f>
        <v>3.9902222222222228E-2</v>
      </c>
      <c r="Q40" s="1">
        <f>Table4[[#This Row],[Vsen1]]/200.05</f>
        <v>1.0997250687328168</v>
      </c>
      <c r="R40" s="1">
        <f>Table4[[#This Row],[Vsen2]]/178</f>
        <v>1.2584269662921348</v>
      </c>
      <c r="T40" s="1">
        <v>70</v>
      </c>
      <c r="U40" s="1">
        <v>20</v>
      </c>
      <c r="V40" s="1">
        <v>230</v>
      </c>
      <c r="W40" s="1">
        <v>183</v>
      </c>
      <c r="X40" s="1">
        <v>-6.99</v>
      </c>
      <c r="Y40" s="1">
        <v>272</v>
      </c>
      <c r="Z40" s="1">
        <v>147</v>
      </c>
      <c r="AA40" s="1">
        <f>Table46[[#This Row],[Vr]]^2/180</f>
        <v>0.27144499999999999</v>
      </c>
      <c r="AB40" s="1">
        <f>Table46[[#This Row],[Vsen1]]/200.05</f>
        <v>1.1497125718570356</v>
      </c>
      <c r="AC40" s="1">
        <f>Table46[[#This Row],[Vsen2]]/178</f>
        <v>1.0280898876404494</v>
      </c>
    </row>
    <row r="41" spans="1:29" x14ac:dyDescent="0.3">
      <c r="A41" s="1">
        <v>80</v>
      </c>
      <c r="B41" s="1">
        <v>10</v>
      </c>
      <c r="C41" s="1">
        <v>237</v>
      </c>
      <c r="D41" s="1">
        <f>Table3[[#This Row],[Vsen]]/200.5</f>
        <v>1.1820448877805487</v>
      </c>
      <c r="E41" s="1">
        <v>-1.6</v>
      </c>
      <c r="F41" s="1">
        <f>Table3[[#This Row],[Vr]]^2/120*1000</f>
        <v>21.333333333333336</v>
      </c>
      <c r="G41" s="1">
        <v>325</v>
      </c>
      <c r="I41" s="1">
        <v>80</v>
      </c>
      <c r="J41" s="1">
        <v>20</v>
      </c>
      <c r="K41" s="1">
        <v>221</v>
      </c>
      <c r="L41" s="1">
        <v>227</v>
      </c>
      <c r="M41" s="1">
        <v>1.63</v>
      </c>
      <c r="N41" s="1">
        <v>259</v>
      </c>
      <c r="O41" s="1">
        <v>270</v>
      </c>
      <c r="P41" s="1">
        <f>Table4[[#This Row],[Vr]]^2/180</f>
        <v>1.4760555555555555E-2</v>
      </c>
      <c r="Q41" s="1">
        <f>Table4[[#This Row],[Vsen1]]/200.05</f>
        <v>1.1047238190452386</v>
      </c>
      <c r="R41" s="1">
        <f>Table4[[#This Row],[Vsen2]]/178</f>
        <v>1.2752808988764044</v>
      </c>
      <c r="T41" s="1">
        <v>80</v>
      </c>
      <c r="U41" s="1">
        <v>20</v>
      </c>
      <c r="V41" s="1">
        <v>223</v>
      </c>
      <c r="W41" s="1">
        <v>177</v>
      </c>
      <c r="X41" s="1">
        <v>-7.78</v>
      </c>
      <c r="Y41" s="1">
        <v>254</v>
      </c>
      <c r="Z41" s="1">
        <v>133</v>
      </c>
      <c r="AA41" s="1">
        <f>Table46[[#This Row],[Vr]]^2/180</f>
        <v>0.33626888888888889</v>
      </c>
      <c r="AB41" s="1">
        <f>Table46[[#This Row],[Vsen1]]/200.05</f>
        <v>1.1147213196700825</v>
      </c>
      <c r="AC41" s="1">
        <f>Table46[[#This Row],[Vsen2]]/178</f>
        <v>0.9943820224719101</v>
      </c>
    </row>
    <row r="42" spans="1:29" x14ac:dyDescent="0.3">
      <c r="A42" s="1">
        <v>90</v>
      </c>
      <c r="B42" s="1">
        <v>10</v>
      </c>
      <c r="C42" s="1">
        <v>228</v>
      </c>
      <c r="D42" s="1">
        <f>Table3[[#This Row],[Vsen]]/200.5</f>
        <v>1.1371571072319202</v>
      </c>
      <c r="E42" s="1">
        <v>-3.11</v>
      </c>
      <c r="F42" s="1">
        <f>Table3[[#This Row],[Vr]]^2/120*1000</f>
        <v>80.600833333333313</v>
      </c>
      <c r="G42" s="1">
        <v>303</v>
      </c>
      <c r="I42" s="1">
        <v>90</v>
      </c>
      <c r="J42" s="1">
        <v>20</v>
      </c>
      <c r="K42" s="1">
        <v>220</v>
      </c>
      <c r="L42" s="1">
        <v>230</v>
      </c>
      <c r="M42" s="1">
        <v>0.23</v>
      </c>
      <c r="N42" s="1">
        <v>258</v>
      </c>
      <c r="O42" s="1">
        <v>270</v>
      </c>
      <c r="P42" s="1">
        <f>Table4[[#This Row],[Vr]]^2/180</f>
        <v>2.9388888888888889E-4</v>
      </c>
      <c r="Q42" s="1">
        <f>Table4[[#This Row],[Vsen1]]/200.05</f>
        <v>1.0997250687328168</v>
      </c>
      <c r="R42" s="1">
        <f>Table4[[#This Row],[Vsen2]]/178</f>
        <v>1.2921348314606742</v>
      </c>
      <c r="T42" s="1">
        <v>90</v>
      </c>
      <c r="U42" s="1">
        <v>20</v>
      </c>
      <c r="V42" s="1">
        <v>218</v>
      </c>
      <c r="W42" s="1">
        <v>174</v>
      </c>
      <c r="X42" s="1">
        <v>-8.18</v>
      </c>
      <c r="Y42" s="1">
        <v>244</v>
      </c>
      <c r="Z42" s="1">
        <v>130</v>
      </c>
      <c r="AA42" s="1">
        <f>Table46[[#This Row],[Vr]]^2/180</f>
        <v>0.37173555555555549</v>
      </c>
      <c r="AB42" s="1">
        <f>Table46[[#This Row],[Vsen1]]/200.05</f>
        <v>1.089727568107973</v>
      </c>
      <c r="AC42" s="1">
        <f>Table46[[#This Row],[Vsen2]]/178</f>
        <v>0.97752808988764039</v>
      </c>
    </row>
    <row r="43" spans="1:29" x14ac:dyDescent="0.3">
      <c r="A43" s="1">
        <v>0</v>
      </c>
      <c r="B43" s="1">
        <v>15</v>
      </c>
      <c r="C43" s="1">
        <v>202</v>
      </c>
      <c r="D43" s="1">
        <f>Table3[[#This Row],[Vsen]]/200.5</f>
        <v>1.0074812967581048</v>
      </c>
      <c r="E43" s="1">
        <v>5.12</v>
      </c>
      <c r="F43" s="1">
        <f>Table3[[#This Row],[Vr]]^2/120*1000</f>
        <v>218.45333333333332</v>
      </c>
      <c r="G43" s="1">
        <v>238</v>
      </c>
      <c r="I43" s="1">
        <v>0</v>
      </c>
      <c r="J43" s="1">
        <v>25</v>
      </c>
      <c r="K43" s="1">
        <v>183</v>
      </c>
      <c r="L43" s="1">
        <v>193</v>
      </c>
      <c r="M43" s="1">
        <v>8.25</v>
      </c>
      <c r="N43" s="1">
        <v>168</v>
      </c>
      <c r="O43" s="1">
        <v>189</v>
      </c>
      <c r="P43" s="1">
        <f>Table4[[#This Row],[Vr]]^2/180</f>
        <v>0.37812499999999999</v>
      </c>
      <c r="Q43" s="1">
        <f>Table4[[#This Row],[Vsen1]]/200.05</f>
        <v>0.91477130717320665</v>
      </c>
      <c r="R43" s="1">
        <f>Table4[[#This Row],[Vsen2]]/178</f>
        <v>1.0842696629213484</v>
      </c>
      <c r="T43" s="1">
        <v>0</v>
      </c>
      <c r="U43" s="1">
        <v>25</v>
      </c>
      <c r="V43" s="1">
        <v>253</v>
      </c>
      <c r="W43" s="1">
        <v>208</v>
      </c>
      <c r="X43" s="1">
        <v>0.8</v>
      </c>
      <c r="Y43" s="1">
        <v>328</v>
      </c>
      <c r="Z43" s="1">
        <v>202</v>
      </c>
      <c r="AA43" s="1">
        <f>Table46[[#This Row],[Vr]]^2/180</f>
        <v>3.5555555555555562E-3</v>
      </c>
      <c r="AB43" s="1">
        <f>Table46[[#This Row],[Vsen1]]/200.05</f>
        <v>1.2646838290427393</v>
      </c>
      <c r="AC43" s="1">
        <f>Table46[[#This Row],[Vsen2]]/178</f>
        <v>1.1685393258426966</v>
      </c>
    </row>
    <row r="44" spans="1:29" x14ac:dyDescent="0.3">
      <c r="A44" s="1">
        <v>10</v>
      </c>
      <c r="B44" s="1">
        <v>15</v>
      </c>
      <c r="C44" s="1">
        <v>207</v>
      </c>
      <c r="D44" s="1">
        <f>Table3[[#This Row],[Vsen]]/200.5</f>
        <v>1.032418952618454</v>
      </c>
      <c r="E44" s="1">
        <v>4.92</v>
      </c>
      <c r="F44" s="1">
        <f>Table3[[#This Row],[Vr]]^2/120*1000</f>
        <v>201.71999999999997</v>
      </c>
      <c r="G44" s="1">
        <v>247</v>
      </c>
      <c r="I44" s="1">
        <v>10</v>
      </c>
      <c r="J44" s="1">
        <v>25</v>
      </c>
      <c r="K44" s="1">
        <v>185</v>
      </c>
      <c r="L44" s="1">
        <v>194</v>
      </c>
      <c r="M44" s="1">
        <v>8.17</v>
      </c>
      <c r="N44" s="1">
        <v>172</v>
      </c>
      <c r="O44" s="1">
        <v>190</v>
      </c>
      <c r="P44" s="1">
        <f>Table4[[#This Row],[Vr]]^2/180</f>
        <v>0.3708272222222222</v>
      </c>
      <c r="Q44" s="1">
        <f>Table4[[#This Row],[Vsen1]]/200.05</f>
        <v>0.92476880779805049</v>
      </c>
      <c r="R44" s="1">
        <f>Table4[[#This Row],[Vsen2]]/178</f>
        <v>1.0898876404494382</v>
      </c>
      <c r="T44" s="1">
        <v>10</v>
      </c>
      <c r="U44" s="1">
        <v>25</v>
      </c>
      <c r="V44" s="1">
        <v>252</v>
      </c>
      <c r="W44" s="1">
        <v>207</v>
      </c>
      <c r="X44" s="1">
        <v>-0.6</v>
      </c>
      <c r="Y44" s="1">
        <v>329</v>
      </c>
      <c r="Z44" s="1">
        <v>198</v>
      </c>
      <c r="AA44" s="1">
        <f>Table46[[#This Row],[Vr]]^2/180</f>
        <v>2E-3</v>
      </c>
      <c r="AB44" s="1">
        <f>Table46[[#This Row],[Vsen1]]/200.05</f>
        <v>1.2596850787303173</v>
      </c>
      <c r="AC44" s="1">
        <f>Table46[[#This Row],[Vsen2]]/178</f>
        <v>1.1629213483146068</v>
      </c>
    </row>
    <row r="45" spans="1:29" x14ac:dyDescent="0.3">
      <c r="A45" s="1">
        <v>20</v>
      </c>
      <c r="B45" s="1">
        <v>15</v>
      </c>
      <c r="C45" s="1">
        <v>216</v>
      </c>
      <c r="D45" s="1">
        <f>Table3[[#This Row],[Vsen]]/200.5</f>
        <v>1.0773067331670823</v>
      </c>
      <c r="E45" s="1">
        <v>4.2300000000000004</v>
      </c>
      <c r="F45" s="1">
        <f>Table3[[#This Row],[Vr]]^2/120*1000</f>
        <v>149.10750000000004</v>
      </c>
      <c r="G45" s="1">
        <v>270</v>
      </c>
      <c r="I45" s="1">
        <v>20</v>
      </c>
      <c r="J45" s="1">
        <v>25</v>
      </c>
      <c r="K45" s="1">
        <v>188</v>
      </c>
      <c r="L45" s="1">
        <v>196</v>
      </c>
      <c r="M45" s="1">
        <v>7.94</v>
      </c>
      <c r="N45" s="1">
        <v>182</v>
      </c>
      <c r="O45" s="1">
        <v>194</v>
      </c>
      <c r="P45" s="1">
        <f>Table4[[#This Row],[Vr]]^2/180</f>
        <v>0.35024222222222223</v>
      </c>
      <c r="Q45" s="1">
        <f>Table4[[#This Row],[Vsen1]]/200.05</f>
        <v>0.93976505873531613</v>
      </c>
      <c r="R45" s="1">
        <f>Table4[[#This Row],[Vsen2]]/178</f>
        <v>1.101123595505618</v>
      </c>
      <c r="T45" s="1">
        <v>20</v>
      </c>
      <c r="U45" s="1">
        <v>25</v>
      </c>
      <c r="V45" s="1">
        <v>251</v>
      </c>
      <c r="W45" s="1">
        <v>203</v>
      </c>
      <c r="X45" s="1">
        <v>-2.2400000000000002</v>
      </c>
      <c r="Y45" s="1">
        <v>324</v>
      </c>
      <c r="Z45" s="1">
        <v>191</v>
      </c>
      <c r="AA45" s="1">
        <f>Table46[[#This Row],[Vr]]^2/180</f>
        <v>2.787555555555556E-2</v>
      </c>
      <c r="AB45" s="1">
        <f>Table46[[#This Row],[Vsen1]]/200.05</f>
        <v>1.2546863284178955</v>
      </c>
      <c r="AC45" s="1">
        <f>Table46[[#This Row],[Vsen2]]/178</f>
        <v>1.1404494382022472</v>
      </c>
    </row>
    <row r="46" spans="1:29" x14ac:dyDescent="0.3">
      <c r="A46" s="1">
        <v>30</v>
      </c>
      <c r="B46" s="1">
        <v>15</v>
      </c>
      <c r="C46" s="1">
        <v>224</v>
      </c>
      <c r="D46" s="1">
        <f>Table3[[#This Row],[Vsen]]/200.5</f>
        <v>1.1172069825436408</v>
      </c>
      <c r="E46" s="1">
        <v>3.8</v>
      </c>
      <c r="F46" s="1">
        <f>Table3[[#This Row],[Vr]]^2/120*1000</f>
        <v>120.33333333333333</v>
      </c>
      <c r="G46" s="1">
        <v>282</v>
      </c>
      <c r="I46" s="1">
        <v>30</v>
      </c>
      <c r="J46" s="1">
        <v>25</v>
      </c>
      <c r="K46" s="1">
        <v>194</v>
      </c>
      <c r="L46" s="1">
        <v>200</v>
      </c>
      <c r="M46" s="1">
        <v>7.47</v>
      </c>
      <c r="N46" s="1">
        <v>195</v>
      </c>
      <c r="O46" s="1">
        <v>202</v>
      </c>
      <c r="P46" s="1">
        <f>Table4[[#This Row],[Vr]]^2/180</f>
        <v>0.31000499999999998</v>
      </c>
      <c r="Q46" s="1">
        <f>Table4[[#This Row],[Vsen1]]/200.05</f>
        <v>0.96975756060984752</v>
      </c>
      <c r="R46" s="1">
        <f>Table4[[#This Row],[Vsen2]]/178</f>
        <v>1.1235955056179776</v>
      </c>
      <c r="T46" s="1">
        <v>30</v>
      </c>
      <c r="U46" s="1">
        <v>25</v>
      </c>
      <c r="V46" s="1">
        <v>247</v>
      </c>
      <c r="W46" s="1">
        <v>200</v>
      </c>
      <c r="X46" s="1">
        <v>-3.11</v>
      </c>
      <c r="Y46" s="1">
        <v>320</v>
      </c>
      <c r="Z46" s="1">
        <v>183</v>
      </c>
      <c r="AA46" s="1">
        <f>Table46[[#This Row],[Vr]]^2/180</f>
        <v>5.373388888888888E-2</v>
      </c>
      <c r="AB46" s="1">
        <f>Table46[[#This Row],[Vsen1]]/200.05</f>
        <v>1.2346913271682078</v>
      </c>
      <c r="AC46" s="1">
        <f>Table46[[#This Row],[Vsen2]]/178</f>
        <v>1.1235955056179776</v>
      </c>
    </row>
    <row r="47" spans="1:29" x14ac:dyDescent="0.3">
      <c r="A47" s="1">
        <v>40</v>
      </c>
      <c r="B47" s="1">
        <v>15</v>
      </c>
      <c r="C47" s="1">
        <v>229</v>
      </c>
      <c r="D47" s="1">
        <f>Table3[[#This Row],[Vsen]]/200.5</f>
        <v>1.1421446384039899</v>
      </c>
      <c r="E47" s="1">
        <v>2.88</v>
      </c>
      <c r="F47" s="1">
        <f>Table3[[#This Row],[Vr]]^2/120*1000</f>
        <v>69.12</v>
      </c>
      <c r="G47" s="1">
        <v>304</v>
      </c>
      <c r="I47" s="1">
        <v>40</v>
      </c>
      <c r="J47" s="1">
        <v>25</v>
      </c>
      <c r="K47" s="1">
        <v>200</v>
      </c>
      <c r="L47" s="1">
        <v>204</v>
      </c>
      <c r="M47" s="1">
        <v>6.99</v>
      </c>
      <c r="N47" s="1">
        <v>207</v>
      </c>
      <c r="O47" s="1">
        <v>211</v>
      </c>
      <c r="P47" s="1">
        <f>Table4[[#This Row],[Vr]]^2/180</f>
        <v>0.27144499999999999</v>
      </c>
      <c r="Q47" s="1">
        <f>Table4[[#This Row],[Vsen1]]/200.05</f>
        <v>0.99975006248437881</v>
      </c>
      <c r="R47" s="1">
        <f>Table4[[#This Row],[Vsen2]]/178</f>
        <v>1.146067415730337</v>
      </c>
      <c r="T47" s="1">
        <v>40</v>
      </c>
      <c r="U47" s="1">
        <v>25</v>
      </c>
      <c r="V47" s="1">
        <v>242</v>
      </c>
      <c r="W47" s="1">
        <v>195</v>
      </c>
      <c r="X47" s="1">
        <v>-4.68</v>
      </c>
      <c r="Y47" s="1">
        <v>308</v>
      </c>
      <c r="Z47" s="1">
        <v>170</v>
      </c>
      <c r="AA47" s="1">
        <f>Table46[[#This Row],[Vr]]^2/180</f>
        <v>0.12167999999999998</v>
      </c>
      <c r="AB47" s="1">
        <f>Table46[[#This Row],[Vsen1]]/200.05</f>
        <v>1.2096975756060984</v>
      </c>
      <c r="AC47" s="1">
        <f>Table46[[#This Row],[Vsen2]]/178</f>
        <v>1.095505617977528</v>
      </c>
    </row>
    <row r="48" spans="1:29" x14ac:dyDescent="0.3">
      <c r="A48" s="1">
        <v>50</v>
      </c>
      <c r="B48" s="1">
        <v>15</v>
      </c>
      <c r="C48" s="1">
        <v>237</v>
      </c>
      <c r="D48" s="1">
        <f>Table3[[#This Row],[Vsen]]/200.5</f>
        <v>1.1820448877805487</v>
      </c>
      <c r="E48" s="1">
        <v>1.47</v>
      </c>
      <c r="F48" s="1">
        <f>Table3[[#This Row],[Vr]]^2/120*1000</f>
        <v>18.0075</v>
      </c>
      <c r="G48" s="1">
        <v>323</v>
      </c>
      <c r="I48" s="1">
        <v>50</v>
      </c>
      <c r="J48" s="1">
        <v>25</v>
      </c>
      <c r="K48" s="1">
        <v>207</v>
      </c>
      <c r="L48" s="1">
        <v>212</v>
      </c>
      <c r="M48" s="1">
        <v>5.87</v>
      </c>
      <c r="N48" s="1">
        <v>229</v>
      </c>
      <c r="O48" s="1">
        <v>231</v>
      </c>
      <c r="P48" s="1">
        <f>Table4[[#This Row],[Vr]]^2/180</f>
        <v>0.19142722222222225</v>
      </c>
      <c r="Q48" s="1">
        <f>Table4[[#This Row],[Vsen1]]/200.05</f>
        <v>1.034741314671332</v>
      </c>
      <c r="R48" s="1">
        <f>Table4[[#This Row],[Vsen2]]/178</f>
        <v>1.1910112359550562</v>
      </c>
      <c r="T48" s="1">
        <v>50</v>
      </c>
      <c r="U48" s="1">
        <v>25</v>
      </c>
      <c r="V48" s="1">
        <v>233</v>
      </c>
      <c r="W48" s="1">
        <v>186</v>
      </c>
      <c r="X48" s="1">
        <v>-6.23</v>
      </c>
      <c r="Y48" s="1">
        <v>282</v>
      </c>
      <c r="Z48" s="1">
        <v>150</v>
      </c>
      <c r="AA48" s="1">
        <f>Table46[[#This Row],[Vr]]^2/180</f>
        <v>0.21562722222222225</v>
      </c>
      <c r="AB48" s="1">
        <f>Table46[[#This Row],[Vsen1]]/200.05</f>
        <v>1.1647088227943014</v>
      </c>
      <c r="AC48" s="1">
        <f>Table46[[#This Row],[Vsen2]]/178</f>
        <v>1.0449438202247192</v>
      </c>
    </row>
    <row r="49" spans="1:29" x14ac:dyDescent="0.3">
      <c r="A49" s="1">
        <v>60</v>
      </c>
      <c r="B49" s="1">
        <v>15</v>
      </c>
      <c r="C49" s="1">
        <v>237</v>
      </c>
      <c r="D49" s="1">
        <f>Table3[[#This Row],[Vsen]]/200.5</f>
        <v>1.1820448877805487</v>
      </c>
      <c r="E49" s="1">
        <v>0.2</v>
      </c>
      <c r="F49" s="1">
        <f>Table3[[#This Row],[Vr]]^2/120*1000</f>
        <v>0.33333333333333337</v>
      </c>
      <c r="G49" s="1">
        <v>328</v>
      </c>
      <c r="I49" s="1">
        <v>60</v>
      </c>
      <c r="J49" s="1">
        <v>25</v>
      </c>
      <c r="K49" s="1">
        <v>213</v>
      </c>
      <c r="L49" s="1">
        <v>217</v>
      </c>
      <c r="M49" s="1">
        <v>4.78</v>
      </c>
      <c r="N49" s="1">
        <v>245</v>
      </c>
      <c r="O49" s="1">
        <v>245</v>
      </c>
      <c r="P49" s="1">
        <f>Table4[[#This Row],[Vr]]^2/180</f>
        <v>0.12693555555555555</v>
      </c>
      <c r="Q49" s="1">
        <f>Table4[[#This Row],[Vsen1]]/200.05</f>
        <v>1.0647338165458635</v>
      </c>
      <c r="R49" s="1">
        <f>Table4[[#This Row],[Vsen2]]/178</f>
        <v>1.2191011235955056</v>
      </c>
      <c r="T49" s="1">
        <v>60</v>
      </c>
      <c r="U49" s="1">
        <v>25</v>
      </c>
      <c r="V49" s="1">
        <v>227</v>
      </c>
      <c r="W49" s="1">
        <v>181</v>
      </c>
      <c r="X49" s="1">
        <v>-7.11</v>
      </c>
      <c r="Y49" s="1">
        <v>266</v>
      </c>
      <c r="Z49" s="1">
        <v>136</v>
      </c>
      <c r="AA49" s="1">
        <f>Table46[[#This Row],[Vr]]^2/180</f>
        <v>0.28084500000000001</v>
      </c>
      <c r="AB49" s="1">
        <f>Table46[[#This Row],[Vsen1]]/200.05</f>
        <v>1.1347163209197699</v>
      </c>
      <c r="AC49" s="1">
        <f>Table46[[#This Row],[Vsen2]]/178</f>
        <v>1.0168539325842696</v>
      </c>
    </row>
    <row r="50" spans="1:29" x14ac:dyDescent="0.3">
      <c r="A50" s="1">
        <v>70</v>
      </c>
      <c r="B50" s="1">
        <v>15</v>
      </c>
      <c r="C50" s="1">
        <v>235</v>
      </c>
      <c r="D50" s="1">
        <f>Table3[[#This Row],[Vsen]]/200.5</f>
        <v>1.172069825436409</v>
      </c>
      <c r="E50" s="1">
        <v>-1.47</v>
      </c>
      <c r="F50" s="1">
        <f>Table3[[#This Row],[Vr]]^2/120*1000</f>
        <v>18.0075</v>
      </c>
      <c r="G50" s="1">
        <v>322</v>
      </c>
      <c r="I50" s="1">
        <v>70</v>
      </c>
      <c r="J50" s="1">
        <v>25</v>
      </c>
      <c r="K50" s="1">
        <v>219</v>
      </c>
      <c r="L50" s="1">
        <v>223</v>
      </c>
      <c r="M50" s="1">
        <v>3.17</v>
      </c>
      <c r="N50" s="1">
        <v>258</v>
      </c>
      <c r="O50" s="1">
        <v>259</v>
      </c>
      <c r="P50" s="1">
        <f>Table4[[#This Row],[Vr]]^2/180</f>
        <v>5.5827222222222223E-2</v>
      </c>
      <c r="Q50" s="1">
        <f>Table4[[#This Row],[Vsen1]]/200.05</f>
        <v>1.0947263184203948</v>
      </c>
      <c r="R50" s="1">
        <f>Table4[[#This Row],[Vsen2]]/178</f>
        <v>1.252808988764045</v>
      </c>
      <c r="T50" s="1">
        <v>70</v>
      </c>
      <c r="U50" s="1">
        <v>25</v>
      </c>
      <c r="V50" s="1">
        <v>220</v>
      </c>
      <c r="W50" s="1">
        <v>175</v>
      </c>
      <c r="X50" s="1">
        <v>-7.88</v>
      </c>
      <c r="Y50" s="1">
        <v>249</v>
      </c>
      <c r="Z50" s="1">
        <v>128</v>
      </c>
      <c r="AA50" s="1">
        <f>Table46[[#This Row],[Vr]]^2/180</f>
        <v>0.34496888888888888</v>
      </c>
      <c r="AB50" s="1">
        <f>Table46[[#This Row],[Vsen1]]/200.05</f>
        <v>1.0997250687328168</v>
      </c>
      <c r="AC50" s="1">
        <f>Table46[[#This Row],[Vsen2]]/178</f>
        <v>0.9831460674157303</v>
      </c>
    </row>
    <row r="51" spans="1:29" x14ac:dyDescent="0.3">
      <c r="A51" s="1">
        <v>80</v>
      </c>
      <c r="B51" s="1">
        <v>15</v>
      </c>
      <c r="C51" s="1">
        <v>232</v>
      </c>
      <c r="D51" s="1">
        <f>Table3[[#This Row],[Vsen]]/200.5</f>
        <v>1.1571072319201996</v>
      </c>
      <c r="E51" s="1">
        <v>-2.92</v>
      </c>
      <c r="F51" s="1">
        <f>Table3[[#This Row],[Vr]]^2/120*1000</f>
        <v>71.053333333333327</v>
      </c>
      <c r="G51" s="1">
        <v>303</v>
      </c>
      <c r="I51" s="1">
        <v>80</v>
      </c>
      <c r="J51" s="1">
        <v>25</v>
      </c>
      <c r="K51" s="1">
        <v>220</v>
      </c>
      <c r="L51" s="1">
        <v>226</v>
      </c>
      <c r="M51" s="1">
        <v>1.99</v>
      </c>
      <c r="N51" s="1">
        <v>263</v>
      </c>
      <c r="O51" s="1">
        <v>267</v>
      </c>
      <c r="P51" s="1">
        <f>Table4[[#This Row],[Vr]]^2/180</f>
        <v>2.2000555555555558E-2</v>
      </c>
      <c r="Q51" s="1">
        <f>Table4[[#This Row],[Vsen1]]/200.05</f>
        <v>1.0997250687328168</v>
      </c>
      <c r="R51" s="1">
        <f>Table4[[#This Row],[Vsen2]]/178</f>
        <v>1.2696629213483146</v>
      </c>
      <c r="T51" s="1">
        <v>80</v>
      </c>
      <c r="U51" s="1">
        <v>25</v>
      </c>
      <c r="V51" s="1">
        <v>217</v>
      </c>
      <c r="W51" s="1">
        <v>173</v>
      </c>
      <c r="X51" s="1">
        <v>-8.25</v>
      </c>
      <c r="Y51" s="1">
        <v>238</v>
      </c>
      <c r="Z51" s="1">
        <v>118</v>
      </c>
      <c r="AA51" s="1">
        <f>Table46[[#This Row],[Vr]]^2/180</f>
        <v>0.37812499999999999</v>
      </c>
      <c r="AB51" s="1">
        <f>Table46[[#This Row],[Vsen1]]/200.05</f>
        <v>1.084728817795551</v>
      </c>
      <c r="AC51" s="1">
        <f>Table46[[#This Row],[Vsen2]]/178</f>
        <v>0.9719101123595506</v>
      </c>
    </row>
    <row r="52" spans="1:29" x14ac:dyDescent="0.3">
      <c r="A52" s="1">
        <v>90</v>
      </c>
      <c r="B52" s="1">
        <v>15</v>
      </c>
      <c r="C52" s="1">
        <v>225</v>
      </c>
      <c r="D52" s="1">
        <f>Table3[[#This Row],[Vsen]]/200.5</f>
        <v>1.1221945137157108</v>
      </c>
      <c r="E52" s="1">
        <v>-3.76</v>
      </c>
      <c r="F52" s="1">
        <f>Table3[[#This Row],[Vr]]^2/120*1000</f>
        <v>117.81333333333333</v>
      </c>
      <c r="G52" s="1">
        <v>283</v>
      </c>
      <c r="I52" s="1">
        <v>90</v>
      </c>
      <c r="J52" s="1">
        <v>25</v>
      </c>
      <c r="K52" s="1">
        <v>219</v>
      </c>
      <c r="L52" s="1">
        <v>220</v>
      </c>
      <c r="M52" s="1">
        <v>0.16</v>
      </c>
      <c r="N52" s="1">
        <v>261</v>
      </c>
      <c r="O52" s="1">
        <v>273</v>
      </c>
      <c r="P52" s="1">
        <f>Table4[[#This Row],[Vr]]^2/180</f>
        <v>1.4222222222222224E-4</v>
      </c>
      <c r="Q52" s="1">
        <f>Table4[[#This Row],[Vsen1]]/200.05</f>
        <v>1.0947263184203948</v>
      </c>
      <c r="R52" s="1">
        <f>Table4[[#This Row],[Vsen2]]/178</f>
        <v>1.2359550561797752</v>
      </c>
      <c r="T52" s="1">
        <v>90</v>
      </c>
      <c r="U52" s="1">
        <v>25</v>
      </c>
      <c r="V52" s="1">
        <v>215</v>
      </c>
      <c r="W52" s="1">
        <v>172</v>
      </c>
      <c r="X52" s="1">
        <v>-8.36</v>
      </c>
      <c r="Y52" s="1">
        <v>236</v>
      </c>
      <c r="Z52" s="1">
        <v>121</v>
      </c>
      <c r="AA52" s="1">
        <f>Table46[[#This Row],[Vr]]^2/180</f>
        <v>0.38827555555555548</v>
      </c>
      <c r="AB52" s="1">
        <f>Table46[[#This Row],[Vsen1]]/200.05</f>
        <v>1.0747313171707074</v>
      </c>
      <c r="AC52" s="1">
        <f>Table46[[#This Row],[Vsen2]]/178</f>
        <v>0.9662921348314607</v>
      </c>
    </row>
    <row r="53" spans="1:29" x14ac:dyDescent="0.3">
      <c r="A53" s="1">
        <v>0</v>
      </c>
      <c r="B53" s="1">
        <v>20</v>
      </c>
      <c r="C53" s="1">
        <v>213</v>
      </c>
      <c r="D53" s="1">
        <f>Table3[[#This Row],[Vsen]]/200.5</f>
        <v>1.0623441396508728</v>
      </c>
      <c r="E53" s="1">
        <v>4.45</v>
      </c>
      <c r="F53" s="1">
        <f>Table3[[#This Row],[Vr]]^2/120*1000</f>
        <v>165.02083333333334</v>
      </c>
      <c r="G53" s="1">
        <v>264</v>
      </c>
    </row>
    <row r="54" spans="1:29" x14ac:dyDescent="0.3">
      <c r="A54" s="1">
        <v>10</v>
      </c>
      <c r="B54" s="1">
        <v>20</v>
      </c>
      <c r="C54" s="1">
        <v>217</v>
      </c>
      <c r="D54" s="1">
        <f>Table3[[#This Row],[Vsen]]/200.5</f>
        <v>1.0822942643391522</v>
      </c>
      <c r="E54" s="1">
        <v>4.1399999999999997</v>
      </c>
      <c r="F54" s="1">
        <f>Table3[[#This Row],[Vr]]^2/120*1000</f>
        <v>142.82999999999998</v>
      </c>
      <c r="G54" s="1">
        <v>275</v>
      </c>
    </row>
    <row r="55" spans="1:29" x14ac:dyDescent="0.3">
      <c r="A55" s="1">
        <v>20</v>
      </c>
      <c r="B55" s="1">
        <v>20</v>
      </c>
      <c r="C55" s="1">
        <v>224</v>
      </c>
      <c r="D55" s="1">
        <f>Table3[[#This Row],[Vsen]]/200.5</f>
        <v>1.1172069825436408</v>
      </c>
      <c r="E55" s="1">
        <v>3.4809999999999999</v>
      </c>
      <c r="F55" s="1">
        <f>Table3[[#This Row],[Vr]]^2/120*1000</f>
        <v>100.97800833333332</v>
      </c>
      <c r="G55" s="1">
        <v>293</v>
      </c>
      <c r="I55" s="5" t="s">
        <v>24</v>
      </c>
      <c r="J55" s="5"/>
      <c r="K55" s="5"/>
      <c r="L55" s="5"/>
      <c r="M55" s="5"/>
      <c r="N55" s="5"/>
    </row>
    <row r="56" spans="1:29" x14ac:dyDescent="0.3">
      <c r="A56" s="1">
        <v>30</v>
      </c>
      <c r="B56" s="1">
        <v>20</v>
      </c>
      <c r="C56" s="1">
        <v>231</v>
      </c>
      <c r="D56" s="1">
        <f>Table3[[#This Row],[Vsen]]/200.5</f>
        <v>1.1521197007481296</v>
      </c>
      <c r="E56" s="1">
        <v>2.89</v>
      </c>
      <c r="F56" s="1">
        <f>Table3[[#This Row],[Vr]]^2/120*1000</f>
        <v>69.600833333333327</v>
      </c>
      <c r="G56" s="1">
        <v>305</v>
      </c>
      <c r="I56" s="2" t="s">
        <v>25</v>
      </c>
      <c r="J56" s="2"/>
      <c r="K56">
        <v>903.24</v>
      </c>
    </row>
    <row r="57" spans="1:29" x14ac:dyDescent="0.3">
      <c r="A57" s="1">
        <v>40</v>
      </c>
      <c r="B57" s="1">
        <v>20</v>
      </c>
      <c r="C57" s="1">
        <v>235</v>
      </c>
      <c r="D57" s="1">
        <f>Table3[[#This Row],[Vsen]]/200.5</f>
        <v>1.172069825436409</v>
      </c>
      <c r="E57" s="1">
        <v>1.56</v>
      </c>
      <c r="F57" s="1">
        <f>Table3[[#This Row],[Vr]]^2/120*1000</f>
        <v>20.28</v>
      </c>
      <c r="G57" s="1">
        <v>324</v>
      </c>
      <c r="I57" s="2" t="s">
        <v>26</v>
      </c>
      <c r="J57" s="2"/>
      <c r="K57">
        <f>(913.5+923.092)/2</f>
        <v>918.29600000000005</v>
      </c>
    </row>
    <row r="58" spans="1:29" x14ac:dyDescent="0.3">
      <c r="A58" s="1">
        <v>50</v>
      </c>
      <c r="B58" s="1">
        <v>20</v>
      </c>
      <c r="C58" s="1">
        <v>238</v>
      </c>
      <c r="D58" s="1">
        <f>Table3[[#This Row],[Vsen]]/200.5</f>
        <v>1.1870324189526185</v>
      </c>
      <c r="E58" s="1">
        <v>0.105</v>
      </c>
      <c r="F58" s="1">
        <f>Table3[[#This Row],[Vr]]^2/120*1000</f>
        <v>9.1874999999999984E-2</v>
      </c>
      <c r="G58" s="1">
        <v>331</v>
      </c>
      <c r="I58" s="2" t="s">
        <v>28</v>
      </c>
      <c r="J58" s="2"/>
      <c r="K58">
        <f>(893.631+884.225)/2</f>
        <v>888.928</v>
      </c>
    </row>
    <row r="59" spans="1:29" x14ac:dyDescent="0.3">
      <c r="A59" s="1">
        <v>60</v>
      </c>
      <c r="B59" s="1">
        <v>20</v>
      </c>
      <c r="C59" s="1">
        <v>236</v>
      </c>
      <c r="D59" s="1">
        <f>Table3[[#This Row],[Vsen]]/200.5</f>
        <v>1.1770573566084788</v>
      </c>
      <c r="E59" s="1">
        <v>-1.32</v>
      </c>
      <c r="F59" s="1">
        <f>Table3[[#This Row],[Vr]]^2/120*1000</f>
        <v>14.520000000000001</v>
      </c>
      <c r="G59" s="1">
        <v>326</v>
      </c>
      <c r="J59" t="s">
        <v>27</v>
      </c>
      <c r="K59">
        <f>(K57^2-K58^2)/(K57^2+K58^2)*100</f>
        <v>3.2492094768290651</v>
      </c>
    </row>
    <row r="60" spans="1:29" x14ac:dyDescent="0.3">
      <c r="A60" s="1">
        <v>70</v>
      </c>
      <c r="B60" s="1">
        <v>20</v>
      </c>
      <c r="C60" s="1">
        <v>233</v>
      </c>
      <c r="D60" s="1">
        <f>Table3[[#This Row],[Vsen]]/200.5</f>
        <v>1.1620947630922693</v>
      </c>
      <c r="E60" s="1">
        <v>-2.2999999999999998</v>
      </c>
      <c r="F60" s="1">
        <f>Table3[[#This Row],[Vr]]^2/120*1000</f>
        <v>44.083333333333329</v>
      </c>
      <c r="G60" s="1">
        <v>316</v>
      </c>
    </row>
    <row r="61" spans="1:29" x14ac:dyDescent="0.3">
      <c r="A61" s="1">
        <v>80</v>
      </c>
      <c r="B61" s="1">
        <v>20</v>
      </c>
      <c r="C61" s="1">
        <v>225</v>
      </c>
      <c r="D61" s="1">
        <f>Table3[[#This Row],[Vsen]]/200.5</f>
        <v>1.1221945137157108</v>
      </c>
      <c r="E61" s="1">
        <v>-3.4</v>
      </c>
      <c r="F61" s="1">
        <f>Table3[[#This Row],[Vr]]^2/120*1000</f>
        <v>96.333333333333329</v>
      </c>
      <c r="G61" s="1">
        <v>295</v>
      </c>
    </row>
    <row r="62" spans="1:29" x14ac:dyDescent="0.3">
      <c r="A62" s="1">
        <v>90</v>
      </c>
      <c r="B62" s="1">
        <v>20</v>
      </c>
      <c r="C62" s="1">
        <v>219</v>
      </c>
      <c r="D62" s="1">
        <f>Table3[[#This Row],[Vsen]]/200.5</f>
        <v>1.0922693266832917</v>
      </c>
      <c r="E62" s="1">
        <v>-3.93</v>
      </c>
      <c r="F62" s="1">
        <f>Table3[[#This Row],[Vr]]^2/120*1000</f>
        <v>128.70750000000001</v>
      </c>
      <c r="G62" s="1">
        <v>280</v>
      </c>
    </row>
    <row r="63" spans="1:29" x14ac:dyDescent="0.3">
      <c r="A63" s="1">
        <v>0</v>
      </c>
      <c r="B63" s="1">
        <v>25</v>
      </c>
      <c r="C63" s="1">
        <v>223</v>
      </c>
      <c r="D63" s="1">
        <f>Table3[[#This Row],[Vsen]]/200.5</f>
        <v>1.1122194513715711</v>
      </c>
      <c r="E63" s="1">
        <v>3.6</v>
      </c>
      <c r="F63" s="1">
        <f>Table3[[#This Row],[Vr]]^2/120*1000</f>
        <v>108.00000000000001</v>
      </c>
      <c r="G63" s="1">
        <v>290</v>
      </c>
    </row>
    <row r="64" spans="1:29" x14ac:dyDescent="0.3">
      <c r="A64" s="1">
        <v>10</v>
      </c>
      <c r="B64" s="1">
        <v>25</v>
      </c>
      <c r="C64" s="1">
        <v>229</v>
      </c>
      <c r="D64" s="1">
        <f>Table3[[#This Row],[Vsen]]/200.5</f>
        <v>1.1421446384039899</v>
      </c>
      <c r="E64" s="1">
        <v>3.22</v>
      </c>
      <c r="F64" s="1">
        <f>Table3[[#This Row],[Vr]]^2/120*1000</f>
        <v>86.40333333333335</v>
      </c>
      <c r="G64" s="1">
        <v>299</v>
      </c>
    </row>
    <row r="65" spans="1:7" x14ac:dyDescent="0.3">
      <c r="A65" s="1">
        <v>20</v>
      </c>
      <c r="B65" s="1">
        <v>25</v>
      </c>
      <c r="C65" s="1">
        <v>235</v>
      </c>
      <c r="D65" s="1">
        <f>Table3[[#This Row],[Vsen]]/200.5</f>
        <v>1.172069825436409</v>
      </c>
      <c r="E65" s="1">
        <v>2.41</v>
      </c>
      <c r="F65" s="1">
        <f>Table3[[#This Row],[Vr]]^2/120*1000</f>
        <v>48.400833333333338</v>
      </c>
      <c r="G65" s="1">
        <v>315</v>
      </c>
    </row>
    <row r="66" spans="1:7" x14ac:dyDescent="0.3">
      <c r="A66" s="1">
        <v>30</v>
      </c>
      <c r="B66" s="1">
        <v>25</v>
      </c>
      <c r="C66" s="1">
        <v>237</v>
      </c>
      <c r="D66" s="1">
        <f>Table3[[#This Row],[Vsen]]/200.5</f>
        <v>1.1820448877805487</v>
      </c>
      <c r="E66" s="1">
        <v>1.65</v>
      </c>
      <c r="F66" s="1">
        <f>Table3[[#This Row],[Vr]]^2/120*1000</f>
        <v>22.687499999999996</v>
      </c>
      <c r="G66" s="1">
        <v>324</v>
      </c>
    </row>
    <row r="67" spans="1:7" x14ac:dyDescent="0.3">
      <c r="A67" s="1">
        <v>40</v>
      </c>
      <c r="B67" s="1">
        <v>25</v>
      </c>
      <c r="C67" s="1">
        <v>237</v>
      </c>
      <c r="D67" s="1">
        <f>Table3[[#This Row],[Vsen]]/200.5</f>
        <v>1.1820448877805487</v>
      </c>
      <c r="E67" s="1">
        <v>0.46500000000000002</v>
      </c>
      <c r="F67" s="1">
        <f>Table3[[#This Row],[Vr]]^2/120*1000</f>
        <v>1.8018750000000003</v>
      </c>
      <c r="G67" s="1">
        <v>331</v>
      </c>
    </row>
    <row r="68" spans="1:7" x14ac:dyDescent="0.3">
      <c r="A68" s="1">
        <v>50</v>
      </c>
      <c r="B68" s="1">
        <v>25</v>
      </c>
      <c r="C68" s="1">
        <v>239</v>
      </c>
      <c r="D68" s="1">
        <f>Table3[[#This Row],[Vsen]]/200.5</f>
        <v>1.1920199501246882</v>
      </c>
      <c r="E68" s="1">
        <v>-0.9</v>
      </c>
      <c r="F68" s="1">
        <f>Table3[[#This Row],[Vr]]^2/120*1000</f>
        <v>6.7500000000000009</v>
      </c>
      <c r="G68" s="1">
        <v>329</v>
      </c>
    </row>
    <row r="69" spans="1:7" x14ac:dyDescent="0.3">
      <c r="A69" s="1">
        <v>60</v>
      </c>
      <c r="B69" s="1">
        <v>25</v>
      </c>
      <c r="C69" s="1">
        <v>233</v>
      </c>
      <c r="D69" s="1">
        <f>Table3[[#This Row],[Vsen]]/200.5</f>
        <v>1.1620947630922693</v>
      </c>
      <c r="E69" s="1">
        <v>-1.96</v>
      </c>
      <c r="F69" s="1">
        <f>Table3[[#This Row],[Vr]]^2/120*1000</f>
        <v>32.013333333333328</v>
      </c>
      <c r="G69" s="1">
        <v>321</v>
      </c>
    </row>
    <row r="70" spans="1:7" x14ac:dyDescent="0.3">
      <c r="A70" s="1">
        <v>70</v>
      </c>
      <c r="B70" s="1">
        <v>25</v>
      </c>
      <c r="C70" s="1">
        <v>228</v>
      </c>
      <c r="D70" s="1">
        <f>Table3[[#This Row],[Vsen]]/200.5</f>
        <v>1.1371571072319202</v>
      </c>
      <c r="E70" s="1">
        <v>-2.92</v>
      </c>
      <c r="F70" s="1">
        <f>Table3[[#This Row],[Vr]]^2/120*1000</f>
        <v>71.053333333333327</v>
      </c>
      <c r="G70" s="1">
        <v>305</v>
      </c>
    </row>
    <row r="71" spans="1:7" x14ac:dyDescent="0.3">
      <c r="A71" s="1">
        <v>80</v>
      </c>
      <c r="B71" s="1">
        <v>25</v>
      </c>
      <c r="C71" s="1">
        <v>223</v>
      </c>
      <c r="D71" s="1">
        <f>Table3[[#This Row],[Vsen]]/200.5</f>
        <v>1.1122194513715711</v>
      </c>
      <c r="E71" s="1">
        <v>-3.54</v>
      </c>
      <c r="F71" s="1">
        <f>Table3[[#This Row],[Vr]]^2/120*1000</f>
        <v>104.43</v>
      </c>
      <c r="G71" s="1">
        <v>292</v>
      </c>
    </row>
    <row r="72" spans="1:7" x14ac:dyDescent="0.3">
      <c r="A72" s="1">
        <v>90</v>
      </c>
      <c r="B72" s="1">
        <v>25</v>
      </c>
      <c r="C72" s="1">
        <v>219</v>
      </c>
      <c r="D72" s="1">
        <f>Table3[[#This Row],[Vsen]]/200.5</f>
        <v>1.0922693266832917</v>
      </c>
      <c r="E72" s="1">
        <v>-3.91</v>
      </c>
      <c r="F72" s="1">
        <f>Table3[[#This Row],[Vr]]^2/120*1000</f>
        <v>127.40083333333335</v>
      </c>
      <c r="G72" s="1">
        <v>283</v>
      </c>
    </row>
  </sheetData>
  <mergeCells count="9">
    <mergeCell ref="T11:AC11"/>
    <mergeCell ref="I55:N55"/>
    <mergeCell ref="I56:J56"/>
    <mergeCell ref="I57:J57"/>
    <mergeCell ref="I58:J58"/>
    <mergeCell ref="A1:F1"/>
    <mergeCell ref="H1:L1"/>
    <mergeCell ref="A11:G11"/>
    <mergeCell ref="I11:R11"/>
  </mergeCells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2021-06-29T16:02:29Z</dcterms:modified>
</cp:coreProperties>
</file>