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simo\Desktop\WallStreetPrep Supporting Files\DCF Modeling Course\Scratch DCFs\"/>
    </mc:Choice>
  </mc:AlternateContent>
  <xr:revisionPtr revIDLastSave="0" documentId="13_ncr:1_{9C297154-0BFC-4C77-B3FB-BAC1FD8B1838}" xr6:coauthVersionLast="47" xr6:coauthVersionMax="47" xr10:uidLastSave="{00000000-0000-0000-0000-000000000000}"/>
  <bookViews>
    <workbookView xWindow="-120" yWindow="-120" windowWidth="51840" windowHeight="21240" activeTab="1" xr2:uid="{8E2A3256-6198-42F4-B1A6-0467358CEAC5}"/>
  </bookViews>
  <sheets>
    <sheet name="Financials" sheetId="1" r:id="rId1"/>
    <sheet name="Simple DCF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85" i="2" l="1"/>
  <c r="T79" i="2"/>
  <c r="T73" i="2"/>
  <c r="X104" i="2"/>
  <c r="Y104" i="2"/>
  <c r="X105" i="2"/>
  <c r="X106" i="2" s="1"/>
  <c r="Y105" i="2"/>
  <c r="Y106" i="2" s="1"/>
  <c r="D114" i="2" l="1"/>
  <c r="D106" i="2"/>
  <c r="D94" i="2"/>
  <c r="J94" i="2"/>
  <c r="D105" i="2" l="1"/>
  <c r="D107" i="2" s="1"/>
  <c r="D112" i="2" s="1"/>
  <c r="P83" i="2"/>
  <c r="T80" i="2"/>
  <c r="Q80" i="2" s="1"/>
  <c r="R80" i="2" s="1"/>
  <c r="S80" i="2" s="1"/>
  <c r="T78" i="2"/>
  <c r="T74" i="2"/>
  <c r="T72" i="2"/>
  <c r="T71" i="2" s="1"/>
  <c r="P59" i="2"/>
  <c r="P57" i="2"/>
  <c r="P39" i="2"/>
  <c r="T39" i="2" s="1"/>
  <c r="T66" i="2" s="1"/>
  <c r="T25" i="2"/>
  <c r="S25" i="2"/>
  <c r="S79" i="2" s="1"/>
  <c r="R25" i="2"/>
  <c r="R79" i="2" s="1"/>
  <c r="Q25" i="2"/>
  <c r="Q79" i="2" s="1"/>
  <c r="P25" i="2"/>
  <c r="P79" i="2" s="1"/>
  <c r="P78" i="2" s="1"/>
  <c r="O25" i="2"/>
  <c r="T21" i="2"/>
  <c r="T22" i="2" s="1"/>
  <c r="S21" i="2"/>
  <c r="S22" i="2" s="1"/>
  <c r="S73" i="2" s="1"/>
  <c r="R21" i="2"/>
  <c r="R22" i="2" s="1"/>
  <c r="R73" i="2" s="1"/>
  <c r="Q21" i="2"/>
  <c r="Q22" i="2" s="1"/>
  <c r="Q73" i="2" s="1"/>
  <c r="P21" i="2"/>
  <c r="P22" i="2" s="1"/>
  <c r="P73" i="2" s="1"/>
  <c r="I20" i="1"/>
  <c r="H20" i="1"/>
  <c r="G20" i="1"/>
  <c r="F20" i="1"/>
  <c r="E20" i="1"/>
  <c r="D20" i="1"/>
  <c r="O32" i="2"/>
  <c r="P32" i="2" s="1"/>
  <c r="O27" i="2"/>
  <c r="O28" i="2" s="1"/>
  <c r="O22" i="2"/>
  <c r="O36" i="2"/>
  <c r="P36" i="2" s="1"/>
  <c r="Q36" i="2" s="1"/>
  <c r="R36" i="2" s="1"/>
  <c r="S36" i="2" s="1"/>
  <c r="T36" i="2" s="1"/>
  <c r="T65" i="2"/>
  <c r="S65" i="2"/>
  <c r="R65" i="2"/>
  <c r="Q65" i="2"/>
  <c r="P65" i="2"/>
  <c r="P64" i="2" s="1"/>
  <c r="O47" i="2"/>
  <c r="P47" i="2" s="1"/>
  <c r="Q47" i="2" s="1"/>
  <c r="R47" i="2" s="1"/>
  <c r="S47" i="2" s="1"/>
  <c r="T47" i="2" s="1"/>
  <c r="T10" i="2"/>
  <c r="T51" i="2" s="1"/>
  <c r="T52" i="2" s="1"/>
  <c r="S10" i="2"/>
  <c r="S51" i="2" s="1"/>
  <c r="S52" i="2" s="1"/>
  <c r="R10" i="2"/>
  <c r="R51" i="2" s="1"/>
  <c r="R52" i="2" s="1"/>
  <c r="Q10" i="2"/>
  <c r="Q51" i="2" s="1"/>
  <c r="Q52" i="2" s="1"/>
  <c r="P10" i="2"/>
  <c r="P51" i="2" s="1"/>
  <c r="P52" i="2" s="1"/>
  <c r="T15" i="2"/>
  <c r="T18" i="2" s="1"/>
  <c r="S15" i="2"/>
  <c r="R15" i="2"/>
  <c r="Q15" i="2"/>
  <c r="P15" i="2"/>
  <c r="P18" i="2" s="1"/>
  <c r="T13" i="2"/>
  <c r="T58" i="2" s="1"/>
  <c r="S13" i="2"/>
  <c r="S58" i="2" s="1"/>
  <c r="R13" i="2"/>
  <c r="R58" i="2" s="1"/>
  <c r="Q13" i="2"/>
  <c r="Q58" i="2" s="1"/>
  <c r="P13" i="2"/>
  <c r="P58" i="2" s="1"/>
  <c r="O13" i="2"/>
  <c r="O7" i="2"/>
  <c r="P7" i="2" s="1"/>
  <c r="Q7" i="2" s="1"/>
  <c r="R7" i="2" s="1"/>
  <c r="S7" i="2" s="1"/>
  <c r="T7" i="2" s="1"/>
  <c r="K5" i="2"/>
  <c r="I15" i="1"/>
  <c r="I18" i="1" s="1"/>
  <c r="H15" i="1"/>
  <c r="H18" i="1" s="1"/>
  <c r="G15" i="1"/>
  <c r="G18" i="1" s="1"/>
  <c r="F15" i="1"/>
  <c r="F18" i="1" s="1"/>
  <c r="E15" i="1"/>
  <c r="E18" i="1" s="1"/>
  <c r="D15" i="1"/>
  <c r="D18" i="1" s="1"/>
  <c r="I13" i="1"/>
  <c r="H13" i="1"/>
  <c r="G13" i="1"/>
  <c r="F13" i="1"/>
  <c r="E13" i="1"/>
  <c r="D13" i="1"/>
  <c r="I11" i="1"/>
  <c r="H11" i="1"/>
  <c r="G11" i="1"/>
  <c r="F11" i="1"/>
  <c r="E11" i="1"/>
  <c r="D10" i="1"/>
  <c r="D11" i="1" s="1"/>
  <c r="I9" i="1"/>
  <c r="H9" i="1"/>
  <c r="G9" i="1"/>
  <c r="F9" i="1"/>
  <c r="E9" i="1"/>
  <c r="E7" i="1"/>
  <c r="F7" i="1" s="1"/>
  <c r="G7" i="1" s="1"/>
  <c r="H7" i="1" s="1"/>
  <c r="I7" i="1" s="1"/>
  <c r="C7" i="1"/>
  <c r="Q78" i="2" l="1"/>
  <c r="P56" i="2"/>
  <c r="P74" i="2"/>
  <c r="Q74" i="2" s="1"/>
  <c r="R74" i="2" s="1"/>
  <c r="S74" i="2" s="1"/>
  <c r="P72" i="2"/>
  <c r="R78" i="2"/>
  <c r="L39" i="2"/>
  <c r="T64" i="2" s="1"/>
  <c r="Q64" i="2" s="1"/>
  <c r="R64" i="2" s="1"/>
  <c r="S64" i="2" s="1"/>
  <c r="S63" i="2" s="1"/>
  <c r="P50" i="2"/>
  <c r="P40" i="2"/>
  <c r="P66" i="2"/>
  <c r="Q66" i="2" s="1"/>
  <c r="R66" i="2" s="1"/>
  <c r="S66" i="2" s="1"/>
  <c r="P63" i="2"/>
  <c r="T50" i="2"/>
  <c r="Q50" i="2"/>
  <c r="S50" i="2"/>
  <c r="R50" i="2"/>
  <c r="P41" i="2"/>
  <c r="N7" i="2"/>
  <c r="P31" i="2"/>
  <c r="P27" i="2" s="1"/>
  <c r="P34" i="2" s="1"/>
  <c r="Q32" i="2"/>
  <c r="Q18" i="2"/>
  <c r="R18" i="2"/>
  <c r="S18" i="2"/>
  <c r="T63" i="2" l="1"/>
  <c r="R63" i="2"/>
  <c r="S78" i="2"/>
  <c r="P71" i="2"/>
  <c r="Q72" i="2"/>
  <c r="Q63" i="2"/>
  <c r="T41" i="2"/>
  <c r="T59" i="2" s="1"/>
  <c r="Q59" i="2" s="1"/>
  <c r="R59" i="2" s="1"/>
  <c r="S59" i="2" s="1"/>
  <c r="L41" i="2"/>
  <c r="T57" i="2" s="1"/>
  <c r="P49" i="2"/>
  <c r="P48" i="2" s="1"/>
  <c r="P28" i="2"/>
  <c r="P85" i="2" s="1"/>
  <c r="P29" i="2"/>
  <c r="R32" i="2"/>
  <c r="Q31" i="2"/>
  <c r="Q27" i="2" s="1"/>
  <c r="Q34" i="2" s="1"/>
  <c r="P55" i="2" l="1"/>
  <c r="P62" i="2" s="1"/>
  <c r="P68" i="2" s="1"/>
  <c r="P82" i="2"/>
  <c r="P70" i="2"/>
  <c r="Q71" i="2"/>
  <c r="R72" i="2"/>
  <c r="Q57" i="2"/>
  <c r="T56" i="2"/>
  <c r="Q49" i="2"/>
  <c r="Q48" i="2" s="1"/>
  <c r="Q28" i="2"/>
  <c r="Q85" i="2" s="1"/>
  <c r="Q29" i="2"/>
  <c r="S32" i="2"/>
  <c r="R31" i="2"/>
  <c r="R27" i="2" s="1"/>
  <c r="R34" i="2" s="1"/>
  <c r="Q70" i="2" l="1"/>
  <c r="R57" i="2"/>
  <c r="Q56" i="2"/>
  <c r="Q55" i="2" s="1"/>
  <c r="Q62" i="2" s="1"/>
  <c r="Q68" i="2" s="1"/>
  <c r="S72" i="2"/>
  <c r="S71" i="2" s="1"/>
  <c r="R71" i="2"/>
  <c r="R49" i="2"/>
  <c r="R48" i="2" s="1"/>
  <c r="R28" i="2"/>
  <c r="R85" i="2" s="1"/>
  <c r="R29" i="2"/>
  <c r="T32" i="2"/>
  <c r="T31" i="2" s="1"/>
  <c r="S31" i="2"/>
  <c r="S27" i="2" s="1"/>
  <c r="S34" i="2" s="1"/>
  <c r="R70" i="2" l="1"/>
  <c r="S57" i="2"/>
  <c r="S56" i="2" s="1"/>
  <c r="R56" i="2"/>
  <c r="R55" i="2" s="1"/>
  <c r="R62" i="2" s="1"/>
  <c r="R68" i="2" s="1"/>
  <c r="T49" i="2"/>
  <c r="T48" i="2" s="1"/>
  <c r="S49" i="2"/>
  <c r="S48" i="2" s="1"/>
  <c r="S28" i="2"/>
  <c r="S85" i="2" s="1"/>
  <c r="S29" i="2"/>
  <c r="T27" i="2"/>
  <c r="T34" i="2" s="1"/>
  <c r="S70" i="2" l="1"/>
  <c r="T55" i="2"/>
  <c r="T70" i="2"/>
  <c r="S55" i="2"/>
  <c r="S62" i="2" s="1"/>
  <c r="S68" i="2" s="1"/>
  <c r="T28" i="2"/>
  <c r="T29" i="2"/>
  <c r="T44" i="2" l="1"/>
  <c r="T86" i="2" s="1"/>
  <c r="L44" i="2"/>
  <c r="T84" i="2" s="1"/>
  <c r="T62" i="2"/>
  <c r="T68" i="2" s="1"/>
  <c r="J95" i="2"/>
  <c r="J96" i="2" s="1"/>
  <c r="J97" i="2" s="1"/>
  <c r="Q86" i="2"/>
  <c r="R86" i="2" s="1"/>
  <c r="S86" i="2" s="1"/>
  <c r="O15" i="2"/>
  <c r="O18" i="2" s="1"/>
  <c r="T83" i="2" l="1"/>
  <c r="T82" i="2" s="1"/>
  <c r="Q84" i="2"/>
  <c r="R84" i="2" l="1"/>
  <c r="Q83" i="2"/>
  <c r="Q82" i="2" s="1"/>
  <c r="S84" i="2" l="1"/>
  <c r="S83" i="2" s="1"/>
  <c r="S82" i="2" s="1"/>
  <c r="R83" i="2"/>
  <c r="R82" i="2" s="1"/>
  <c r="P77" i="2"/>
  <c r="P76" i="2" s="1"/>
  <c r="P88" i="2" s="1"/>
  <c r="Q77" i="2"/>
  <c r="Q76" i="2" s="1"/>
  <c r="Q88" i="2" s="1"/>
  <c r="R77" i="2"/>
  <c r="R76" i="2" s="1"/>
  <c r="S77" i="2"/>
  <c r="S76" i="2" s="1"/>
  <c r="T77" i="2"/>
  <c r="T76" i="2" s="1"/>
  <c r="T88" i="2" s="1"/>
  <c r="Q90" i="2" l="1"/>
  <c r="P90" i="2"/>
  <c r="D95" i="2"/>
  <c r="D96" i="2" s="1"/>
  <c r="D97" i="2" s="1"/>
  <c r="T90" i="2"/>
  <c r="R88" i="2"/>
  <c r="S88" i="2"/>
  <c r="S90" i="2" l="1"/>
  <c r="R90" i="2"/>
  <c r="D98" i="2" l="1"/>
  <c r="D99" i="2" s="1"/>
  <c r="J98" i="2"/>
  <c r="J99" i="2" s="1"/>
  <c r="J100" i="2" s="1"/>
  <c r="J101" i="2" s="1"/>
  <c r="D100" i="2" l="1"/>
  <c r="D101" i="2" s="1"/>
  <c r="D111" i="2"/>
  <c r="D113" i="2" s="1"/>
  <c r="D11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Massimo</author>
  </authors>
  <commentList>
    <comment ref="E5" authorId="0" shapeId="0" xr:uid="{55CF3F51-54FC-4BC4-8C31-AF7712E11C86}">
      <text>
        <r>
          <rPr>
            <b/>
            <sz val="9"/>
            <color indexed="81"/>
            <rFont val="Tahoma"/>
            <family val="2"/>
          </rPr>
          <t>Massimo:</t>
        </r>
        <r>
          <rPr>
            <sz val="9"/>
            <color indexed="81"/>
            <rFont val="Tahoma"/>
            <family val="2"/>
          </rPr>
          <t xml:space="preserve">
jpg from WSP course, don't know actual source</t>
        </r>
      </text>
    </comment>
    <comment ref="M8" authorId="0" shapeId="0" xr:uid="{0F56D5EB-8D16-4F68-9F60-EAA92909310E}">
      <text>
        <r>
          <rPr>
            <b/>
            <sz val="9"/>
            <color indexed="81"/>
            <rFont val="Tahoma"/>
            <family val="2"/>
          </rPr>
          <t>Massimo:</t>
        </r>
        <r>
          <rPr>
            <sz val="9"/>
            <color indexed="81"/>
            <rFont val="Tahoma"/>
            <family val="2"/>
          </rPr>
          <t xml:space="preserve">
WSO Simple DCF has growth % as an assumption, with revenues driven by assumption, here I have it the other way around, so there is some differenece between the models (same goes for the EBIT/EBITDA margins)
</t>
        </r>
      </text>
    </comment>
  </commentList>
</comments>
</file>

<file path=xl/sharedStrings.xml><?xml version="1.0" encoding="utf-8"?>
<sst xmlns="http://schemas.openxmlformats.org/spreadsheetml/2006/main" count="162" uniqueCount="83">
  <si>
    <t>Financials</t>
  </si>
  <si>
    <t>all $ and share amounts in millions, except per share data</t>
  </si>
  <si>
    <t>Historicals Source Doc:</t>
  </si>
  <si>
    <t>Apple 2019 10-K</t>
  </si>
  <si>
    <t>Projections Source:</t>
  </si>
  <si>
    <t>CapIQ</t>
  </si>
  <si>
    <t>Revenue</t>
  </si>
  <si>
    <t>Built off of Earnings Projections from 'Estimates Image'</t>
  </si>
  <si>
    <t xml:space="preserve">Growth </t>
  </si>
  <si>
    <t>EBITDA</t>
  </si>
  <si>
    <t>Margin</t>
  </si>
  <si>
    <t>EBIT</t>
  </si>
  <si>
    <t>Taxes</t>
  </si>
  <si>
    <t>Tax Rate</t>
  </si>
  <si>
    <t>EBIAT/NOPAT</t>
  </si>
  <si>
    <t>x</t>
  </si>
  <si>
    <t>Apple DCF</t>
  </si>
  <si>
    <t>Analysis Date</t>
  </si>
  <si>
    <t>Most Recent Fiscal Year End</t>
  </si>
  <si>
    <t>Fiscal Year 1 End</t>
  </si>
  <si>
    <t>Current Share Price</t>
  </si>
  <si>
    <t>all $ and share values in millions, except per share values</t>
  </si>
  <si>
    <t>% growth</t>
  </si>
  <si>
    <t>EBIAT</t>
  </si>
  <si>
    <t>% of revenue</t>
  </si>
  <si>
    <t>% of sales</t>
  </si>
  <si>
    <t>Assumptions</t>
  </si>
  <si>
    <t>Conservative Case</t>
  </si>
  <si>
    <t>Base Case</t>
  </si>
  <si>
    <t>Optimistic Case</t>
  </si>
  <si>
    <t>Income Statement</t>
  </si>
  <si>
    <t>Cash Flow Items</t>
  </si>
  <si>
    <t>DCF</t>
  </si>
  <si>
    <t>D&amp;A</t>
  </si>
  <si>
    <t>CapEx</t>
  </si>
  <si>
    <t>Change in NWC</t>
  </si>
  <si>
    <t xml:space="preserve">Net Working Capital </t>
  </si>
  <si>
    <t>% of change in revenue</t>
  </si>
  <si>
    <t>Unlevered Free Cash Flow</t>
  </si>
  <si>
    <t>Rev. Growth 2024</t>
  </si>
  <si>
    <t xml:space="preserve">% growth </t>
  </si>
  <si>
    <t>% of EBIT/ Tax Rate</t>
  </si>
  <si>
    <t>Switches</t>
  </si>
  <si>
    <t>Valuation Assumptions</t>
  </si>
  <si>
    <t>WACC</t>
  </si>
  <si>
    <t xml:space="preserve">EBIT </t>
  </si>
  <si>
    <t>Taxes 2024</t>
  </si>
  <si>
    <t>N/A</t>
  </si>
  <si>
    <t>EBIT 2020</t>
  </si>
  <si>
    <t>EBIT 2024</t>
  </si>
  <si>
    <t>NWC</t>
  </si>
  <si>
    <t xml:space="preserve"> </t>
  </si>
  <si>
    <t>D&amp;A 2024</t>
  </si>
  <si>
    <t>CapEx 2024</t>
  </si>
  <si>
    <t>Free Cash Flow</t>
  </si>
  <si>
    <t>Terminal Value</t>
  </si>
  <si>
    <t>Perpetual Growth Method</t>
  </si>
  <si>
    <t>Exit Multiple Method</t>
  </si>
  <si>
    <t>2025 Cash Flow</t>
  </si>
  <si>
    <t>Present Value</t>
  </si>
  <si>
    <t>PV of Cash Flows</t>
  </si>
  <si>
    <t>PV of TV</t>
  </si>
  <si>
    <t>Enterprise Value</t>
  </si>
  <si>
    <t>TV as % of EV</t>
  </si>
  <si>
    <t>CFs as % of EV</t>
  </si>
  <si>
    <t>Exit Multiple</t>
  </si>
  <si>
    <t>2024 EBITDA</t>
  </si>
  <si>
    <t xml:space="preserve">Exit Multiple </t>
  </si>
  <si>
    <t>PGR</t>
  </si>
  <si>
    <t>Net Debt</t>
  </si>
  <si>
    <t>Gross Debt</t>
  </si>
  <si>
    <t>Cash &amp; Equivalents</t>
  </si>
  <si>
    <t>10-K</t>
  </si>
  <si>
    <t>10-Q</t>
  </si>
  <si>
    <t>Source Doc:</t>
  </si>
  <si>
    <t>NWC 2024</t>
  </si>
  <si>
    <t>Shares Outstanding</t>
  </si>
  <si>
    <t xml:space="preserve">Method </t>
  </si>
  <si>
    <t>PGM</t>
  </si>
  <si>
    <t>EMM</t>
  </si>
  <si>
    <t>EV</t>
  </si>
  <si>
    <t>Implied Eq. Val</t>
  </si>
  <si>
    <t>Implied Share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</si>
</sst>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3" formatCode="_(* #,##0.00_);_(* \(#,##0.00\);_(* &quot;-&quot;??_);_(@_)"/>
    <numFmt numFmtId="164" formatCode="0.0%"/>
    <numFmt numFmtId="165" formatCode="_([$$-409]* #,##0.00_);_([$$-409]* \(#,##0.00\);_([$$-409]* &quot;-&quot;??_);_(@_)"/>
    <numFmt numFmtId="166" formatCode="0.0\x_);\(0.0\x\);@_)"/>
    <numFmt numFmtId="168" formatCode="0.0%_);\(0.0%\);0.0%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00FF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00FF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7030A0"/>
      <name val="Calibri"/>
      <family val="2"/>
      <scheme val="minor"/>
    </font>
    <font>
      <i/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465926084170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6337778862885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5">
    <xf numFmtId="0" fontId="0" fillId="0" borderId="0" xfId="0"/>
    <xf numFmtId="0" fontId="3" fillId="0" borderId="1" xfId="0" applyFont="1" applyBorder="1" applyAlignment="1">
      <alignment horizontal="centerContinuous"/>
    </xf>
    <xf numFmtId="0" fontId="0" fillId="0" borderId="1" xfId="0" applyBorder="1" applyAlignment="1">
      <alignment horizontal="centerContinuous"/>
    </xf>
    <xf numFmtId="0" fontId="4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14" fontId="3" fillId="0" borderId="0" xfId="0" applyNumberFormat="1" applyFont="1"/>
    <xf numFmtId="14" fontId="3" fillId="0" borderId="2" xfId="0" applyNumberFormat="1" applyFont="1" applyBorder="1"/>
    <xf numFmtId="0" fontId="3" fillId="0" borderId="0" xfId="0" applyFont="1"/>
    <xf numFmtId="37" fontId="5" fillId="0" borderId="3" xfId="0" applyNumberFormat="1" applyFont="1" applyBorder="1"/>
    <xf numFmtId="37" fontId="5" fillId="0" borderId="0" xfId="0" applyNumberFormat="1" applyFont="1"/>
    <xf numFmtId="0" fontId="6" fillId="0" borderId="0" xfId="0" applyFont="1" applyAlignment="1">
      <alignment horizontal="left" indent="1"/>
    </xf>
    <xf numFmtId="0" fontId="6" fillId="0" borderId="0" xfId="0" applyFont="1"/>
    <xf numFmtId="0" fontId="6" fillId="0" borderId="3" xfId="0" applyFont="1" applyBorder="1"/>
    <xf numFmtId="164" fontId="6" fillId="0" borderId="0" xfId="0" applyNumberFormat="1" applyFont="1"/>
    <xf numFmtId="164" fontId="6" fillId="0" borderId="3" xfId="0" applyNumberFormat="1" applyFont="1" applyBorder="1"/>
    <xf numFmtId="0" fontId="0" fillId="0" borderId="0" xfId="0" applyAlignment="1">
      <alignment horizontal="left" indent="1"/>
    </xf>
    <xf numFmtId="0" fontId="0" fillId="0" borderId="3" xfId="0" applyBorder="1"/>
    <xf numFmtId="0" fontId="3" fillId="0" borderId="0" xfId="0" applyFont="1" applyAlignment="1">
      <alignment horizontal="left"/>
    </xf>
    <xf numFmtId="37" fontId="0" fillId="0" borderId="3" xfId="0" applyNumberFormat="1" applyBorder="1"/>
    <xf numFmtId="37" fontId="0" fillId="0" borderId="0" xfId="0" applyNumberFormat="1"/>
    <xf numFmtId="164" fontId="7" fillId="0" borderId="3" xfId="0" applyNumberFormat="1" applyFont="1" applyBorder="1"/>
    <xf numFmtId="37" fontId="0" fillId="0" borderId="4" xfId="0" applyNumberFormat="1" applyBorder="1"/>
    <xf numFmtId="37" fontId="3" fillId="0" borderId="0" xfId="0" applyNumberFormat="1" applyFont="1"/>
    <xf numFmtId="0" fontId="0" fillId="2" borderId="0" xfId="0" applyFill="1"/>
    <xf numFmtId="0" fontId="2" fillId="2" borderId="0" xfId="0" applyFont="1" applyFill="1"/>
    <xf numFmtId="14" fontId="0" fillId="3" borderId="5" xfId="0" applyNumberFormat="1" applyFill="1" applyBorder="1"/>
    <xf numFmtId="14" fontId="0" fillId="3" borderId="6" xfId="0" applyNumberFormat="1" applyFill="1" applyBorder="1"/>
    <xf numFmtId="0" fontId="0" fillId="0" borderId="0" xfId="0" applyBorder="1"/>
    <xf numFmtId="165" fontId="0" fillId="3" borderId="5" xfId="0" applyNumberFormat="1" applyFill="1" applyBorder="1"/>
    <xf numFmtId="14" fontId="2" fillId="2" borderId="0" xfId="0" applyNumberFormat="1" applyFont="1" applyFill="1"/>
    <xf numFmtId="164" fontId="6" fillId="0" borderId="0" xfId="2" applyNumberFormat="1" applyFont="1"/>
    <xf numFmtId="3" fontId="3" fillId="0" borderId="0" xfId="0" applyNumberFormat="1" applyFont="1"/>
    <xf numFmtId="3" fontId="10" fillId="0" borderId="0" xfId="0" applyNumberFormat="1" applyFont="1"/>
    <xf numFmtId="37" fontId="10" fillId="0" borderId="0" xfId="0" applyNumberFormat="1" applyFont="1"/>
    <xf numFmtId="37" fontId="11" fillId="0" borderId="0" xfId="0" applyNumberFormat="1" applyFont="1"/>
    <xf numFmtId="164" fontId="7" fillId="0" borderId="0" xfId="0" applyNumberFormat="1" applyFont="1"/>
    <xf numFmtId="164" fontId="12" fillId="3" borderId="5" xfId="0" applyNumberFormat="1" applyFont="1" applyFill="1" applyBorder="1"/>
    <xf numFmtId="0" fontId="3" fillId="0" borderId="1" xfId="0" applyFont="1" applyBorder="1"/>
    <xf numFmtId="0" fontId="0" fillId="0" borderId="1" xfId="0" applyBorder="1"/>
    <xf numFmtId="0" fontId="3" fillId="4" borderId="0" xfId="0" applyFont="1" applyFill="1"/>
    <xf numFmtId="0" fontId="0" fillId="4" borderId="0" xfId="0" applyFont="1" applyFill="1"/>
    <xf numFmtId="3" fontId="3" fillId="4" borderId="0" xfId="0" applyNumberFormat="1" applyFont="1" applyFill="1"/>
    <xf numFmtId="164" fontId="13" fillId="0" borderId="0" xfId="0" applyNumberFormat="1" applyFont="1"/>
    <xf numFmtId="3" fontId="14" fillId="0" borderId="0" xfId="0" applyNumberFormat="1" applyFont="1"/>
    <xf numFmtId="43" fontId="6" fillId="0" borderId="0" xfId="1" applyFont="1"/>
    <xf numFmtId="37" fontId="15" fillId="0" borderId="0" xfId="0" applyNumberFormat="1" applyFont="1"/>
    <xf numFmtId="164" fontId="16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Border="1" applyAlignment="1">
      <alignment horizontal="centerContinuous"/>
    </xf>
    <xf numFmtId="0" fontId="0" fillId="0" borderId="0" xfId="0" applyBorder="1" applyAlignment="1"/>
    <xf numFmtId="0" fontId="3" fillId="0" borderId="0" xfId="0" applyFont="1" applyBorder="1" applyAlignment="1">
      <alignment horizontal="centerContinuous"/>
    </xf>
    <xf numFmtId="0" fontId="0" fillId="3" borderId="5" xfId="0" applyFill="1" applyBorder="1"/>
    <xf numFmtId="164" fontId="0" fillId="3" borderId="5" xfId="0" applyNumberFormat="1" applyFill="1" applyBorder="1"/>
    <xf numFmtId="9" fontId="0" fillId="3" borderId="5" xfId="2" applyFont="1" applyFill="1" applyBorder="1"/>
    <xf numFmtId="164" fontId="0" fillId="3" borderId="5" xfId="2" applyNumberFormat="1" applyFont="1" applyFill="1" applyBorder="1"/>
    <xf numFmtId="164" fontId="12" fillId="0" borderId="0" xfId="2" applyNumberFormat="1" applyFont="1"/>
    <xf numFmtId="164" fontId="17" fillId="0" borderId="0" xfId="2" applyNumberFormat="1" applyFont="1"/>
    <xf numFmtId="164" fontId="18" fillId="3" borderId="5" xfId="2" applyNumberFormat="1" applyFont="1" applyFill="1" applyBorder="1"/>
    <xf numFmtId="164" fontId="18" fillId="3" borderId="5" xfId="0" applyNumberFormat="1" applyFont="1" applyFill="1" applyBorder="1"/>
    <xf numFmtId="8" fontId="0" fillId="0" borderId="0" xfId="0" applyNumberFormat="1"/>
    <xf numFmtId="2" fontId="3" fillId="0" borderId="7" xfId="0" applyNumberFormat="1" applyFont="1" applyBorder="1" applyAlignment="1">
      <alignment horizontal="centerContinuous"/>
    </xf>
    <xf numFmtId="2" fontId="0" fillId="0" borderId="7" xfId="0" applyNumberFormat="1" applyBorder="1" applyAlignment="1">
      <alignment horizontal="centerContinuous"/>
    </xf>
    <xf numFmtId="166" fontId="0" fillId="0" borderId="0" xfId="0" applyNumberFormat="1"/>
    <xf numFmtId="166" fontId="0" fillId="3" borderId="5" xfId="0" applyNumberFormat="1" applyFill="1" applyBorder="1"/>
    <xf numFmtId="164" fontId="0" fillId="0" borderId="0" xfId="0" applyNumberFormat="1"/>
    <xf numFmtId="0" fontId="0" fillId="4" borderId="0" xfId="0" applyFill="1"/>
    <xf numFmtId="37" fontId="3" fillId="4" borderId="0" xfId="0" applyNumberFormat="1" applyFont="1" applyFill="1"/>
    <xf numFmtId="0" fontId="0" fillId="3" borderId="5" xfId="2" applyNumberFormat="1" applyFont="1" applyFill="1" applyBorder="1"/>
    <xf numFmtId="165" fontId="0" fillId="4" borderId="0" xfId="0" applyNumberFormat="1" applyFont="1" applyFill="1"/>
    <xf numFmtId="0" fontId="3" fillId="4" borderId="0" xfId="0" applyNumberFormat="1" applyFont="1" applyFill="1"/>
    <xf numFmtId="168" fontId="12" fillId="0" borderId="0" xfId="2" applyNumberFormat="1" applyFont="1"/>
    <xf numFmtId="168" fontId="0" fillId="3" borderId="5" xfId="2" applyNumberFormat="1" applyFont="1" applyFill="1" applyBorder="1"/>
    <xf numFmtId="168" fontId="18" fillId="3" borderId="5" xfId="2" applyNumberFormat="1" applyFont="1" applyFill="1" applyBorder="1"/>
    <xf numFmtId="168" fontId="12" fillId="3" borderId="5" xfId="0" applyNumberFormat="1" applyFont="1" applyFill="1" applyBorder="1"/>
    <xf numFmtId="168" fontId="13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F6ABB-4E18-4100-859C-557D02F07CD1}">
  <dimension ref="B2:M20"/>
  <sheetViews>
    <sheetView workbookViewId="0">
      <selection activeCell="E20" sqref="E20"/>
    </sheetView>
  </sheetViews>
  <sheetFormatPr defaultRowHeight="15" x14ac:dyDescent="0.25"/>
  <cols>
    <col min="1" max="1" width="3.7109375" customWidth="1"/>
    <col min="2" max="11" width="10.7109375" customWidth="1"/>
  </cols>
  <sheetData>
    <row r="2" spans="2:13" x14ac:dyDescent="0.25">
      <c r="B2" s="1" t="s">
        <v>0</v>
      </c>
      <c r="C2" s="1"/>
      <c r="D2" s="2"/>
      <c r="E2" s="2"/>
      <c r="F2" s="2"/>
      <c r="G2" s="2"/>
      <c r="H2" s="2"/>
      <c r="I2" s="2"/>
      <c r="J2" s="2"/>
      <c r="K2" s="2"/>
    </row>
    <row r="3" spans="2:13" x14ac:dyDescent="0.25">
      <c r="B3" s="3" t="s">
        <v>1</v>
      </c>
      <c r="C3" s="4"/>
      <c r="D3" s="4"/>
      <c r="E3" s="4"/>
      <c r="F3" s="4"/>
      <c r="G3" s="4"/>
      <c r="H3" s="4"/>
      <c r="I3" s="4"/>
      <c r="J3" s="4"/>
      <c r="K3" s="4"/>
    </row>
    <row r="4" spans="2:13" x14ac:dyDescent="0.25">
      <c r="B4" t="s">
        <v>2</v>
      </c>
      <c r="E4" s="7" t="s">
        <v>3</v>
      </c>
    </row>
    <row r="5" spans="2:13" x14ac:dyDescent="0.25">
      <c r="B5" t="s">
        <v>4</v>
      </c>
      <c r="E5" s="7" t="s">
        <v>5</v>
      </c>
    </row>
    <row r="7" spans="2:13" x14ac:dyDescent="0.25">
      <c r="C7" s="5">
        <f>EOMONTH(D7,-12)</f>
        <v>43373</v>
      </c>
      <c r="D7" s="6">
        <v>43736</v>
      </c>
      <c r="E7" s="5">
        <f>EOMONTH(D7,12)</f>
        <v>44104</v>
      </c>
      <c r="F7" s="5">
        <f t="shared" ref="F7:I7" si="0">EOMONTH(E7,12)</f>
        <v>44469</v>
      </c>
      <c r="G7" s="5">
        <f t="shared" si="0"/>
        <v>44834</v>
      </c>
      <c r="H7" s="5">
        <f t="shared" si="0"/>
        <v>45199</v>
      </c>
      <c r="I7" s="5">
        <f t="shared" si="0"/>
        <v>45565</v>
      </c>
    </row>
    <row r="8" spans="2:13" x14ac:dyDescent="0.25">
      <c r="B8" s="7" t="s">
        <v>6</v>
      </c>
      <c r="D8" s="8">
        <v>260174</v>
      </c>
      <c r="E8" s="9">
        <v>280608.71999999997</v>
      </c>
      <c r="F8" s="9">
        <v>307725.03000000003</v>
      </c>
      <c r="G8" s="9">
        <v>324775.53999999998</v>
      </c>
      <c r="H8" s="9">
        <v>344498</v>
      </c>
      <c r="I8" s="9">
        <v>361757</v>
      </c>
      <c r="M8" t="s">
        <v>7</v>
      </c>
    </row>
    <row r="9" spans="2:13" x14ac:dyDescent="0.25">
      <c r="B9" s="10" t="s">
        <v>8</v>
      </c>
      <c r="C9" s="11"/>
      <c r="D9" s="12"/>
      <c r="E9" s="13">
        <f>E8/D8-1</f>
        <v>7.8542513856111551E-2</v>
      </c>
      <c r="F9" s="13">
        <f t="shared" ref="F9:I9" si="1">F8/E8-1</f>
        <v>9.6633882225755752E-2</v>
      </c>
      <c r="G9" s="13">
        <f t="shared" si="1"/>
        <v>5.5408264969540877E-2</v>
      </c>
      <c r="H9" s="13">
        <f t="shared" si="1"/>
        <v>6.0726432784932172E-2</v>
      </c>
      <c r="I9" s="13">
        <f t="shared" si="1"/>
        <v>5.0098984609489694E-2</v>
      </c>
    </row>
    <row r="10" spans="2:13" x14ac:dyDescent="0.25">
      <c r="B10" s="7" t="s">
        <v>9</v>
      </c>
      <c r="D10" s="8">
        <f>D12+12547</f>
        <v>76477</v>
      </c>
      <c r="E10" s="9">
        <v>81332.039999999994</v>
      </c>
      <c r="F10" s="9">
        <v>89333.2</v>
      </c>
      <c r="G10" s="9">
        <v>92753.42</v>
      </c>
      <c r="H10" s="9">
        <v>97457.67</v>
      </c>
      <c r="I10" s="9">
        <v>102010</v>
      </c>
    </row>
    <row r="11" spans="2:13" x14ac:dyDescent="0.25">
      <c r="B11" s="10" t="s">
        <v>10</v>
      </c>
      <c r="C11" s="11"/>
      <c r="D11" s="14">
        <f>D10/D8</f>
        <v>0.29394559025882677</v>
      </c>
      <c r="E11" s="13">
        <f t="shared" ref="E11:I11" si="2">E10/E8</f>
        <v>0.28984145610300349</v>
      </c>
      <c r="F11" s="13">
        <f t="shared" si="2"/>
        <v>0.29030202710517239</v>
      </c>
      <c r="G11" s="13">
        <f t="shared" si="2"/>
        <v>0.28559238174155605</v>
      </c>
      <c r="H11" s="13">
        <f t="shared" si="2"/>
        <v>0.28289763656102501</v>
      </c>
      <c r="I11" s="13">
        <f t="shared" si="2"/>
        <v>0.28198486829556857</v>
      </c>
    </row>
    <row r="12" spans="2:13" x14ac:dyDescent="0.25">
      <c r="B12" s="7" t="s">
        <v>11</v>
      </c>
      <c r="D12" s="8">
        <v>63930</v>
      </c>
      <c r="E12" s="9">
        <v>69021.94</v>
      </c>
      <c r="F12" s="9">
        <v>76942.86</v>
      </c>
      <c r="G12" s="9">
        <v>81247.67</v>
      </c>
      <c r="H12" s="9">
        <v>87866</v>
      </c>
      <c r="I12" s="9">
        <v>91059.5</v>
      </c>
    </row>
    <row r="13" spans="2:13" x14ac:dyDescent="0.25">
      <c r="B13" s="10" t="s">
        <v>10</v>
      </c>
      <c r="C13" s="11"/>
      <c r="D13" s="14">
        <f>D12/D8</f>
        <v>0.24572017188496928</v>
      </c>
      <c r="E13" s="13">
        <f t="shared" ref="E13:I13" si="3">E12/E8</f>
        <v>0.24597218504114915</v>
      </c>
      <c r="F13" s="13">
        <f t="shared" si="3"/>
        <v>0.25003770411526161</v>
      </c>
      <c r="G13" s="13">
        <f t="shared" si="3"/>
        <v>0.25016560668331123</v>
      </c>
      <c r="H13" s="13">
        <f t="shared" si="3"/>
        <v>0.25505518174270969</v>
      </c>
      <c r="I13" s="13">
        <f t="shared" si="3"/>
        <v>0.25171454871640353</v>
      </c>
    </row>
    <row r="14" spans="2:13" x14ac:dyDescent="0.25">
      <c r="B14" s="15"/>
      <c r="D14" s="16"/>
    </row>
    <row r="15" spans="2:13" x14ac:dyDescent="0.25">
      <c r="B15" s="17" t="s">
        <v>12</v>
      </c>
      <c r="D15" s="18">
        <f>-D16*D12</f>
        <v>-10192.894868947473</v>
      </c>
      <c r="E15" s="19">
        <f t="shared" ref="E15:I15" si="4">-E16*E12</f>
        <v>-12127.154858</v>
      </c>
      <c r="F15" s="19">
        <f t="shared" si="4"/>
        <v>-12780.209046</v>
      </c>
      <c r="G15" s="19">
        <f t="shared" si="4"/>
        <v>-13543.986588999998</v>
      </c>
      <c r="H15" s="19">
        <f t="shared" si="4"/>
        <v>-15156.884999999998</v>
      </c>
      <c r="I15" s="19">
        <f t="shared" si="4"/>
        <v>-15707.763749999998</v>
      </c>
    </row>
    <row r="16" spans="2:13" x14ac:dyDescent="0.25">
      <c r="B16" s="10" t="s">
        <v>13</v>
      </c>
      <c r="C16" s="11"/>
      <c r="D16" s="20">
        <v>0.15943836804235059</v>
      </c>
      <c r="E16" s="20">
        <v>0.1757</v>
      </c>
      <c r="F16" s="20">
        <v>0.1661</v>
      </c>
      <c r="G16" s="20">
        <v>0.16669999999999999</v>
      </c>
      <c r="H16" s="20">
        <v>0.17249999999999999</v>
      </c>
      <c r="I16" s="20">
        <v>0.17249999999999999</v>
      </c>
    </row>
    <row r="17" spans="2:9" x14ac:dyDescent="0.25">
      <c r="D17" s="16"/>
    </row>
    <row r="18" spans="2:9" x14ac:dyDescent="0.25">
      <c r="B18" s="17" t="s">
        <v>14</v>
      </c>
      <c r="D18" s="21">
        <f>SUM(D15,D12)</f>
        <v>53737.105131052529</v>
      </c>
      <c r="E18" s="22">
        <f t="shared" ref="E18:I18" si="5">SUM(E15,E12)</f>
        <v>56894.785142000001</v>
      </c>
      <c r="F18" s="22">
        <f t="shared" si="5"/>
        <v>64162.650953999997</v>
      </c>
      <c r="G18" s="22">
        <f t="shared" si="5"/>
        <v>67703.683411000005</v>
      </c>
      <c r="H18" s="22">
        <f t="shared" si="5"/>
        <v>72709.115000000005</v>
      </c>
      <c r="I18" s="22">
        <f t="shared" si="5"/>
        <v>75351.736250000002</v>
      </c>
    </row>
    <row r="20" spans="2:9" x14ac:dyDescent="0.25">
      <c r="B20" s="7" t="s">
        <v>33</v>
      </c>
      <c r="D20" s="19">
        <f>D10-D12</f>
        <v>12547</v>
      </c>
      <c r="E20" s="19">
        <f t="shared" ref="E20:I20" si="6">E10-E12</f>
        <v>12310.099999999991</v>
      </c>
      <c r="F20" s="19">
        <f t="shared" si="6"/>
        <v>12390.339999999997</v>
      </c>
      <c r="G20" s="19">
        <f t="shared" si="6"/>
        <v>11505.75</v>
      </c>
      <c r="H20" s="19">
        <f t="shared" si="6"/>
        <v>9591.6699999999983</v>
      </c>
      <c r="I20" s="19">
        <f t="shared" si="6"/>
        <v>10950.5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EDF85-CAA1-49F5-BC02-56B55B386884}">
  <dimension ref="A1:Y115"/>
  <sheetViews>
    <sheetView showGridLines="0" tabSelected="1" topLeftCell="A41" zoomScale="80" zoomScaleNormal="80" workbookViewId="0">
      <selection activeCell="AX53" sqref="AX53"/>
    </sheetView>
  </sheetViews>
  <sheetFormatPr defaultRowHeight="15" x14ac:dyDescent="0.25"/>
  <cols>
    <col min="1" max="1" width="3.7109375" customWidth="1"/>
    <col min="4" max="4" width="10.7109375" customWidth="1"/>
    <col min="5" max="5" width="11.85546875" bestFit="1" customWidth="1"/>
    <col min="9" max="9" width="9.7109375" customWidth="1"/>
    <col min="10" max="11" width="10.5703125" bestFit="1" customWidth="1"/>
    <col min="12" max="15" width="9.7109375" customWidth="1"/>
    <col min="16" max="16" width="10.85546875" bestFit="1" customWidth="1"/>
    <col min="17" max="20" width="9.7109375" customWidth="1"/>
    <col min="24" max="25" width="9.85546875" bestFit="1" customWidth="1"/>
  </cols>
  <sheetData>
    <row r="1" spans="1:20" x14ac:dyDescent="0.25">
      <c r="B1" s="24" t="s">
        <v>16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</row>
    <row r="2" spans="1:20" x14ac:dyDescent="0.25">
      <c r="B2" s="11" t="s">
        <v>21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spans="1:20" x14ac:dyDescent="0.25">
      <c r="N3" s="27"/>
    </row>
    <row r="4" spans="1:20" x14ac:dyDescent="0.25">
      <c r="B4" t="s">
        <v>17</v>
      </c>
      <c r="E4" s="25">
        <v>43893</v>
      </c>
      <c r="G4" t="s">
        <v>18</v>
      </c>
      <c r="K4" s="25">
        <v>43736</v>
      </c>
    </row>
    <row r="5" spans="1:20" x14ac:dyDescent="0.25">
      <c r="B5" t="s">
        <v>20</v>
      </c>
      <c r="E5" s="28">
        <v>284.58999999999997</v>
      </c>
      <c r="G5" t="s">
        <v>19</v>
      </c>
      <c r="K5" s="26">
        <f>EOMONTH(K4,12)</f>
        <v>44104</v>
      </c>
    </row>
    <row r="6" spans="1:20" x14ac:dyDescent="0.25">
      <c r="J6" s="27"/>
    </row>
    <row r="7" spans="1:20" x14ac:dyDescent="0.25">
      <c r="A7" t="s">
        <v>15</v>
      </c>
      <c r="B7" s="24" t="s">
        <v>0</v>
      </c>
      <c r="C7" s="23"/>
      <c r="D7" s="23"/>
      <c r="E7" s="23"/>
      <c r="F7" s="23"/>
      <c r="G7" s="23"/>
      <c r="H7" s="23"/>
      <c r="I7" s="23"/>
      <c r="J7" s="29"/>
      <c r="K7" s="29"/>
      <c r="L7" s="29"/>
      <c r="M7" s="29"/>
      <c r="N7" s="29">
        <f>EOMONTH(O7,-12)</f>
        <v>43373</v>
      </c>
      <c r="O7" s="29">
        <f>$K$4</f>
        <v>43736</v>
      </c>
      <c r="P7" s="29">
        <f>EOMONTH(O7,12)</f>
        <v>44104</v>
      </c>
      <c r="Q7" s="29">
        <f t="shared" ref="Q7:T7" si="0">EOMONTH(P7,12)</f>
        <v>44469</v>
      </c>
      <c r="R7" s="29">
        <f t="shared" si="0"/>
        <v>44834</v>
      </c>
      <c r="S7" s="29">
        <f t="shared" si="0"/>
        <v>45199</v>
      </c>
      <c r="T7" s="29">
        <f t="shared" si="0"/>
        <v>45565</v>
      </c>
    </row>
    <row r="8" spans="1:20" x14ac:dyDescent="0.25">
      <c r="B8" s="37" t="s">
        <v>30</v>
      </c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</row>
    <row r="9" spans="1:20" x14ac:dyDescent="0.25">
      <c r="B9" s="7" t="s">
        <v>6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32"/>
      <c r="O9" s="32">
        <v>260174</v>
      </c>
      <c r="P9" s="32">
        <v>280608.71999999997</v>
      </c>
      <c r="Q9" s="32">
        <v>307725.03000000003</v>
      </c>
      <c r="R9" s="32">
        <v>324775.53999999998</v>
      </c>
      <c r="S9" s="32">
        <v>344498</v>
      </c>
      <c r="T9" s="32">
        <v>361757</v>
      </c>
    </row>
    <row r="10" spans="1:20" x14ac:dyDescent="0.25">
      <c r="B10" s="11" t="s">
        <v>22</v>
      </c>
      <c r="N10" s="13"/>
      <c r="O10" s="13"/>
      <c r="P10" s="13">
        <f t="shared" ref="P10:T10" si="1">P9/O9-1</f>
        <v>7.8542513856111551E-2</v>
      </c>
      <c r="Q10" s="13">
        <f t="shared" si="1"/>
        <v>9.6633882225755752E-2</v>
      </c>
      <c r="R10" s="13">
        <f t="shared" si="1"/>
        <v>5.5408264969540877E-2</v>
      </c>
      <c r="S10" s="13">
        <f t="shared" si="1"/>
        <v>6.0726432784932172E-2</v>
      </c>
      <c r="T10" s="13">
        <f t="shared" si="1"/>
        <v>5.0098984609489694E-2</v>
      </c>
    </row>
    <row r="11" spans="1:20" x14ac:dyDescent="0.25">
      <c r="B11" s="11"/>
      <c r="N11" s="13"/>
      <c r="O11" s="13"/>
      <c r="P11" s="13"/>
      <c r="Q11" s="13"/>
      <c r="R11" s="13"/>
      <c r="S11" s="13"/>
      <c r="T11" s="13"/>
    </row>
    <row r="12" spans="1:20" x14ac:dyDescent="0.25">
      <c r="B12" s="7" t="s">
        <v>11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32"/>
      <c r="O12" s="32">
        <v>63930</v>
      </c>
      <c r="P12" s="32">
        <v>69021.94</v>
      </c>
      <c r="Q12" s="32">
        <v>76942.86</v>
      </c>
      <c r="R12" s="32">
        <v>81247.67</v>
      </c>
      <c r="S12" s="32">
        <v>87866</v>
      </c>
      <c r="T12" s="32">
        <v>91059.5</v>
      </c>
    </row>
    <row r="13" spans="1:20" x14ac:dyDescent="0.25">
      <c r="B13" s="11" t="s">
        <v>25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30"/>
      <c r="O13" s="30">
        <f t="shared" ref="O13:T13" si="2">O12/O$9</f>
        <v>0.24572017188496928</v>
      </c>
      <c r="P13" s="13">
        <f t="shared" si="2"/>
        <v>0.24597218504114915</v>
      </c>
      <c r="Q13" s="13">
        <f t="shared" si="2"/>
        <v>0.25003770411526161</v>
      </c>
      <c r="R13" s="13">
        <f t="shared" si="2"/>
        <v>0.25016560668331123</v>
      </c>
      <c r="S13" s="13">
        <f t="shared" si="2"/>
        <v>0.25505518174270969</v>
      </c>
      <c r="T13" s="13">
        <f t="shared" si="2"/>
        <v>0.25171454871640353</v>
      </c>
    </row>
    <row r="14" spans="1:20" x14ac:dyDescent="0.25"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30"/>
      <c r="O14" s="30"/>
      <c r="P14" s="13"/>
      <c r="Q14" s="13"/>
      <c r="R14" s="13"/>
      <c r="S14" s="13"/>
      <c r="T14" s="13"/>
    </row>
    <row r="15" spans="1:20" x14ac:dyDescent="0.25">
      <c r="B15" s="7" t="s">
        <v>12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34"/>
      <c r="O15" s="34">
        <f t="shared" ref="O15:T15" si="3">O16*-O12</f>
        <v>-10190.441999999999</v>
      </c>
      <c r="P15" s="22">
        <f t="shared" si="3"/>
        <v>-10870.955550000001</v>
      </c>
      <c r="Q15" s="22">
        <f t="shared" si="3"/>
        <v>-12780.209046</v>
      </c>
      <c r="R15" s="22">
        <f t="shared" si="3"/>
        <v>-13543.986588999998</v>
      </c>
      <c r="S15" s="22">
        <f t="shared" si="3"/>
        <v>-15156.884999999998</v>
      </c>
      <c r="T15" s="22">
        <f t="shared" si="3"/>
        <v>-15707.763749999998</v>
      </c>
    </row>
    <row r="16" spans="1:20" x14ac:dyDescent="0.25">
      <c r="B16" s="11" t="s">
        <v>13</v>
      </c>
      <c r="N16" s="35"/>
      <c r="O16" s="35">
        <v>0.15939999999999999</v>
      </c>
      <c r="P16" s="35">
        <v>0.1575</v>
      </c>
      <c r="Q16" s="35">
        <v>0.1661</v>
      </c>
      <c r="R16" s="35">
        <v>0.16669999999999999</v>
      </c>
      <c r="S16" s="35">
        <v>0.17249999999999999</v>
      </c>
      <c r="T16" s="35">
        <v>0.17249999999999999</v>
      </c>
    </row>
    <row r="18" spans="1:20" x14ac:dyDescent="0.25">
      <c r="A18" t="s">
        <v>15</v>
      </c>
      <c r="B18" s="39" t="s">
        <v>23</v>
      </c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1">
        <f t="shared" ref="O18:T18" si="4">O12+O15</f>
        <v>53739.558000000005</v>
      </c>
      <c r="P18" s="41">
        <f t="shared" si="4"/>
        <v>58150.984450000004</v>
      </c>
      <c r="Q18" s="41">
        <f t="shared" si="4"/>
        <v>64162.650953999997</v>
      </c>
      <c r="R18" s="41">
        <f t="shared" si="4"/>
        <v>67703.683411000005</v>
      </c>
      <c r="S18" s="41">
        <f t="shared" si="4"/>
        <v>72709.115000000005</v>
      </c>
      <c r="T18" s="41">
        <f t="shared" si="4"/>
        <v>75351.736250000002</v>
      </c>
    </row>
    <row r="20" spans="1:20" x14ac:dyDescent="0.25">
      <c r="B20" s="37" t="s">
        <v>31</v>
      </c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</row>
    <row r="21" spans="1:20" x14ac:dyDescent="0.25">
      <c r="B21" s="7" t="s">
        <v>33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32"/>
      <c r="O21" s="32">
        <v>12547</v>
      </c>
      <c r="P21" s="43">
        <f>Financials!E20</f>
        <v>12310.099999999991</v>
      </c>
      <c r="Q21" s="43">
        <f>Financials!F20</f>
        <v>12390.339999999997</v>
      </c>
      <c r="R21" s="43">
        <f>Financials!G20</f>
        <v>11505.75</v>
      </c>
      <c r="S21" s="43">
        <f>Financials!H20</f>
        <v>9591.6699999999983</v>
      </c>
      <c r="T21" s="43">
        <f>Financials!I20</f>
        <v>10950.5</v>
      </c>
    </row>
    <row r="22" spans="1:20" x14ac:dyDescent="0.25">
      <c r="B22" s="11" t="s">
        <v>24</v>
      </c>
      <c r="N22" s="13"/>
      <c r="O22" s="13">
        <f>O21/O$9</f>
        <v>4.8225418373857493E-2</v>
      </c>
      <c r="P22" s="13">
        <f t="shared" ref="P22:T22" si="5">P21/P$9</f>
        <v>4.3869271061854356E-2</v>
      </c>
      <c r="Q22" s="13">
        <f t="shared" si="5"/>
        <v>4.0264322989910818E-2</v>
      </c>
      <c r="R22" s="13">
        <f t="shared" si="5"/>
        <v>3.5426775058244847E-2</v>
      </c>
      <c r="S22" s="13">
        <f t="shared" si="5"/>
        <v>2.7842454818315342E-2</v>
      </c>
      <c r="T22" s="13">
        <f t="shared" si="5"/>
        <v>3.0270319579165018E-2</v>
      </c>
    </row>
    <row r="23" spans="1:20" x14ac:dyDescent="0.25">
      <c r="B23" s="11"/>
      <c r="N23" s="13"/>
      <c r="O23" s="13"/>
      <c r="P23" s="13"/>
      <c r="Q23" s="13"/>
      <c r="R23" s="13"/>
      <c r="S23" s="13"/>
      <c r="T23" s="13"/>
    </row>
    <row r="24" spans="1:20" x14ac:dyDescent="0.25">
      <c r="B24" s="7" t="s">
        <v>34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32"/>
      <c r="O24" s="32">
        <v>-10495</v>
      </c>
      <c r="P24" s="32">
        <v>-11185.71</v>
      </c>
      <c r="Q24" s="32">
        <v>-12704.56</v>
      </c>
      <c r="R24" s="32">
        <v>-13853.6</v>
      </c>
      <c r="S24" s="32">
        <v>-12831</v>
      </c>
      <c r="T24" s="32">
        <v>-13170</v>
      </c>
    </row>
    <row r="25" spans="1:20" x14ac:dyDescent="0.25">
      <c r="B25" s="11" t="s">
        <v>24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44"/>
      <c r="O25" s="30">
        <f t="shared" ref="O25:T25" si="6">(O24/O$9)*-1</f>
        <v>4.033838892433525E-2</v>
      </c>
      <c r="P25" s="30">
        <f t="shared" si="6"/>
        <v>3.9862303637606129E-2</v>
      </c>
      <c r="Q25" s="30">
        <f t="shared" si="6"/>
        <v>4.1285429397797113E-2</v>
      </c>
      <c r="R25" s="30">
        <f t="shared" si="6"/>
        <v>4.2655921686713234E-2</v>
      </c>
      <c r="S25" s="30">
        <f t="shared" si="6"/>
        <v>3.7245499248181414E-2</v>
      </c>
      <c r="T25" s="30">
        <f t="shared" si="6"/>
        <v>3.6405653518798528E-2</v>
      </c>
    </row>
    <row r="26" spans="1:20" x14ac:dyDescent="0.25"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30"/>
      <c r="O26" s="30"/>
      <c r="P26" s="13"/>
      <c r="Q26" s="13"/>
      <c r="R26" s="13"/>
      <c r="S26" s="13"/>
      <c r="T26" s="13"/>
    </row>
    <row r="27" spans="1:20" x14ac:dyDescent="0.25">
      <c r="B27" s="7" t="s">
        <v>35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34"/>
      <c r="O27" s="45">
        <f>O31-N31</f>
        <v>2927</v>
      </c>
      <c r="P27" s="45">
        <f t="shared" ref="P27:T27" si="7">P31-O31</f>
        <v>-2137.6130571079339</v>
      </c>
      <c r="Q27" s="45">
        <f t="shared" si="7"/>
        <v>-2836.5535870609747</v>
      </c>
      <c r="R27" s="45">
        <f t="shared" si="7"/>
        <v>-1783.6012828337916</v>
      </c>
      <c r="S27" s="45">
        <f t="shared" si="7"/>
        <v>-2063.1057344700093</v>
      </c>
      <c r="T27" s="45">
        <f t="shared" si="7"/>
        <v>-1805.4107789402478</v>
      </c>
    </row>
    <row r="28" spans="1:20" x14ac:dyDescent="0.25">
      <c r="B28" s="11" t="s">
        <v>24</v>
      </c>
      <c r="N28" s="35"/>
      <c r="O28" s="42">
        <f t="shared" ref="O28" si="8">O27/O$9</f>
        <v>1.125016335221813E-2</v>
      </c>
      <c r="P28" s="74">
        <f t="shared" ref="P28" si="9">P27/P$9</f>
        <v>-7.6177713119818021E-3</v>
      </c>
      <c r="Q28" s="74">
        <f t="shared" ref="Q28" si="10">Q27/Q$9</f>
        <v>-9.2178188659563197E-3</v>
      </c>
      <c r="R28" s="74">
        <f t="shared" ref="R28" si="11">R27/R$9</f>
        <v>-5.4917968355430698E-3</v>
      </c>
      <c r="S28" s="74">
        <f t="shared" ref="S28" si="12">S27/S$9</f>
        <v>-5.9887306587266377E-3</v>
      </c>
      <c r="T28" s="74">
        <f t="shared" ref="T28" si="13">T27/T$9</f>
        <v>-4.9906726861961145E-3</v>
      </c>
    </row>
    <row r="29" spans="1:20" x14ac:dyDescent="0.25">
      <c r="B29" s="11" t="s">
        <v>37</v>
      </c>
      <c r="N29" s="35"/>
      <c r="O29" s="42"/>
      <c r="P29" s="74">
        <f t="shared" ref="P29:T29" si="14">P27/(P9-O9)</f>
        <v>-0.10460691690945297</v>
      </c>
      <c r="Q29" s="74">
        <f t="shared" si="14"/>
        <v>-0.10460691690945298</v>
      </c>
      <c r="R29" s="74">
        <f t="shared" si="14"/>
        <v>-0.10460691690945295</v>
      </c>
      <c r="S29" s="74">
        <f t="shared" si="14"/>
        <v>-0.10460691690945284</v>
      </c>
      <c r="T29" s="74">
        <f t="shared" si="14"/>
        <v>-0.10460691690945291</v>
      </c>
    </row>
    <row r="31" spans="1:20" x14ac:dyDescent="0.25">
      <c r="B31" s="7" t="s">
        <v>36</v>
      </c>
      <c r="N31" s="33">
        <v>-30143</v>
      </c>
      <c r="O31" s="33">
        <v>-27216</v>
      </c>
      <c r="P31" s="22">
        <f>P32*P9</f>
        <v>-29353.613057107934</v>
      </c>
      <c r="Q31" s="22">
        <f t="shared" ref="Q31:T31" si="15">Q32*Q9</f>
        <v>-32190.166644168909</v>
      </c>
      <c r="R31" s="22">
        <f t="shared" si="15"/>
        <v>-33973.7679270027</v>
      </c>
      <c r="S31" s="22">
        <f t="shared" si="15"/>
        <v>-36036.87366147271</v>
      </c>
      <c r="T31" s="22">
        <f t="shared" si="15"/>
        <v>-37842.284440412957</v>
      </c>
    </row>
    <row r="32" spans="1:20" x14ac:dyDescent="0.25">
      <c r="B32" s="11" t="s">
        <v>24</v>
      </c>
      <c r="N32" s="35"/>
      <c r="O32" s="42">
        <f t="shared" ref="O32" si="16">O31/O$9</f>
        <v>-0.10460691690945291</v>
      </c>
      <c r="P32" s="46">
        <f>O32</f>
        <v>-0.10460691690945291</v>
      </c>
      <c r="Q32" s="46">
        <f t="shared" ref="Q32:T32" si="17">P32</f>
        <v>-0.10460691690945291</v>
      </c>
      <c r="R32" s="46">
        <f t="shared" si="17"/>
        <v>-0.10460691690945291</v>
      </c>
      <c r="S32" s="46">
        <f t="shared" si="17"/>
        <v>-0.10460691690945291</v>
      </c>
      <c r="T32" s="46">
        <f t="shared" si="17"/>
        <v>-0.10460691690945291</v>
      </c>
    </row>
    <row r="33" spans="1:23" x14ac:dyDescent="0.25">
      <c r="B33" s="11"/>
      <c r="W33" t="s">
        <v>51</v>
      </c>
    </row>
    <row r="34" spans="1:23" x14ac:dyDescent="0.25">
      <c r="B34" s="39" t="s">
        <v>38</v>
      </c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1"/>
      <c r="P34" s="41">
        <f t="shared" ref="P34:T34" si="18">P18+P21+P24-P27</f>
        <v>61412.98750710793</v>
      </c>
      <c r="Q34" s="41">
        <f t="shared" si="18"/>
        <v>66684.984541060971</v>
      </c>
      <c r="R34" s="41">
        <f t="shared" si="18"/>
        <v>67139.434693833799</v>
      </c>
      <c r="S34" s="41">
        <f t="shared" si="18"/>
        <v>71532.890734470013</v>
      </c>
      <c r="T34" s="41">
        <f t="shared" si="18"/>
        <v>74937.64702894025</v>
      </c>
    </row>
    <row r="35" spans="1:23" x14ac:dyDescent="0.25">
      <c r="B35" s="7"/>
      <c r="O35" s="31"/>
      <c r="P35" s="31"/>
      <c r="Q35" s="31"/>
      <c r="R35" s="31"/>
      <c r="S35" s="31"/>
      <c r="T35" s="31"/>
    </row>
    <row r="36" spans="1:23" x14ac:dyDescent="0.25">
      <c r="A36" t="s">
        <v>15</v>
      </c>
      <c r="B36" s="24" t="s">
        <v>26</v>
      </c>
      <c r="C36" s="23"/>
      <c r="D36" s="23"/>
      <c r="E36" s="23"/>
      <c r="F36" s="23"/>
      <c r="G36" s="23"/>
      <c r="H36" s="23"/>
      <c r="I36" s="23"/>
      <c r="J36" s="29"/>
      <c r="K36" s="29"/>
      <c r="L36" s="29"/>
      <c r="M36" s="29"/>
      <c r="N36" s="29"/>
      <c r="O36" s="29">
        <f>$K$4</f>
        <v>43736</v>
      </c>
      <c r="P36" s="29">
        <f>EOMONTH(O36,12)</f>
        <v>44104</v>
      </c>
      <c r="Q36" s="29">
        <f t="shared" ref="Q36:T36" si="19">EOMONTH(P36,12)</f>
        <v>44469</v>
      </c>
      <c r="R36" s="29">
        <f t="shared" si="19"/>
        <v>44834</v>
      </c>
      <c r="S36" s="29">
        <f t="shared" si="19"/>
        <v>45199</v>
      </c>
      <c r="T36" s="29">
        <f t="shared" si="19"/>
        <v>45565</v>
      </c>
    </row>
    <row r="37" spans="1:23" x14ac:dyDescent="0.25">
      <c r="B37" s="50" t="s">
        <v>42</v>
      </c>
      <c r="C37" s="48"/>
      <c r="D37" s="48"/>
      <c r="E37" s="49"/>
      <c r="F37" s="50" t="s">
        <v>43</v>
      </c>
      <c r="G37" s="48"/>
      <c r="H37" s="48"/>
      <c r="J37" s="50" t="s">
        <v>27</v>
      </c>
      <c r="K37" s="48"/>
      <c r="L37" s="48"/>
      <c r="N37" s="50" t="s">
        <v>28</v>
      </c>
      <c r="O37" s="48"/>
      <c r="P37" s="48"/>
      <c r="R37" s="50" t="s">
        <v>29</v>
      </c>
      <c r="S37" s="48"/>
      <c r="T37" s="48"/>
    </row>
    <row r="38" spans="1:23" x14ac:dyDescent="0.25">
      <c r="B38" t="s">
        <v>6</v>
      </c>
      <c r="D38" s="51">
        <v>1</v>
      </c>
      <c r="F38" s="27" t="s">
        <v>44</v>
      </c>
      <c r="H38" s="54">
        <v>7.4999999999999997E-2</v>
      </c>
      <c r="J38" t="s">
        <v>39</v>
      </c>
      <c r="L38" s="53" t="s">
        <v>47</v>
      </c>
      <c r="N38" t="s">
        <v>39</v>
      </c>
      <c r="P38" s="53" t="s">
        <v>47</v>
      </c>
      <c r="R38" t="s">
        <v>39</v>
      </c>
      <c r="T38" s="53" t="s">
        <v>47</v>
      </c>
    </row>
    <row r="39" spans="1:23" x14ac:dyDescent="0.25">
      <c r="B39" t="s">
        <v>45</v>
      </c>
      <c r="D39" s="51">
        <v>1</v>
      </c>
      <c r="F39" t="s">
        <v>68</v>
      </c>
      <c r="H39" s="54">
        <v>2.5000000000000001E-2</v>
      </c>
      <c r="J39" t="s">
        <v>46</v>
      </c>
      <c r="L39" s="54">
        <f>P39+0.03</f>
        <v>0.20249999999999999</v>
      </c>
      <c r="N39" t="s">
        <v>46</v>
      </c>
      <c r="P39" s="36">
        <f>T16</f>
        <v>0.17249999999999999</v>
      </c>
      <c r="R39" t="s">
        <v>46</v>
      </c>
      <c r="T39" s="54">
        <f>P39-0.02</f>
        <v>0.1525</v>
      </c>
    </row>
    <row r="40" spans="1:23" x14ac:dyDescent="0.25">
      <c r="B40" t="s">
        <v>12</v>
      </c>
      <c r="D40" s="51">
        <v>1</v>
      </c>
      <c r="F40" t="s">
        <v>67</v>
      </c>
      <c r="H40" s="63">
        <v>12.5</v>
      </c>
      <c r="J40" t="s">
        <v>48</v>
      </c>
      <c r="L40" s="54">
        <v>0.24</v>
      </c>
      <c r="N40" t="s">
        <v>48</v>
      </c>
      <c r="P40" s="52">
        <f>P58</f>
        <v>0.24597218504114915</v>
      </c>
      <c r="R40" t="s">
        <v>48</v>
      </c>
      <c r="T40" s="54">
        <v>0.25</v>
      </c>
    </row>
    <row r="41" spans="1:23" x14ac:dyDescent="0.25">
      <c r="B41" t="s">
        <v>33</v>
      </c>
      <c r="D41" s="51">
        <v>1</v>
      </c>
      <c r="J41" t="s">
        <v>49</v>
      </c>
      <c r="L41" s="54">
        <f>P41-0.01</f>
        <v>0.24171454871640352</v>
      </c>
      <c r="N41" t="s">
        <v>49</v>
      </c>
      <c r="P41" s="52">
        <f>T58</f>
        <v>0.25171454871640353</v>
      </c>
      <c r="R41" t="s">
        <v>49</v>
      </c>
      <c r="T41" s="54">
        <f>P41+0.015</f>
        <v>0.26671454871640354</v>
      </c>
    </row>
    <row r="42" spans="1:23" x14ac:dyDescent="0.25">
      <c r="B42" t="s">
        <v>34</v>
      </c>
      <c r="D42" s="51">
        <v>1</v>
      </c>
      <c r="J42" t="s">
        <v>52</v>
      </c>
      <c r="L42" s="54">
        <v>2.5000000000000001E-2</v>
      </c>
      <c r="N42" t="s">
        <v>33</v>
      </c>
      <c r="P42" s="54">
        <v>3.0270319579165018E-2</v>
      </c>
      <c r="R42" t="s">
        <v>52</v>
      </c>
      <c r="T42" s="54">
        <v>0.04</v>
      </c>
    </row>
    <row r="43" spans="1:23" x14ac:dyDescent="0.25">
      <c r="B43" t="s">
        <v>35</v>
      </c>
      <c r="D43" s="51">
        <v>1</v>
      </c>
      <c r="H43" s="67"/>
      <c r="J43" t="s">
        <v>53</v>
      </c>
      <c r="L43" s="54">
        <v>4.4999999999999998E-2</v>
      </c>
      <c r="N43" t="s">
        <v>34</v>
      </c>
      <c r="P43" s="54">
        <v>3.6405653518798528E-2</v>
      </c>
      <c r="R43" t="s">
        <v>53</v>
      </c>
      <c r="T43" s="54">
        <v>0.03</v>
      </c>
    </row>
    <row r="44" spans="1:23" x14ac:dyDescent="0.25">
      <c r="J44" t="s">
        <v>75</v>
      </c>
      <c r="L44" s="54">
        <f>T85+0.006</f>
        <v>1.0093273138038856E-3</v>
      </c>
      <c r="N44" t="s">
        <v>50</v>
      </c>
      <c r="P44" s="71">
        <v>-4.9906726861961145E-3</v>
      </c>
      <c r="R44" t="s">
        <v>75</v>
      </c>
      <c r="T44" s="71">
        <f>T85-0.002</f>
        <v>-6.9906726861961145E-3</v>
      </c>
    </row>
    <row r="46" spans="1:23" x14ac:dyDescent="0.25">
      <c r="P46" s="7">
        <v>1</v>
      </c>
      <c r="Q46" s="7">
        <v>2</v>
      </c>
      <c r="R46" s="7">
        <v>3</v>
      </c>
      <c r="S46" s="7">
        <v>4</v>
      </c>
      <c r="T46" s="7">
        <v>5</v>
      </c>
    </row>
    <row r="47" spans="1:23" x14ac:dyDescent="0.25">
      <c r="A47" t="s">
        <v>15</v>
      </c>
      <c r="B47" s="24" t="s">
        <v>32</v>
      </c>
      <c r="C47" s="23"/>
      <c r="D47" s="23"/>
      <c r="E47" s="23"/>
      <c r="F47" s="23"/>
      <c r="G47" s="23"/>
      <c r="H47" s="23"/>
      <c r="I47" s="23"/>
      <c r="J47" s="29"/>
      <c r="K47" s="29"/>
      <c r="L47" s="29"/>
      <c r="M47" s="29"/>
      <c r="N47" s="29"/>
      <c r="O47" s="29">
        <f>$K$4</f>
        <v>43736</v>
      </c>
      <c r="P47" s="29">
        <f>EOMONTH(O47,12)</f>
        <v>44104</v>
      </c>
      <c r="Q47" s="29">
        <f t="shared" ref="Q47:T47" si="20">EOMONTH(P47,12)</f>
        <v>44469</v>
      </c>
      <c r="R47" s="29">
        <f t="shared" si="20"/>
        <v>44834</v>
      </c>
      <c r="S47" s="29">
        <f t="shared" si="20"/>
        <v>45199</v>
      </c>
      <c r="T47" s="29">
        <f t="shared" si="20"/>
        <v>45565</v>
      </c>
    </row>
    <row r="48" spans="1:23" x14ac:dyDescent="0.25">
      <c r="B48" s="7" t="s">
        <v>6</v>
      </c>
      <c r="P48" s="19">
        <f ca="1">O9*(1+P49)</f>
        <v>275405.24</v>
      </c>
      <c r="Q48" s="19">
        <f ca="1">P9*(1+Q49)</f>
        <v>302112.85560000001</v>
      </c>
      <c r="R48" s="19">
        <f ca="1">Q9*(1+R49)</f>
        <v>318621.03939999995</v>
      </c>
      <c r="S48" s="19">
        <f ca="1">R9*(1+S49)</f>
        <v>338002.48920000001</v>
      </c>
      <c r="T48" s="19">
        <f ca="1">S9*(1+T49)</f>
        <v>354867.04</v>
      </c>
    </row>
    <row r="49" spans="2:20" x14ac:dyDescent="0.25">
      <c r="B49" s="11" t="s">
        <v>40</v>
      </c>
      <c r="P49" s="55">
        <f ca="1">OFFSET(P$49,$D$38,0)</f>
        <v>5.8542513856111547E-2</v>
      </c>
      <c r="Q49" s="55">
        <f ca="1">OFFSET(Q$49,$D$38,0)</f>
        <v>7.6633882225755748E-2</v>
      </c>
      <c r="R49" s="55">
        <f ca="1">OFFSET(R$49,$D$38,0)</f>
        <v>3.5408264969540873E-2</v>
      </c>
      <c r="S49" s="55">
        <f ca="1">OFFSET(S$49,$D$38,0)</f>
        <v>4.0726432784932168E-2</v>
      </c>
      <c r="T49" s="55">
        <f ca="1">OFFSET(T$49,$D$38,0)</f>
        <v>3.0098984609489694E-2</v>
      </c>
    </row>
    <row r="50" spans="2:20" x14ac:dyDescent="0.25">
      <c r="B50" s="47" t="s">
        <v>27</v>
      </c>
      <c r="P50" s="54">
        <f>P51-0.02</f>
        <v>5.8542513856111547E-2</v>
      </c>
      <c r="Q50" s="54">
        <f t="shared" ref="Q50:T50" si="21">Q51-0.02</f>
        <v>7.6633882225755748E-2</v>
      </c>
      <c r="R50" s="54">
        <f t="shared" si="21"/>
        <v>3.5408264969540873E-2</v>
      </c>
      <c r="S50" s="54">
        <f t="shared" si="21"/>
        <v>4.0726432784932168E-2</v>
      </c>
      <c r="T50" s="54">
        <f t="shared" si="21"/>
        <v>3.0098984609489694E-2</v>
      </c>
    </row>
    <row r="51" spans="2:20" x14ac:dyDescent="0.25">
      <c r="B51" s="47" t="s">
        <v>28</v>
      </c>
      <c r="P51" s="36">
        <f>P10</f>
        <v>7.8542513856111551E-2</v>
      </c>
      <c r="Q51" s="36">
        <f>Q10</f>
        <v>9.6633882225755752E-2</v>
      </c>
      <c r="R51" s="36">
        <f>R10</f>
        <v>5.5408264969540877E-2</v>
      </c>
      <c r="S51" s="36">
        <f>S10</f>
        <v>6.0726432784932172E-2</v>
      </c>
      <c r="T51" s="36">
        <f>T10</f>
        <v>5.0098984609489694E-2</v>
      </c>
    </row>
    <row r="52" spans="2:20" x14ac:dyDescent="0.25">
      <c r="B52" s="47" t="s">
        <v>29</v>
      </c>
      <c r="P52" s="54">
        <f>P51+0.02</f>
        <v>9.8542513856111555E-2</v>
      </c>
      <c r="Q52" s="54">
        <f t="shared" ref="Q52:T52" si="22">Q51+0.02</f>
        <v>0.11663388222575576</v>
      </c>
      <c r="R52" s="54">
        <f t="shared" si="22"/>
        <v>7.5408264969540881E-2</v>
      </c>
      <c r="S52" s="54">
        <f t="shared" si="22"/>
        <v>8.0726432784932176E-2</v>
      </c>
      <c r="T52" s="54">
        <f t="shared" si="22"/>
        <v>7.0098984609489698E-2</v>
      </c>
    </row>
    <row r="55" spans="2:20" x14ac:dyDescent="0.25">
      <c r="B55" s="7" t="s">
        <v>11</v>
      </c>
      <c r="P55" s="19">
        <f ca="1">P56*P48</f>
        <v>66097.257599999997</v>
      </c>
      <c r="Q55" s="19">
        <f t="shared" ref="Q55:T55" ca="1" si="23">Q56*Q48</f>
        <v>72636.582146194502</v>
      </c>
      <c r="R55" s="19">
        <f t="shared" ca="1" si="23"/>
        <v>76742.195103061196</v>
      </c>
      <c r="S55" s="19">
        <f t="shared" ca="1" si="23"/>
        <v>81555.238708499295</v>
      </c>
      <c r="T55" s="19">
        <f t="shared" ca="1" si="23"/>
        <v>85776.526427925914</v>
      </c>
    </row>
    <row r="56" spans="2:20" x14ac:dyDescent="0.25">
      <c r="B56" s="11" t="s">
        <v>25</v>
      </c>
      <c r="P56" s="55">
        <f ca="1">OFFSET(P$56,$D$39,0)</f>
        <v>0.24</v>
      </c>
      <c r="Q56" s="55">
        <f ca="1">OFFSET(Q$56,$D$39,0)</f>
        <v>0.24042863717910087</v>
      </c>
      <c r="R56" s="55">
        <f ca="1">OFFSET(R$56,$D$39,0)</f>
        <v>0.24085727435820176</v>
      </c>
      <c r="S56" s="55">
        <f ca="1">OFFSET(S$56,$D$39,0)</f>
        <v>0.24128591153730264</v>
      </c>
      <c r="T56" s="55">
        <f ca="1">OFFSET(T$56,$D$39,0)</f>
        <v>0.24171454871640352</v>
      </c>
    </row>
    <row r="57" spans="2:20" x14ac:dyDescent="0.25">
      <c r="B57" s="47" t="s">
        <v>27</v>
      </c>
      <c r="P57" s="54">
        <f>L40</f>
        <v>0.24</v>
      </c>
      <c r="Q57" s="57">
        <f>P57-(($P57-$T57)/($T$46-$P$46))</f>
        <v>0.24042863717910087</v>
      </c>
      <c r="R57" s="57">
        <f>Q57-(($P57-$T57)/($T$46-$P$46))</f>
        <v>0.24085727435820176</v>
      </c>
      <c r="S57" s="57">
        <f>R57-(($P57-$T57)/($T$46-$P$46))</f>
        <v>0.24128591153730264</v>
      </c>
      <c r="T57" s="54">
        <f>L41</f>
        <v>0.24171454871640352</v>
      </c>
    </row>
    <row r="58" spans="2:20" x14ac:dyDescent="0.25">
      <c r="B58" s="47" t="s">
        <v>28</v>
      </c>
      <c r="P58" s="36">
        <f>P13</f>
        <v>0.24597218504114915</v>
      </c>
      <c r="Q58" s="36">
        <f>Q13</f>
        <v>0.25003770411526161</v>
      </c>
      <c r="R58" s="36">
        <f>R13</f>
        <v>0.25016560668331123</v>
      </c>
      <c r="S58" s="36">
        <f>S13</f>
        <v>0.25505518174270969</v>
      </c>
      <c r="T58" s="36">
        <f>T13</f>
        <v>0.25171454871640353</v>
      </c>
    </row>
    <row r="59" spans="2:20" x14ac:dyDescent="0.25">
      <c r="B59" s="47" t="s">
        <v>29</v>
      </c>
      <c r="P59" s="54">
        <f>T40</f>
        <v>0.25</v>
      </c>
      <c r="Q59" s="57">
        <f>P59-(($P59-$T59)/($T$46-$P$46))</f>
        <v>0.25417863717910089</v>
      </c>
      <c r="R59" s="57">
        <f>Q59-(($P59-$T59)/($T$46-$P$46))</f>
        <v>0.25835727435820177</v>
      </c>
      <c r="S59" s="57">
        <f>R59-(($P59-$T59)/($T$46-$P$46))</f>
        <v>0.26253591153730266</v>
      </c>
      <c r="T59" s="52">
        <f>T41</f>
        <v>0.26671454871640354</v>
      </c>
    </row>
    <row r="62" spans="2:20" x14ac:dyDescent="0.25">
      <c r="B62" s="7" t="s">
        <v>12</v>
      </c>
      <c r="P62" s="19">
        <f ca="1">P63*-P55</f>
        <v>-10410.318072</v>
      </c>
      <c r="Q62" s="19">
        <f t="shared" ref="Q62:T62" ca="1" si="24">Q63*-Q55</f>
        <v>-12257.423237170324</v>
      </c>
      <c r="R62" s="19">
        <f t="shared" ca="1" si="24"/>
        <v>-13813.595118551015</v>
      </c>
      <c r="S62" s="19">
        <f t="shared" ca="1" si="24"/>
        <v>-15597.439403000488</v>
      </c>
      <c r="T62" s="19">
        <f t="shared" ca="1" si="24"/>
        <v>-17369.746601654995</v>
      </c>
    </row>
    <row r="63" spans="2:20" x14ac:dyDescent="0.25">
      <c r="B63" s="11" t="s">
        <v>41</v>
      </c>
      <c r="P63" s="56">
        <f ca="1">OFFSET(P$63,$D$40,0)</f>
        <v>0.1575</v>
      </c>
      <c r="Q63" s="56">
        <f ca="1">OFFSET(Q$63,$D$40,0)</f>
        <v>0.16875000000000001</v>
      </c>
      <c r="R63" s="56">
        <f ca="1">OFFSET(R$63,$D$40,0)</f>
        <v>0.18</v>
      </c>
      <c r="S63" s="56">
        <f ca="1">OFFSET(S$63,$D$40,0)</f>
        <v>0.19124999999999998</v>
      </c>
      <c r="T63" s="56">
        <f ca="1">OFFSET(T$63,$D$40,0)</f>
        <v>0.20249999999999999</v>
      </c>
    </row>
    <row r="64" spans="2:20" x14ac:dyDescent="0.25">
      <c r="B64" s="47" t="s">
        <v>27</v>
      </c>
      <c r="P64" s="52">
        <f>P65</f>
        <v>0.1575</v>
      </c>
      <c r="Q64" s="57">
        <f>P64-(($P64-$T64)/($T$46-$P$46))</f>
        <v>0.16875000000000001</v>
      </c>
      <c r="R64" s="57">
        <f>Q64-(($P64-$T64)/($T$46-$P$46))</f>
        <v>0.18</v>
      </c>
      <c r="S64" s="57">
        <f>R64-(($P64-$T64)/($T$46-$P$46))</f>
        <v>0.19124999999999998</v>
      </c>
      <c r="T64" s="54">
        <f>L39</f>
        <v>0.20249999999999999</v>
      </c>
    </row>
    <row r="65" spans="1:20" x14ac:dyDescent="0.25">
      <c r="B65" s="47" t="s">
        <v>28</v>
      </c>
      <c r="P65" s="36">
        <f>P16</f>
        <v>0.1575</v>
      </c>
      <c r="Q65" s="36">
        <f>Q16</f>
        <v>0.1661</v>
      </c>
      <c r="R65" s="36">
        <f>R16</f>
        <v>0.16669999999999999</v>
      </c>
      <c r="S65" s="36">
        <f>S16</f>
        <v>0.17249999999999999</v>
      </c>
      <c r="T65" s="36">
        <f>T16</f>
        <v>0.17249999999999999</v>
      </c>
    </row>
    <row r="66" spans="1:20" x14ac:dyDescent="0.25">
      <c r="B66" s="47" t="s">
        <v>29</v>
      </c>
      <c r="P66" s="52">
        <f>P65</f>
        <v>0.1575</v>
      </c>
      <c r="Q66" s="58">
        <f>P66-(($P66-$T66)/($T$46-$P$46))</f>
        <v>0.15625</v>
      </c>
      <c r="R66" s="58">
        <f>Q66-(($P66-$T66)/($T$46-$P$46))</f>
        <v>0.155</v>
      </c>
      <c r="S66" s="58">
        <f>R66-(($P66-$T66)/($T$46-$P$46))</f>
        <v>0.15375</v>
      </c>
      <c r="T66" s="52">
        <f>T39</f>
        <v>0.1525</v>
      </c>
    </row>
    <row r="68" spans="1:20" x14ac:dyDescent="0.25">
      <c r="A68" t="s">
        <v>15</v>
      </c>
      <c r="B68" s="39" t="s">
        <v>23</v>
      </c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1"/>
      <c r="P68" s="41">
        <f ca="1">P55+P62</f>
        <v>55686.939527999995</v>
      </c>
      <c r="Q68" s="41">
        <f t="shared" ref="Q68:T68" ca="1" si="25">Q55+Q62</f>
        <v>60379.158909024176</v>
      </c>
      <c r="R68" s="41">
        <f t="shared" ca="1" si="25"/>
        <v>62928.599984510183</v>
      </c>
      <c r="S68" s="41">
        <f t="shared" ca="1" si="25"/>
        <v>65957.799305498804</v>
      </c>
      <c r="T68" s="41">
        <f t="shared" ca="1" si="25"/>
        <v>68406.779826270911</v>
      </c>
    </row>
    <row r="70" spans="1:20" x14ac:dyDescent="0.25">
      <c r="B70" s="7" t="s">
        <v>33</v>
      </c>
      <c r="P70" s="19">
        <f ca="1">P71*P48</f>
        <v>9327.7747254150527</v>
      </c>
      <c r="Q70" s="19">
        <f t="shared" ref="Q70:T70" ca="1" si="26">Q71*Q48</f>
        <v>9562.461995690448</v>
      </c>
      <c r="R70" s="19">
        <f t="shared" ca="1" si="26"/>
        <v>9378.4941672241875</v>
      </c>
      <c r="S70" s="19">
        <f t="shared" ca="1" si="26"/>
        <v>9199.5211540740765</v>
      </c>
      <c r="T70" s="19">
        <f t="shared" ca="1" si="26"/>
        <v>8871.6759999999995</v>
      </c>
    </row>
    <row r="71" spans="1:20" x14ac:dyDescent="0.25">
      <c r="B71" s="11" t="s">
        <v>24</v>
      </c>
      <c r="P71" s="55">
        <f ca="1">OFFSET(P$71,$D$41,0)</f>
        <v>3.3869271061854354E-2</v>
      </c>
      <c r="Q71" s="55">
        <f t="shared" ref="Q71:T71" ca="1" si="27">OFFSET(Q$71,$D$41,0)</f>
        <v>3.165195329639077E-2</v>
      </c>
      <c r="R71" s="55">
        <f t="shared" ca="1" si="27"/>
        <v>2.9434635530927181E-2</v>
      </c>
      <c r="S71" s="55">
        <f t="shared" ca="1" si="27"/>
        <v>2.7217317765463593E-2</v>
      </c>
      <c r="T71" s="55">
        <f t="shared" ca="1" si="27"/>
        <v>2.5000000000000001E-2</v>
      </c>
    </row>
    <row r="72" spans="1:20" x14ac:dyDescent="0.25">
      <c r="B72" s="47" t="s">
        <v>27</v>
      </c>
      <c r="P72" s="54">
        <f>P73-0.01</f>
        <v>3.3869271061854354E-2</v>
      </c>
      <c r="Q72" s="57">
        <f>P72-(($P72-$T72)/($T$46-$P$46))</f>
        <v>3.165195329639077E-2</v>
      </c>
      <c r="R72" s="57">
        <f t="shared" ref="R72:S72" si="28">Q72-(($P72-$T72)/($T$46-$P$46))</f>
        <v>2.9434635530927181E-2</v>
      </c>
      <c r="S72" s="57">
        <f t="shared" si="28"/>
        <v>2.7217317765463593E-2</v>
      </c>
      <c r="T72" s="54">
        <f>L42</f>
        <v>2.5000000000000001E-2</v>
      </c>
    </row>
    <row r="73" spans="1:20" x14ac:dyDescent="0.25">
      <c r="B73" s="47" t="s">
        <v>28</v>
      </c>
      <c r="P73" s="36">
        <f>P22</f>
        <v>4.3869271061854356E-2</v>
      </c>
      <c r="Q73" s="36">
        <f t="shared" ref="Q73:T73" si="29">Q22</f>
        <v>4.0264322989910818E-2</v>
      </c>
      <c r="R73" s="36">
        <f t="shared" si="29"/>
        <v>3.5426775058244847E-2</v>
      </c>
      <c r="S73" s="36">
        <f t="shared" si="29"/>
        <v>2.7842454818315342E-2</v>
      </c>
      <c r="T73" s="36">
        <f>P42</f>
        <v>3.0270319579165018E-2</v>
      </c>
    </row>
    <row r="74" spans="1:20" x14ac:dyDescent="0.25">
      <c r="B74" s="47" t="s">
        <v>29</v>
      </c>
      <c r="P74" s="54">
        <f>P73+0.01</f>
        <v>5.3869271061854358E-2</v>
      </c>
      <c r="Q74" s="57">
        <f t="shared" ref="Q74:S74" si="30">P74-(($P74-$T74)/($T$46-$P$46))</f>
        <v>5.0401953296390772E-2</v>
      </c>
      <c r="R74" s="57">
        <f t="shared" si="30"/>
        <v>4.693463553092718E-2</v>
      </c>
      <c r="S74" s="57">
        <f t="shared" si="30"/>
        <v>4.3467317765463587E-2</v>
      </c>
      <c r="T74" s="54">
        <f>T42</f>
        <v>0.04</v>
      </c>
    </row>
    <row r="75" spans="1:20" x14ac:dyDescent="0.25">
      <c r="B75" s="11"/>
    </row>
    <row r="76" spans="1:20" x14ac:dyDescent="0.25">
      <c r="B76" s="7" t="s">
        <v>34</v>
      </c>
      <c r="P76" s="19">
        <f ca="1">P77*P48</f>
        <v>13732.339700267788</v>
      </c>
      <c r="Q76" s="19">
        <f t="shared" ref="Q76:T76" ca="1" si="31">Q77*Q48</f>
        <v>14696.801829563592</v>
      </c>
      <c r="R76" s="19">
        <f t="shared" ca="1" si="31"/>
        <v>15112.562892446229</v>
      </c>
      <c r="S76" s="19">
        <f t="shared" ca="1" si="31"/>
        <v>15620.979697189268</v>
      </c>
      <c r="T76" s="19">
        <f t="shared" ca="1" si="31"/>
        <v>15969.016799999998</v>
      </c>
    </row>
    <row r="77" spans="1:20" x14ac:dyDescent="0.25">
      <c r="B77" s="11" t="s">
        <v>24</v>
      </c>
      <c r="P77" s="55">
        <f ca="1">OFFSET(P$77,$D$42,0)</f>
        <v>4.9862303637606131E-2</v>
      </c>
      <c r="Q77" s="55">
        <f t="shared" ref="Q77:T77" ca="1" si="32">OFFSET(Q$77,$D$42,0)</f>
        <v>4.8646727728204595E-2</v>
      </c>
      <c r="R77" s="55">
        <f t="shared" ca="1" si="32"/>
        <v>4.7431151818803058E-2</v>
      </c>
      <c r="S77" s="55">
        <f t="shared" ca="1" si="32"/>
        <v>4.6215575909401521E-2</v>
      </c>
      <c r="T77" s="55">
        <f t="shared" ca="1" si="32"/>
        <v>4.4999999999999998E-2</v>
      </c>
    </row>
    <row r="78" spans="1:20" x14ac:dyDescent="0.25">
      <c r="B78" s="47" t="s">
        <v>27</v>
      </c>
      <c r="P78" s="54">
        <f>P79+0.01</f>
        <v>4.9862303637606131E-2</v>
      </c>
      <c r="Q78" s="57">
        <f t="shared" ref="Q78:S80" si="33">P78-(($P78-$T78)/($T$46-$P$46))</f>
        <v>4.8646727728204595E-2</v>
      </c>
      <c r="R78" s="57">
        <f t="shared" si="33"/>
        <v>4.7431151818803058E-2</v>
      </c>
      <c r="S78" s="57">
        <f t="shared" si="33"/>
        <v>4.6215575909401521E-2</v>
      </c>
      <c r="T78" s="54">
        <f>L43</f>
        <v>4.4999999999999998E-2</v>
      </c>
    </row>
    <row r="79" spans="1:20" x14ac:dyDescent="0.25">
      <c r="B79" s="47" t="s">
        <v>28</v>
      </c>
      <c r="P79" s="36">
        <f>P25</f>
        <v>3.9862303637606129E-2</v>
      </c>
      <c r="Q79" s="36">
        <f t="shared" ref="Q79:T79" si="34">Q25</f>
        <v>4.1285429397797113E-2</v>
      </c>
      <c r="R79" s="36">
        <f t="shared" si="34"/>
        <v>4.2655921686713234E-2</v>
      </c>
      <c r="S79" s="36">
        <f t="shared" si="34"/>
        <v>3.7245499248181414E-2</v>
      </c>
      <c r="T79" s="36">
        <f>P43</f>
        <v>3.6405653518798528E-2</v>
      </c>
    </row>
    <row r="80" spans="1:20" x14ac:dyDescent="0.25">
      <c r="B80" s="47" t="s">
        <v>29</v>
      </c>
      <c r="P80" s="54">
        <v>3.5000000000000003E-2</v>
      </c>
      <c r="Q80" s="57">
        <f t="shared" si="33"/>
        <v>3.3750000000000002E-2</v>
      </c>
      <c r="R80" s="57">
        <f t="shared" si="33"/>
        <v>3.2500000000000001E-2</v>
      </c>
      <c r="S80" s="57">
        <f t="shared" si="33"/>
        <v>3.125E-2</v>
      </c>
      <c r="T80" s="54">
        <f>T43</f>
        <v>0.03</v>
      </c>
    </row>
    <row r="81" spans="1:20" x14ac:dyDescent="0.25">
      <c r="B81" s="11"/>
    </row>
    <row r="82" spans="1:20" x14ac:dyDescent="0.25">
      <c r="B82" s="7" t="s">
        <v>35</v>
      </c>
      <c r="P82" s="19">
        <f ca="1">P83*P48</f>
        <v>-1377.0262</v>
      </c>
      <c r="Q82" s="19">
        <f t="shared" ref="Q82:T82" ca="1" si="35">Q83*Q48</f>
        <v>-1056.6905192479078</v>
      </c>
      <c r="R82" s="19">
        <f t="shared" ca="1" si="35"/>
        <v>-635.75613959049792</v>
      </c>
      <c r="S82" s="19">
        <f t="shared" ca="1" si="35"/>
        <v>-166.63675313755286</v>
      </c>
      <c r="T82" s="19">
        <f t="shared" ca="1" si="35"/>
        <v>358.176996240736</v>
      </c>
    </row>
    <row r="83" spans="1:20" x14ac:dyDescent="0.25">
      <c r="B83" s="11" t="s">
        <v>24</v>
      </c>
      <c r="P83" s="70">
        <f ca="1">OFFSET(P$83,$D$43,0)</f>
        <v>-5.0000000000000001E-3</v>
      </c>
      <c r="Q83" s="70">
        <f t="shared" ref="Q83:T83" ca="1" si="36">OFFSET(Q$83,$D$43,0)</f>
        <v>-3.4976681715490287E-3</v>
      </c>
      <c r="R83" s="70">
        <f t="shared" ca="1" si="36"/>
        <v>-1.9953363430980572E-3</v>
      </c>
      <c r="S83" s="70">
        <f t="shared" ca="1" si="36"/>
        <v>-4.9300451464708581E-4</v>
      </c>
      <c r="T83" s="70">
        <f t="shared" ca="1" si="36"/>
        <v>1.0093273138038856E-3</v>
      </c>
    </row>
    <row r="84" spans="1:20" x14ac:dyDescent="0.25">
      <c r="B84" s="47" t="s">
        <v>27</v>
      </c>
      <c r="P84" s="71">
        <v>-5.0000000000000001E-3</v>
      </c>
      <c r="Q84" s="72">
        <f t="shared" ref="Q84:S84" si="37">P84-(($P84-$T84)/($T$46-$P$46))</f>
        <v>-3.4976681715490287E-3</v>
      </c>
      <c r="R84" s="72">
        <f t="shared" si="37"/>
        <v>-1.9953363430980572E-3</v>
      </c>
      <c r="S84" s="72">
        <f t="shared" si="37"/>
        <v>-4.9300451464708581E-4</v>
      </c>
      <c r="T84" s="71">
        <f>L44</f>
        <v>1.0093273138038856E-3</v>
      </c>
    </row>
    <row r="85" spans="1:20" x14ac:dyDescent="0.25">
      <c r="B85" s="47" t="s">
        <v>28</v>
      </c>
      <c r="P85" s="73">
        <f>P28</f>
        <v>-7.6177713119818021E-3</v>
      </c>
      <c r="Q85" s="73">
        <f t="shared" ref="Q85:T85" si="38">Q28</f>
        <v>-9.2178188659563197E-3</v>
      </c>
      <c r="R85" s="73">
        <f t="shared" si="38"/>
        <v>-5.4917968355430698E-3</v>
      </c>
      <c r="S85" s="73">
        <f t="shared" si="38"/>
        <v>-5.9887306587266377E-3</v>
      </c>
      <c r="T85" s="73">
        <f>P44</f>
        <v>-4.9906726861961145E-3</v>
      </c>
    </row>
    <row r="86" spans="1:20" x14ac:dyDescent="0.25">
      <c r="B86" s="47" t="s">
        <v>29</v>
      </c>
      <c r="P86" s="71">
        <v>-0.01</v>
      </c>
      <c r="Q86" s="72">
        <f t="shared" ref="Q86:S86" si="39">P86-(($P86-$T86)/($T$46-$P$46))</f>
        <v>-9.247668171549029E-3</v>
      </c>
      <c r="R86" s="72">
        <f t="shared" si="39"/>
        <v>-8.4953363430980578E-3</v>
      </c>
      <c r="S86" s="72">
        <f t="shared" si="39"/>
        <v>-7.7430045146470866E-3</v>
      </c>
      <c r="T86" s="71">
        <f>T44</f>
        <v>-6.9906726861961145E-3</v>
      </c>
    </row>
    <row r="88" spans="1:20" x14ac:dyDescent="0.25">
      <c r="A88" t="s">
        <v>15</v>
      </c>
      <c r="B88" s="39" t="s">
        <v>54</v>
      </c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1"/>
      <c r="P88" s="41">
        <f ca="1">P68+P70-P76-P82</f>
        <v>52659.40075314726</v>
      </c>
      <c r="Q88" s="41">
        <f t="shared" ref="Q88:T88" ca="1" si="40">Q68+Q70-Q76-Q82</f>
        <v>56301.509594398944</v>
      </c>
      <c r="R88" s="41">
        <f t="shared" ca="1" si="40"/>
        <v>57830.287398878645</v>
      </c>
      <c r="S88" s="41">
        <f t="shared" ca="1" si="40"/>
        <v>59702.977515521161</v>
      </c>
      <c r="T88" s="41">
        <f t="shared" ca="1" si="40"/>
        <v>60951.262030030186</v>
      </c>
    </row>
    <row r="90" spans="1:20" x14ac:dyDescent="0.25">
      <c r="B90" s="39" t="s">
        <v>59</v>
      </c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1"/>
      <c r="P90" s="41">
        <f ca="1">P88/(1+$H$38)^(P$46)</f>
        <v>48985.489072695127</v>
      </c>
      <c r="Q90" s="41">
        <f t="shared" ref="Q90:T90" ca="1" si="41">Q88/(1+$H$38)^(Q$46)</f>
        <v>48719.532369409579</v>
      </c>
      <c r="R90" s="41">
        <f t="shared" ca="1" si="41"/>
        <v>46551.101079505373</v>
      </c>
      <c r="S90" s="41">
        <f t="shared" ca="1" si="41"/>
        <v>44705.621192849241</v>
      </c>
      <c r="T90" s="41">
        <f t="shared" ca="1" si="41"/>
        <v>42456.127719651391</v>
      </c>
    </row>
    <row r="92" spans="1:20" x14ac:dyDescent="0.25">
      <c r="B92" s="24" t="s">
        <v>55</v>
      </c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</row>
    <row r="93" spans="1:20" x14ac:dyDescent="0.25">
      <c r="B93" s="60" t="s">
        <v>56</v>
      </c>
      <c r="C93" s="61"/>
      <c r="D93" s="61"/>
      <c r="H93" s="60" t="s">
        <v>57</v>
      </c>
      <c r="I93" s="61"/>
      <c r="J93" s="61"/>
    </row>
    <row r="94" spans="1:20" x14ac:dyDescent="0.25">
      <c r="B94" t="s">
        <v>68</v>
      </c>
      <c r="D94" s="64">
        <f>H39</f>
        <v>2.5000000000000001E-2</v>
      </c>
      <c r="H94" t="s">
        <v>65</v>
      </c>
      <c r="J94" s="62">
        <f>H40</f>
        <v>12.5</v>
      </c>
    </row>
    <row r="95" spans="1:20" x14ac:dyDescent="0.25">
      <c r="B95" t="s">
        <v>58</v>
      </c>
      <c r="D95" s="19">
        <f ca="1">T88*(1+H39)</f>
        <v>62475.043580780934</v>
      </c>
      <c r="H95" t="s">
        <v>66</v>
      </c>
      <c r="J95" s="19">
        <f ca="1">T55+T70</f>
        <v>94648.20242792592</v>
      </c>
    </row>
    <row r="96" spans="1:20" x14ac:dyDescent="0.25">
      <c r="B96" t="s">
        <v>55</v>
      </c>
      <c r="D96" s="19">
        <f ca="1">D95/(H38-H39)</f>
        <v>1249500.8716156187</v>
      </c>
      <c r="E96" s="59"/>
      <c r="H96" t="s">
        <v>55</v>
      </c>
      <c r="J96" s="19">
        <f ca="1">J95*J94</f>
        <v>1183102.5303490739</v>
      </c>
    </row>
    <row r="97" spans="2:25" x14ac:dyDescent="0.25">
      <c r="B97" t="s">
        <v>61</v>
      </c>
      <c r="D97" s="19">
        <f ca="1">D96/(1+$H$38)^($T$46)</f>
        <v>870350.6182528534</v>
      </c>
      <c r="H97" t="s">
        <v>61</v>
      </c>
      <c r="J97" s="19">
        <f ca="1">J96/(1+$H$38)^($T$46)</f>
        <v>824100.28046991269</v>
      </c>
    </row>
    <row r="98" spans="2:25" x14ac:dyDescent="0.25">
      <c r="B98" t="s">
        <v>60</v>
      </c>
      <c r="D98" s="19">
        <f ca="1">SUM($P$90:$T$90)</f>
        <v>231417.87143411071</v>
      </c>
      <c r="H98" t="s">
        <v>60</v>
      </c>
      <c r="J98" s="19">
        <f ca="1">SUM($P$90:$T$90)</f>
        <v>231417.87143411071</v>
      </c>
    </row>
    <row r="99" spans="2:25" x14ac:dyDescent="0.25">
      <c r="B99" s="39" t="s">
        <v>62</v>
      </c>
      <c r="C99" s="65"/>
      <c r="D99" s="66">
        <f ca="1">SUM(D97:D98)</f>
        <v>1101768.4896869641</v>
      </c>
      <c r="H99" s="39" t="s">
        <v>62</v>
      </c>
      <c r="I99" s="65"/>
      <c r="J99" s="66">
        <f ca="1">SUM(J97:J98)</f>
        <v>1055518.1519040235</v>
      </c>
    </row>
    <row r="100" spans="2:25" x14ac:dyDescent="0.25">
      <c r="B100" s="11" t="s">
        <v>63</v>
      </c>
      <c r="D100" s="30">
        <f ca="1">D97/D99</f>
        <v>0.78995780547339722</v>
      </c>
      <c r="H100" s="11" t="s">
        <v>63</v>
      </c>
      <c r="J100" s="30">
        <f ca="1">J97/J99</f>
        <v>0.78075424755447198</v>
      </c>
    </row>
    <row r="101" spans="2:25" x14ac:dyDescent="0.25">
      <c r="B101" s="11" t="s">
        <v>64</v>
      </c>
      <c r="D101" s="30">
        <f ca="1">1-D100</f>
        <v>0.21004219452660278</v>
      </c>
      <c r="H101" s="11" t="s">
        <v>64</v>
      </c>
      <c r="J101" s="30">
        <f ca="1">1-J100</f>
        <v>0.21924575244552802</v>
      </c>
    </row>
    <row r="103" spans="2:25" x14ac:dyDescent="0.25">
      <c r="B103" s="60" t="s">
        <v>69</v>
      </c>
      <c r="C103" s="61"/>
      <c r="D103" s="61"/>
      <c r="X103" t="s">
        <v>72</v>
      </c>
      <c r="Y103" t="s">
        <v>73</v>
      </c>
    </row>
    <row r="104" spans="2:25" x14ac:dyDescent="0.25">
      <c r="B104" t="s">
        <v>74</v>
      </c>
      <c r="D104" s="67" t="s">
        <v>73</v>
      </c>
      <c r="V104" t="s">
        <v>70</v>
      </c>
      <c r="X104" s="19">
        <f>10260+91807</f>
        <v>102067</v>
      </c>
      <c r="Y104" s="19">
        <f>10224+93078</f>
        <v>103302</v>
      </c>
    </row>
    <row r="105" spans="2:25" x14ac:dyDescent="0.25">
      <c r="B105" t="s">
        <v>70</v>
      </c>
      <c r="D105" s="19">
        <f>IF($D$104="10-K",X104,Y104)</f>
        <v>103302</v>
      </c>
      <c r="V105" t="s">
        <v>71</v>
      </c>
      <c r="X105" s="19">
        <f>48844+51713+105341</f>
        <v>205898</v>
      </c>
      <c r="Y105" s="19">
        <f>39771+67391+99899</f>
        <v>207061</v>
      </c>
    </row>
    <row r="106" spans="2:25" x14ac:dyDescent="0.25">
      <c r="B106" t="s">
        <v>71</v>
      </c>
      <c r="D106" s="19">
        <f>IF($D$104="10-K",X105,Y105)</f>
        <v>207061</v>
      </c>
      <c r="X106" s="19">
        <f>X104-X105</f>
        <v>-103831</v>
      </c>
      <c r="Y106" s="19">
        <f>Y104-Y105</f>
        <v>-103759</v>
      </c>
    </row>
    <row r="107" spans="2:25" x14ac:dyDescent="0.25">
      <c r="B107" s="39" t="s">
        <v>69</v>
      </c>
      <c r="C107" s="65"/>
      <c r="D107" s="66">
        <f>D105-D106</f>
        <v>-103759</v>
      </c>
    </row>
    <row r="109" spans="2:25" x14ac:dyDescent="0.25">
      <c r="B109" s="60" t="s">
        <v>82</v>
      </c>
      <c r="C109" s="61"/>
      <c r="D109" s="61"/>
    </row>
    <row r="110" spans="2:25" x14ac:dyDescent="0.25">
      <c r="B110" t="s">
        <v>77</v>
      </c>
      <c r="D110" s="67" t="s">
        <v>78</v>
      </c>
      <c r="V110">
        <v>0</v>
      </c>
    </row>
    <row r="111" spans="2:25" x14ac:dyDescent="0.25">
      <c r="B111" t="s">
        <v>80</v>
      </c>
      <c r="D111" s="19">
        <f ca="1">IF(D110="PGM",D99,J99)</f>
        <v>1101768.4896869641</v>
      </c>
    </row>
    <row r="112" spans="2:25" x14ac:dyDescent="0.25">
      <c r="B112" t="s">
        <v>69</v>
      </c>
      <c r="D112" s="19">
        <f>D107</f>
        <v>-103759</v>
      </c>
    </row>
    <row r="113" spans="2:23" x14ac:dyDescent="0.25">
      <c r="B113" t="s">
        <v>81</v>
      </c>
      <c r="D113" s="19">
        <f ca="1">D111-D112</f>
        <v>1205527.4896869641</v>
      </c>
    </row>
    <row r="114" spans="2:23" x14ac:dyDescent="0.25">
      <c r="B114" t="s">
        <v>76</v>
      </c>
      <c r="D114" s="19">
        <f>4375480000/1000000</f>
        <v>4375.4799999999996</v>
      </c>
    </row>
    <row r="115" spans="2:23" x14ac:dyDescent="0.25">
      <c r="B115" s="69" t="s">
        <v>82</v>
      </c>
      <c r="C115" s="68"/>
      <c r="D115" s="68">
        <f ca="1">D113/D114</f>
        <v>275.51891213923142</v>
      </c>
      <c r="V115" t="s">
        <v>78</v>
      </c>
      <c r="W115" t="s">
        <v>79</v>
      </c>
    </row>
  </sheetData>
  <dataValidations disablePrompts="1" count="2">
    <dataValidation type="list" allowBlank="1" showInputMessage="1" showErrorMessage="1" sqref="D104" xr:uid="{BD5E9961-470C-43E7-80CD-374E14E38B33}">
      <formula1>$X$103:$Y$103</formula1>
    </dataValidation>
    <dataValidation type="list" allowBlank="1" showInputMessage="1" showErrorMessage="1" sqref="D110" xr:uid="{7C40F4B0-69AB-4D48-9AF7-1F2DBFF21D8F}">
      <formula1>V$115:W$115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Financials</vt:lpstr>
      <vt:lpstr>Simple DCF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Massimo</dc:creator>
  <cp:lastModifiedBy>Massimo</cp:lastModifiedBy>
  <dcterms:created xsi:type="dcterms:W3CDTF">2022-08-23T01:02:24Z</dcterms:created>
  <dcterms:modified xsi:type="dcterms:W3CDTF">2022-10-10T06:20:32Z</dcterms:modified>
</cp:coreProperties>
</file>