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simo\Desktop\WallStreetPrep Supporting Files\DCF Modeling Course\"/>
    </mc:Choice>
  </mc:AlternateContent>
  <xr:revisionPtr revIDLastSave="0" documentId="13_ncr:1_{7E7A6378-4F93-4A31-98BB-A2560296151E}" xr6:coauthVersionLast="47" xr6:coauthVersionMax="47" xr10:uidLastSave="{00000000-0000-0000-0000-000000000000}"/>
  <bookViews>
    <workbookView xWindow="0" yWindow="1245" windowWidth="38700" windowHeight="15375" activeTab="2" xr2:uid="{CC2EDC0B-AB2B-4AD4-840D-CD7F3486F5F7}"/>
  </bookViews>
  <sheets>
    <sheet name="Financials" sheetId="1" r:id="rId1"/>
    <sheet name="Simple DCF" sheetId="3" r:id="rId2"/>
    <sheet name="Shares" sheetId="2" r:id="rId3"/>
  </sheets>
  <calcPr calcId="191029" calcMode="autoNoTable" iterate="1" iterateCount="1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3" i="3" l="1"/>
  <c r="C73" i="3"/>
  <c r="F71" i="3"/>
  <c r="C71" i="3"/>
  <c r="C66" i="3"/>
  <c r="C68" i="3" s="1"/>
  <c r="C67" i="3"/>
  <c r="F58" i="3"/>
  <c r="F57" i="3"/>
  <c r="F54" i="3"/>
  <c r="F53" i="3"/>
  <c r="F52" i="3"/>
  <c r="F51" i="3"/>
  <c r="C58" i="3"/>
  <c r="C57" i="3"/>
  <c r="C55" i="3"/>
  <c r="C54" i="3"/>
  <c r="C53" i="3"/>
  <c r="F41" i="3"/>
  <c r="C6" i="3"/>
  <c r="C7" i="3" s="1"/>
  <c r="D42" i="3" s="1"/>
  <c r="E5" i="3"/>
  <c r="K36" i="3"/>
  <c r="J36" i="3"/>
  <c r="I36" i="3"/>
  <c r="H36" i="3"/>
  <c r="G36" i="3"/>
  <c r="G31" i="3" s="1"/>
  <c r="F31" i="3"/>
  <c r="F30" i="3"/>
  <c r="G30" i="3" s="1"/>
  <c r="K27" i="3"/>
  <c r="K28" i="3" s="1"/>
  <c r="J27" i="3"/>
  <c r="J28" i="3" s="1"/>
  <c r="I27" i="3"/>
  <c r="I28" i="3" s="1"/>
  <c r="H27" i="3"/>
  <c r="H28" i="3" s="1"/>
  <c r="G27" i="3"/>
  <c r="G28" i="3" s="1"/>
  <c r="K21" i="3"/>
  <c r="K24" i="3" s="1"/>
  <c r="J21" i="3"/>
  <c r="J24" i="3" s="1"/>
  <c r="I21" i="3"/>
  <c r="I24" i="3" s="1"/>
  <c r="H21" i="3"/>
  <c r="H24" i="3" s="1"/>
  <c r="G21" i="3"/>
  <c r="G24" i="3" s="1"/>
  <c r="F21" i="3"/>
  <c r="F24" i="3" s="1"/>
  <c r="K19" i="3"/>
  <c r="J19" i="3"/>
  <c r="I19" i="3"/>
  <c r="H19" i="3"/>
  <c r="G19" i="3"/>
  <c r="F19" i="3"/>
  <c r="K17" i="3"/>
  <c r="J17" i="3"/>
  <c r="I17" i="3"/>
  <c r="H17" i="3"/>
  <c r="G17" i="3"/>
  <c r="F16" i="3"/>
  <c r="F27" i="3" s="1"/>
  <c r="F28" i="3" s="1"/>
  <c r="K15" i="3"/>
  <c r="J15" i="3"/>
  <c r="I15" i="3"/>
  <c r="H15" i="3"/>
  <c r="G15" i="3"/>
  <c r="G13" i="3"/>
  <c r="H13" i="3" s="1"/>
  <c r="I13" i="3" s="1"/>
  <c r="J13" i="3" s="1"/>
  <c r="K13" i="3" s="1"/>
  <c r="K41" i="3" s="1"/>
  <c r="E13" i="3"/>
  <c r="F9" i="1"/>
  <c r="G9" i="1"/>
  <c r="H9" i="1"/>
  <c r="I9" i="1"/>
  <c r="J9" i="1"/>
  <c r="J15" i="1"/>
  <c r="J18" i="1" s="1"/>
  <c r="I15" i="1"/>
  <c r="I18" i="1" s="1"/>
  <c r="H15" i="1"/>
  <c r="H18" i="1" s="1"/>
  <c r="G15" i="1"/>
  <c r="G18" i="1" s="1"/>
  <c r="F15" i="1"/>
  <c r="F18" i="1" s="1"/>
  <c r="J13" i="1"/>
  <c r="I13" i="1"/>
  <c r="H13" i="1"/>
  <c r="G13" i="1"/>
  <c r="F13" i="1"/>
  <c r="J11" i="1"/>
  <c r="I11" i="1"/>
  <c r="H11" i="1"/>
  <c r="G11" i="1"/>
  <c r="F11" i="1"/>
  <c r="D7" i="1"/>
  <c r="E15" i="1"/>
  <c r="E18" i="1" s="1"/>
  <c r="E13" i="1"/>
  <c r="E10" i="1"/>
  <c r="F7" i="1"/>
  <c r="G7" i="1" s="1"/>
  <c r="H7" i="1" s="1"/>
  <c r="I7" i="1" s="1"/>
  <c r="J7" i="1" s="1"/>
  <c r="G41" i="3" l="1"/>
  <c r="H41" i="3"/>
  <c r="I41" i="3"/>
  <c r="J41" i="3"/>
  <c r="H31" i="3"/>
  <c r="K31" i="3"/>
  <c r="I31" i="3"/>
  <c r="G29" i="3"/>
  <c r="G33" i="3" s="1"/>
  <c r="G42" i="3" s="1"/>
  <c r="H30" i="3"/>
  <c r="J31" i="3"/>
  <c r="F17" i="3"/>
  <c r="E11" i="1"/>
  <c r="G43" i="3" l="1"/>
  <c r="H29" i="3"/>
  <c r="H33" i="3" s="1"/>
  <c r="H42" i="3" s="1"/>
  <c r="H43" i="3" s="1"/>
  <c r="I30" i="3"/>
  <c r="I29" i="3" l="1"/>
  <c r="I33" i="3" s="1"/>
  <c r="I42" i="3" s="1"/>
  <c r="I43" i="3" s="1"/>
  <c r="J30" i="3"/>
  <c r="K30" i="3" l="1"/>
  <c r="K29" i="3" s="1"/>
  <c r="K33" i="3" s="1"/>
  <c r="J29" i="3"/>
  <c r="J33" i="3" s="1"/>
  <c r="J42" i="3" s="1"/>
  <c r="J43" i="3" s="1"/>
  <c r="K42" i="3" l="1"/>
  <c r="K43" i="3" s="1"/>
  <c r="C51" i="3"/>
  <c r="C5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Massimo</author>
  </authors>
  <commentList>
    <comment ref="D5" authorId="0" shapeId="0" xr:uid="{60306FF1-F022-4256-B2E2-95247497C7CA}">
      <text>
        <r>
          <rPr>
            <b/>
            <sz val="9"/>
            <color indexed="81"/>
            <rFont val="Tahoma"/>
            <family val="2"/>
          </rPr>
          <t>Massimo:</t>
        </r>
        <r>
          <rPr>
            <sz val="9"/>
            <color indexed="81"/>
            <rFont val="Tahoma"/>
            <family val="2"/>
          </rPr>
          <t xml:space="preserve">
jpg from WSP course, don't know actual source</t>
        </r>
      </text>
    </comment>
    <comment ref="L8" authorId="0" shapeId="0" xr:uid="{357EB311-B30F-4738-8EC6-A3A961BA691F}">
      <text>
        <r>
          <rPr>
            <b/>
            <sz val="9"/>
            <color indexed="81"/>
            <rFont val="Tahoma"/>
            <family val="2"/>
          </rPr>
          <t>Massimo:</t>
        </r>
        <r>
          <rPr>
            <sz val="9"/>
            <color indexed="81"/>
            <rFont val="Tahoma"/>
            <family val="2"/>
          </rPr>
          <t xml:space="preserve">
WSO Simple DCF has growth % as an assumption, with revenues driven by assumption, here I have it the other way around, so there is some differenece between the models (same goes for the EBIT/EBITDA margins)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Massimo</author>
  </authors>
  <commentList>
    <comment ref="M14" authorId="0" shapeId="0" xr:uid="{42721958-212F-45C5-BEE1-F75A2E4C0CD8}">
      <text>
        <r>
          <rPr>
            <b/>
            <sz val="9"/>
            <color indexed="81"/>
            <rFont val="Tahoma"/>
            <family val="2"/>
          </rPr>
          <t>Massimo:</t>
        </r>
        <r>
          <rPr>
            <sz val="9"/>
            <color indexed="81"/>
            <rFont val="Tahoma"/>
            <family val="2"/>
          </rPr>
          <t xml:space="preserve">
WSO Simple DCF has growth % as an assumption, with revenues driven by assumption, here I have it the other way around, so there is some differenece between the models (same goes for the EBIT/EBITDA margins)
</t>
        </r>
      </text>
    </comment>
    <comment ref="F55" authorId="0" shapeId="0" xr:uid="{81426DB7-F685-4F1E-BDF2-79748BFD3DC6}">
      <text>
        <r>
          <rPr>
            <b/>
            <sz val="9"/>
            <color indexed="81"/>
            <rFont val="Tahoma"/>
            <family val="2"/>
          </rPr>
          <t>Massimo:</t>
        </r>
        <r>
          <rPr>
            <sz val="9"/>
            <color indexed="81"/>
            <rFont val="Tahoma"/>
            <family val="2"/>
          </rPr>
          <t xml:space="preserve">
Look at the formula
</t>
        </r>
      </text>
    </comment>
  </commentList>
</comments>
</file>

<file path=xl/sharedStrings.xml><?xml version="1.0" encoding="utf-8"?>
<sst xmlns="http://schemas.openxmlformats.org/spreadsheetml/2006/main" count="95" uniqueCount="63">
  <si>
    <t xml:space="preserve">Analysis Date </t>
  </si>
  <si>
    <t xml:space="preserve">Shares Outstanding </t>
  </si>
  <si>
    <t xml:space="preserve">Share Price </t>
  </si>
  <si>
    <t>Revenue</t>
  </si>
  <si>
    <t>EBIT</t>
  </si>
  <si>
    <t>EBITDA</t>
  </si>
  <si>
    <t>Depreciation &amp; Amortization</t>
  </si>
  <si>
    <t>Capital Expenditures</t>
  </si>
  <si>
    <t>Net Working Capital</t>
  </si>
  <si>
    <t>Financials</t>
  </si>
  <si>
    <t xml:space="preserve">Growth </t>
  </si>
  <si>
    <t>Margin</t>
  </si>
  <si>
    <t>As a Percent of Revenue</t>
  </si>
  <si>
    <t>Tax Rate</t>
  </si>
  <si>
    <t>Taxes</t>
  </si>
  <si>
    <t>EBIAT/NOPAT</t>
  </si>
  <si>
    <t>Change in NWC</t>
  </si>
  <si>
    <t>UFCF</t>
  </si>
  <si>
    <t>Built off of Earnings Projections from 'Estimates Image'</t>
  </si>
  <si>
    <t>all $ and share amounts in millions, except per share data</t>
  </si>
  <si>
    <t xml:space="preserve">Apple Discounted Cash Flow </t>
  </si>
  <si>
    <t>Most Recent Fiscal Year End</t>
  </si>
  <si>
    <t>First Year End</t>
  </si>
  <si>
    <t xml:space="preserve">Ticker Symbol: </t>
  </si>
  <si>
    <t>AAPL</t>
  </si>
  <si>
    <t>WACC</t>
  </si>
  <si>
    <t>Projected Cash Flow Calculation</t>
  </si>
  <si>
    <t>x</t>
  </si>
  <si>
    <t>Cash Flow Present Value Calculation</t>
  </si>
  <si>
    <t>Portion of Yr 1 CFs</t>
  </si>
  <si>
    <t>Portion of Yr 1 CFs:</t>
  </si>
  <si>
    <t>Stub- Adjusted Cash Flows</t>
  </si>
  <si>
    <t>Present Value</t>
  </si>
  <si>
    <t>Stub Date:</t>
  </si>
  <si>
    <t>Terminal Value Calculation</t>
  </si>
  <si>
    <t>Perpetual Growth Method</t>
  </si>
  <si>
    <t>Exit Multiple Method</t>
  </si>
  <si>
    <t>perpetual growth rate</t>
  </si>
  <si>
    <t>Next Year Cash Flow</t>
  </si>
  <si>
    <t>Terminal Value</t>
  </si>
  <si>
    <t>Value of Stage 1 Cash Flows</t>
  </si>
  <si>
    <t>TEV</t>
  </si>
  <si>
    <t>Implied EV/EBITDA Multiple</t>
  </si>
  <si>
    <t>Terminal Value Portion of EV</t>
  </si>
  <si>
    <t>Stage 1 CF Portion of EV</t>
  </si>
  <si>
    <t xml:space="preserve">Exit Multiple </t>
  </si>
  <si>
    <t>Final Year EBITDA</t>
  </si>
  <si>
    <t>Implied growth rate</t>
  </si>
  <si>
    <t>Equity Value Calculation</t>
  </si>
  <si>
    <t>Net Debt</t>
  </si>
  <si>
    <t>Source Doc:</t>
  </si>
  <si>
    <t>Apple 2019 10-K</t>
  </si>
  <si>
    <t>Historicals Source Doc:</t>
  </si>
  <si>
    <t>Projections Source:</t>
  </si>
  <si>
    <t>CapIQ</t>
  </si>
  <si>
    <t>Gross Debt</t>
  </si>
  <si>
    <t>Cash and Equivalents</t>
  </si>
  <si>
    <t>Equity Value</t>
  </si>
  <si>
    <t>Shares Outstanding</t>
  </si>
  <si>
    <t>Per Share Value</t>
  </si>
  <si>
    <t xml:space="preserve">Copmany: </t>
  </si>
  <si>
    <t>Apple</t>
  </si>
  <si>
    <t>AAPL 2019 10-K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</si>
</sst>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_([$$-409]* #,##0.00_);_([$$-409]* \(#,##0.00\);_([$$-409]* &quot;-&quot;??_);_(@_)"/>
    <numFmt numFmtId="165" formatCode="0.0%"/>
    <numFmt numFmtId="166" formatCode="_(#,##0.0%_);\(#,##0.0%\);_(&quot;–&quot;_)_%;_(@_)_%"/>
    <numFmt numFmtId="173" formatCode="#,##0.0\x_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6">
    <xf numFmtId="0" fontId="0" fillId="0" borderId="0" xfId="0"/>
    <xf numFmtId="14" fontId="0" fillId="0" borderId="0" xfId="0" applyNumberFormat="1"/>
    <xf numFmtId="4" fontId="0" fillId="0" borderId="0" xfId="0" applyNumberForma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Font="1" applyAlignment="1">
      <alignment horizontal="left" indent="1"/>
    </xf>
    <xf numFmtId="0" fontId="1" fillId="0" borderId="0" xfId="0" applyFont="1" applyAlignment="1">
      <alignment horizontal="left"/>
    </xf>
    <xf numFmtId="37" fontId="0" fillId="0" borderId="0" xfId="0" applyNumberFormat="1"/>
    <xf numFmtId="37" fontId="2" fillId="0" borderId="0" xfId="0" applyNumberFormat="1" applyFont="1"/>
    <xf numFmtId="165" fontId="0" fillId="0" borderId="0" xfId="0" applyNumberFormat="1"/>
    <xf numFmtId="166" fontId="0" fillId="0" borderId="0" xfId="0" applyNumberFormat="1"/>
    <xf numFmtId="37" fontId="0" fillId="0" borderId="0" xfId="0" applyNumberFormat="1" applyFont="1"/>
    <xf numFmtId="14" fontId="1" fillId="0" borderId="0" xfId="0" applyNumberFormat="1" applyFont="1"/>
    <xf numFmtId="0" fontId="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1" xfId="0" applyFont="1" applyBorder="1" applyAlignment="1">
      <alignment horizontal="centerContinuous"/>
    </xf>
    <xf numFmtId="0" fontId="0" fillId="0" borderId="1" xfId="0" applyBorder="1" applyAlignment="1">
      <alignment horizontal="centerContinuous"/>
    </xf>
    <xf numFmtId="37" fontId="1" fillId="0" borderId="0" xfId="0" applyNumberFormat="1" applyFont="1"/>
    <xf numFmtId="0" fontId="2" fillId="0" borderId="0" xfId="0" applyFont="1" applyAlignment="1">
      <alignment horizontal="right"/>
    </xf>
    <xf numFmtId="14" fontId="2" fillId="0" borderId="0" xfId="0" applyNumberFormat="1" applyFont="1"/>
    <xf numFmtId="4" fontId="2" fillId="0" borderId="0" xfId="0" applyNumberFormat="1" applyFont="1"/>
    <xf numFmtId="164" fontId="2" fillId="2" borderId="2" xfId="0" applyNumberFormat="1" applyFont="1" applyFill="1" applyBorder="1"/>
    <xf numFmtId="14" fontId="0" fillId="0" borderId="0" xfId="0" applyNumberFormat="1" applyFont="1"/>
    <xf numFmtId="165" fontId="0" fillId="0" borderId="0" xfId="1" applyNumberFormat="1" applyFont="1"/>
    <xf numFmtId="10" fontId="2" fillId="0" borderId="0" xfId="1" applyNumberFormat="1" applyFont="1"/>
    <xf numFmtId="14" fontId="1" fillId="0" borderId="3" xfId="0" applyNumberFormat="1" applyFont="1" applyBorder="1"/>
    <xf numFmtId="37" fontId="2" fillId="0" borderId="4" xfId="0" applyNumberFormat="1" applyFont="1" applyBorder="1"/>
    <xf numFmtId="0" fontId="0" fillId="0" borderId="4" xfId="0" applyBorder="1"/>
    <xf numFmtId="37" fontId="0" fillId="0" borderId="4" xfId="0" applyNumberFormat="1" applyFont="1" applyBorder="1"/>
    <xf numFmtId="37" fontId="0" fillId="0" borderId="5" xfId="0" applyNumberFormat="1" applyBorder="1"/>
    <xf numFmtId="0" fontId="7" fillId="0" borderId="0" xfId="0" applyFont="1" applyAlignment="1">
      <alignment horizontal="left" indent="1"/>
    </xf>
    <xf numFmtId="0" fontId="7" fillId="0" borderId="0" xfId="0" applyFont="1"/>
    <xf numFmtId="0" fontId="7" fillId="0" borderId="4" xfId="0" applyFont="1" applyBorder="1"/>
    <xf numFmtId="165" fontId="7" fillId="0" borderId="0" xfId="0" applyNumberFormat="1" applyFont="1"/>
    <xf numFmtId="165" fontId="7" fillId="0" borderId="4" xfId="0" applyNumberFormat="1" applyFont="1" applyBorder="1"/>
    <xf numFmtId="165" fontId="8" fillId="0" borderId="4" xfId="0" applyNumberFormat="1" applyFont="1" applyBorder="1"/>
    <xf numFmtId="0" fontId="0" fillId="0" borderId="0" xfId="0" applyBorder="1"/>
    <xf numFmtId="37" fontId="2" fillId="0" borderId="0" xfId="0" applyNumberFormat="1" applyFont="1" applyBorder="1"/>
    <xf numFmtId="165" fontId="0" fillId="0" borderId="0" xfId="0" applyNumberFormat="1" applyBorder="1"/>
    <xf numFmtId="0" fontId="1" fillId="3" borderId="0" xfId="0" applyFont="1" applyFill="1"/>
    <xf numFmtId="0" fontId="0" fillId="3" borderId="0" xfId="0" applyFill="1" applyBorder="1"/>
    <xf numFmtId="37" fontId="0" fillId="3" borderId="0" xfId="0" applyNumberFormat="1" applyFill="1" applyBorder="1"/>
    <xf numFmtId="37" fontId="1" fillId="3" borderId="0" xfId="0" applyNumberFormat="1" applyFont="1" applyFill="1" applyBorder="1"/>
    <xf numFmtId="37" fontId="1" fillId="3" borderId="0" xfId="0" applyNumberFormat="1" applyFont="1" applyFill="1"/>
    <xf numFmtId="0" fontId="0" fillId="0" borderId="1" xfId="0" applyBorder="1"/>
    <xf numFmtId="166" fontId="2" fillId="0" borderId="0" xfId="0" applyNumberFormat="1" applyFont="1" applyBorder="1"/>
    <xf numFmtId="166" fontId="2" fillId="0" borderId="0" xfId="0" applyNumberFormat="1" applyFont="1"/>
    <xf numFmtId="8" fontId="0" fillId="0" borderId="0" xfId="0" applyNumberFormat="1"/>
    <xf numFmtId="165" fontId="2" fillId="2" borderId="2" xfId="1" applyNumberFormat="1" applyFont="1" applyFill="1" applyBorder="1"/>
    <xf numFmtId="14" fontId="2" fillId="2" borderId="2" xfId="1" applyNumberFormat="1" applyFont="1" applyFill="1" applyBorder="1"/>
    <xf numFmtId="0" fontId="1" fillId="0" borderId="0" xfId="0" applyFont="1" applyAlignment="1">
      <alignment horizontal="centerContinuous"/>
    </xf>
    <xf numFmtId="0" fontId="0" fillId="4" borderId="0" xfId="0" applyFill="1"/>
    <xf numFmtId="10" fontId="2" fillId="4" borderId="0" xfId="1" applyNumberFormat="1" applyFont="1" applyFill="1"/>
    <xf numFmtId="37" fontId="0" fillId="4" borderId="0" xfId="0" applyNumberFormat="1" applyFill="1"/>
    <xf numFmtId="173" fontId="7" fillId="4" borderId="0" xfId="0" applyNumberFormat="1" applyFont="1" applyFill="1"/>
    <xf numFmtId="10" fontId="7" fillId="4" borderId="0" xfId="1" applyNumberFormat="1" applyFont="1" applyFill="1"/>
    <xf numFmtId="173" fontId="2" fillId="4" borderId="0" xfId="0" applyNumberFormat="1" applyFont="1" applyFill="1"/>
    <xf numFmtId="14" fontId="1" fillId="0" borderId="6" xfId="0" applyNumberFormat="1" applyFont="1" applyBorder="1"/>
    <xf numFmtId="37" fontId="2" fillId="0" borderId="7" xfId="0" applyNumberFormat="1" applyFont="1" applyBorder="1"/>
    <xf numFmtId="0" fontId="0" fillId="0" borderId="7" xfId="0" applyBorder="1"/>
    <xf numFmtId="165" fontId="0" fillId="0" borderId="7" xfId="0" applyNumberFormat="1" applyBorder="1"/>
    <xf numFmtId="37" fontId="0" fillId="0" borderId="7" xfId="0" applyNumberFormat="1" applyFont="1" applyBorder="1"/>
    <xf numFmtId="165" fontId="2" fillId="0" borderId="7" xfId="0" applyNumberFormat="1" applyFont="1" applyBorder="1"/>
    <xf numFmtId="37" fontId="0" fillId="0" borderId="7" xfId="0" applyNumberFormat="1" applyBorder="1"/>
    <xf numFmtId="166" fontId="0" fillId="0" borderId="7" xfId="0" applyNumberFormat="1" applyBorder="1"/>
    <xf numFmtId="37" fontId="0" fillId="0" borderId="8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161924</xdr:rowOff>
    </xdr:from>
    <xdr:to>
      <xdr:col>15</xdr:col>
      <xdr:colOff>247650</xdr:colOff>
      <xdr:row>13</xdr:row>
      <xdr:rowOff>38099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21570B7-477E-FD0F-C1E0-CD0BC093550C}"/>
            </a:ext>
          </a:extLst>
        </xdr:cNvPr>
        <xdr:cNvSpPr/>
      </xdr:nvSpPr>
      <xdr:spPr>
        <a:xfrm>
          <a:off x="4762500" y="542924"/>
          <a:ext cx="5200650" cy="1971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What we need:</a:t>
          </a:r>
        </a:p>
        <a:p>
          <a:pPr algn="l"/>
          <a:r>
            <a:rPr lang="en-US" sz="1100"/>
            <a:t>Basic</a:t>
          </a:r>
          <a:r>
            <a:rPr lang="en-US" sz="1100" baseline="0"/>
            <a:t> shares (with date)</a:t>
          </a:r>
        </a:p>
        <a:p>
          <a:pPr algn="l"/>
          <a:r>
            <a:rPr lang="en-US" sz="1100" baseline="0"/>
            <a:t>Options Tranches (with exercise prices) </a:t>
          </a:r>
        </a:p>
        <a:p>
          <a:pPr algn="l"/>
          <a:r>
            <a:rPr lang="en-US" sz="1100" baseline="0"/>
            <a:t>Other Convertible securities (warrants, convertible debt, RSUs??)</a:t>
          </a:r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4B75-38A7-42D7-A944-431D5E08E576}">
  <dimension ref="A1:L18"/>
  <sheetViews>
    <sheetView topLeftCell="A60" workbookViewId="0">
      <selection activeCell="A62" sqref="A62"/>
    </sheetView>
  </sheetViews>
  <sheetFormatPr defaultRowHeight="15" x14ac:dyDescent="0.25"/>
  <cols>
    <col min="1" max="1" width="9.7109375" bestFit="1" customWidth="1"/>
    <col min="3" max="3" width="26.85546875" bestFit="1" customWidth="1"/>
    <col min="4" max="4" width="17.5703125" bestFit="1" customWidth="1"/>
    <col min="5" max="10" width="12.7109375" customWidth="1"/>
  </cols>
  <sheetData>
    <row r="1" spans="1:12" ht="5.0999999999999996" customHeight="1" x14ac:dyDescent="0.25"/>
    <row r="2" spans="1:12" x14ac:dyDescent="0.25">
      <c r="A2" s="15" t="s">
        <v>9</v>
      </c>
      <c r="B2" s="15"/>
      <c r="C2" s="16"/>
    </row>
    <row r="3" spans="1:12" x14ac:dyDescent="0.25">
      <c r="A3" s="13" t="s">
        <v>19</v>
      </c>
      <c r="B3" s="14"/>
      <c r="C3" s="14"/>
    </row>
    <row r="4" spans="1:12" x14ac:dyDescent="0.25">
      <c r="C4" t="s">
        <v>52</v>
      </c>
      <c r="D4" t="s">
        <v>51</v>
      </c>
    </row>
    <row r="5" spans="1:12" x14ac:dyDescent="0.25">
      <c r="C5" t="s">
        <v>53</v>
      </c>
      <c r="D5" t="s">
        <v>54</v>
      </c>
    </row>
    <row r="7" spans="1:12" x14ac:dyDescent="0.25">
      <c r="D7" s="12">
        <f>EOMONTH(E7,-12)</f>
        <v>43373</v>
      </c>
      <c r="E7" s="25">
        <v>43736</v>
      </c>
      <c r="F7" s="12">
        <f>EOMONTH(E7,12)</f>
        <v>44104</v>
      </c>
      <c r="G7" s="12">
        <f t="shared" ref="G7:J7" si="0">EOMONTH(F7,12)</f>
        <v>44469</v>
      </c>
      <c r="H7" s="12">
        <f t="shared" si="0"/>
        <v>44834</v>
      </c>
      <c r="I7" s="12">
        <f t="shared" si="0"/>
        <v>45199</v>
      </c>
      <c r="J7" s="12">
        <f t="shared" si="0"/>
        <v>45565</v>
      </c>
    </row>
    <row r="8" spans="1:12" x14ac:dyDescent="0.25">
      <c r="C8" s="3" t="s">
        <v>3</v>
      </c>
      <c r="E8" s="26">
        <v>260174</v>
      </c>
      <c r="F8" s="8">
        <v>280608.71999999997</v>
      </c>
      <c r="G8" s="8">
        <v>307725.03000000003</v>
      </c>
      <c r="H8" s="8">
        <v>324775.53999999998</v>
      </c>
      <c r="I8" s="8">
        <v>344498</v>
      </c>
      <c r="J8" s="8">
        <v>361757</v>
      </c>
      <c r="L8" t="s">
        <v>18</v>
      </c>
    </row>
    <row r="9" spans="1:12" x14ac:dyDescent="0.25">
      <c r="C9" s="30" t="s">
        <v>10</v>
      </c>
      <c r="D9" s="31"/>
      <c r="E9" s="32"/>
      <c r="F9" s="33">
        <f>F8/E8-1</f>
        <v>7.8542513856111551E-2</v>
      </c>
      <c r="G9" s="33">
        <f t="shared" ref="G9:J9" si="1">G8/F8-1</f>
        <v>9.6633882225755752E-2</v>
      </c>
      <c r="H9" s="33">
        <f t="shared" si="1"/>
        <v>5.5408264969540877E-2</v>
      </c>
      <c r="I9" s="33">
        <f t="shared" si="1"/>
        <v>6.0726432784932172E-2</v>
      </c>
      <c r="J9" s="33">
        <f t="shared" si="1"/>
        <v>5.0098984609489694E-2</v>
      </c>
    </row>
    <row r="10" spans="1:12" x14ac:dyDescent="0.25">
      <c r="C10" s="3" t="s">
        <v>5</v>
      </c>
      <c r="E10" s="26">
        <f>E12+12547</f>
        <v>76477</v>
      </c>
      <c r="F10" s="8">
        <v>81332.039999999994</v>
      </c>
      <c r="G10" s="8">
        <v>89333.2</v>
      </c>
      <c r="H10" s="8">
        <v>92753.42</v>
      </c>
      <c r="I10" s="8">
        <v>97457.67</v>
      </c>
      <c r="J10" s="8">
        <v>102010</v>
      </c>
    </row>
    <row r="11" spans="1:12" x14ac:dyDescent="0.25">
      <c r="C11" s="30" t="s">
        <v>11</v>
      </c>
      <c r="D11" s="31"/>
      <c r="E11" s="34">
        <f>E10/E8</f>
        <v>0.29394559025882677</v>
      </c>
      <c r="F11" s="33">
        <f t="shared" ref="F11:J11" si="2">F10/F8</f>
        <v>0.28984145610300349</v>
      </c>
      <c r="G11" s="33">
        <f t="shared" si="2"/>
        <v>0.29030202710517239</v>
      </c>
      <c r="H11" s="33">
        <f t="shared" si="2"/>
        <v>0.28559238174155605</v>
      </c>
      <c r="I11" s="33">
        <f t="shared" si="2"/>
        <v>0.28289763656102501</v>
      </c>
      <c r="J11" s="33">
        <f t="shared" si="2"/>
        <v>0.28198486829556857</v>
      </c>
    </row>
    <row r="12" spans="1:12" x14ac:dyDescent="0.25">
      <c r="C12" s="3" t="s">
        <v>4</v>
      </c>
      <c r="E12" s="26">
        <v>63930</v>
      </c>
      <c r="F12" s="8">
        <v>69021.94</v>
      </c>
      <c r="G12" s="8">
        <v>76942.86</v>
      </c>
      <c r="H12" s="8">
        <v>81247.67</v>
      </c>
      <c r="I12" s="8">
        <v>87866</v>
      </c>
      <c r="J12" s="8">
        <v>91059.5</v>
      </c>
    </row>
    <row r="13" spans="1:12" x14ac:dyDescent="0.25">
      <c r="C13" s="30" t="s">
        <v>11</v>
      </c>
      <c r="D13" s="31"/>
      <c r="E13" s="34">
        <f>E12/E8</f>
        <v>0.24572017188496928</v>
      </c>
      <c r="F13" s="33">
        <f t="shared" ref="F13:J13" si="3">F12/F8</f>
        <v>0.24597218504114915</v>
      </c>
      <c r="G13" s="33">
        <f t="shared" si="3"/>
        <v>0.25003770411526161</v>
      </c>
      <c r="H13" s="33">
        <f t="shared" si="3"/>
        <v>0.25016560668331123</v>
      </c>
      <c r="I13" s="33">
        <f t="shared" si="3"/>
        <v>0.25505518174270969</v>
      </c>
      <c r="J13" s="33">
        <f t="shared" si="3"/>
        <v>0.25171454871640353</v>
      </c>
    </row>
    <row r="14" spans="1:12" x14ac:dyDescent="0.25">
      <c r="C14" s="4"/>
      <c r="E14" s="27"/>
    </row>
    <row r="15" spans="1:12" x14ac:dyDescent="0.25">
      <c r="C15" s="6" t="s">
        <v>14</v>
      </c>
      <c r="E15" s="28">
        <f>-E16*E12</f>
        <v>-10192.894868947473</v>
      </c>
      <c r="F15" s="11">
        <f t="shared" ref="F15:J15" si="4">-F16*F12</f>
        <v>-12127.154858</v>
      </c>
      <c r="G15" s="11">
        <f t="shared" si="4"/>
        <v>-12780.209046</v>
      </c>
      <c r="H15" s="11">
        <f t="shared" si="4"/>
        <v>-13543.986588999998</v>
      </c>
      <c r="I15" s="11">
        <f t="shared" si="4"/>
        <v>-15156.884999999998</v>
      </c>
      <c r="J15" s="11">
        <f t="shared" si="4"/>
        <v>-15707.763749999998</v>
      </c>
    </row>
    <row r="16" spans="1:12" x14ac:dyDescent="0.25">
      <c r="C16" s="30" t="s">
        <v>13</v>
      </c>
      <c r="D16" s="31"/>
      <c r="E16" s="35">
        <v>0.15943836804235059</v>
      </c>
      <c r="F16" s="35">
        <v>0.1757</v>
      </c>
      <c r="G16" s="35">
        <v>0.1661</v>
      </c>
      <c r="H16" s="35">
        <v>0.16669999999999999</v>
      </c>
      <c r="I16" s="35">
        <v>0.17249999999999999</v>
      </c>
      <c r="J16" s="35">
        <v>0.17249999999999999</v>
      </c>
    </row>
    <row r="17" spans="3:10" x14ac:dyDescent="0.25">
      <c r="E17" s="27"/>
    </row>
    <row r="18" spans="3:10" x14ac:dyDescent="0.25">
      <c r="C18" s="6" t="s">
        <v>15</v>
      </c>
      <c r="E18" s="29">
        <f>SUM(E15,E12)</f>
        <v>53737.105131052529</v>
      </c>
      <c r="F18" s="17">
        <f t="shared" ref="F18:J18" si="5">SUM(F15,F12)</f>
        <v>56894.785142000001</v>
      </c>
      <c r="G18" s="17">
        <f t="shared" si="5"/>
        <v>64162.650953999997</v>
      </c>
      <c r="H18" s="17">
        <f t="shared" si="5"/>
        <v>67703.683411000005</v>
      </c>
      <c r="I18" s="17">
        <f t="shared" si="5"/>
        <v>72709.115000000005</v>
      </c>
      <c r="J18" s="17">
        <f t="shared" si="5"/>
        <v>75351.736250000002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F2B5-665A-43DF-99FA-1A3A7ACB1F79}">
  <dimension ref="A1:M73"/>
  <sheetViews>
    <sheetView topLeftCell="A60" workbookViewId="0">
      <selection activeCell="B61" sqref="B61"/>
    </sheetView>
  </sheetViews>
  <sheetFormatPr defaultRowHeight="15" x14ac:dyDescent="0.25"/>
  <cols>
    <col min="1" max="1" width="3.7109375" customWidth="1"/>
    <col min="2" max="2" width="25.7109375" customWidth="1"/>
    <col min="3" max="3" width="17.7109375" customWidth="1"/>
    <col min="4" max="4" width="26.85546875" bestFit="1" customWidth="1"/>
    <col min="5" max="5" width="25.85546875" bestFit="1" customWidth="1"/>
    <col min="6" max="11" width="12.7109375" customWidth="1"/>
  </cols>
  <sheetData>
    <row r="1" spans="1:13" ht="15" customHeight="1" x14ac:dyDescent="0.25">
      <c r="A1" t="s">
        <v>27</v>
      </c>
      <c r="B1" s="15" t="s">
        <v>20</v>
      </c>
      <c r="C1" s="15"/>
      <c r="D1" s="15"/>
    </row>
    <row r="2" spans="1:13" x14ac:dyDescent="0.25">
      <c r="A2" s="13" t="s">
        <v>19</v>
      </c>
      <c r="B2" s="13"/>
      <c r="C2" s="14"/>
      <c r="D2" s="14"/>
    </row>
    <row r="3" spans="1:13" x14ac:dyDescent="0.25">
      <c r="G3" s="1"/>
    </row>
    <row r="4" spans="1:13" x14ac:dyDescent="0.25">
      <c r="B4" t="s">
        <v>23</v>
      </c>
      <c r="C4" s="18" t="s">
        <v>24</v>
      </c>
      <c r="D4" t="s">
        <v>0</v>
      </c>
      <c r="E4" s="19">
        <v>43893</v>
      </c>
      <c r="G4" s="2"/>
    </row>
    <row r="5" spans="1:13" x14ac:dyDescent="0.25">
      <c r="B5" t="s">
        <v>21</v>
      </c>
      <c r="C5" s="19">
        <v>43736</v>
      </c>
      <c r="D5" t="s">
        <v>1</v>
      </c>
      <c r="E5" s="20">
        <f>4375480000/1000000</f>
        <v>4375.4799999999996</v>
      </c>
    </row>
    <row r="6" spans="1:13" x14ac:dyDescent="0.25">
      <c r="B6" t="s">
        <v>22</v>
      </c>
      <c r="C6" s="22">
        <f>EOMONTH(C5,12)</f>
        <v>44104</v>
      </c>
      <c r="D6" t="s">
        <v>2</v>
      </c>
      <c r="E6" s="21">
        <v>284.59120000000001</v>
      </c>
    </row>
    <row r="7" spans="1:13" x14ac:dyDescent="0.25">
      <c r="B7" t="s">
        <v>29</v>
      </c>
      <c r="C7" s="23">
        <f>YEARFRAC(E4,C6)</f>
        <v>0.57499999999999996</v>
      </c>
      <c r="D7" t="s">
        <v>25</v>
      </c>
      <c r="E7" s="24">
        <v>0.09</v>
      </c>
    </row>
    <row r="11" spans="1:13" x14ac:dyDescent="0.25">
      <c r="A11" t="s">
        <v>27</v>
      </c>
      <c r="B11" s="15" t="s">
        <v>26</v>
      </c>
      <c r="C11" s="16"/>
      <c r="D11" s="16"/>
      <c r="E11" s="44"/>
      <c r="F11" s="44"/>
      <c r="G11" s="44"/>
      <c r="H11" s="44"/>
      <c r="I11" s="44"/>
      <c r="J11" s="44"/>
      <c r="K11" s="44"/>
    </row>
    <row r="13" spans="1:13" x14ac:dyDescent="0.25">
      <c r="E13" s="12">
        <f>EOMONTH(F13,-12)</f>
        <v>43373</v>
      </c>
      <c r="F13" s="57">
        <v>43736</v>
      </c>
      <c r="G13" s="12">
        <f>EOMONTH(F13,12)</f>
        <v>44104</v>
      </c>
      <c r="H13" s="12">
        <f t="shared" ref="H13:K13" si="0">EOMONTH(G13,12)</f>
        <v>44469</v>
      </c>
      <c r="I13" s="12">
        <f t="shared" si="0"/>
        <v>44834</v>
      </c>
      <c r="J13" s="12">
        <f t="shared" si="0"/>
        <v>45199</v>
      </c>
      <c r="K13" s="12">
        <f t="shared" si="0"/>
        <v>45565</v>
      </c>
    </row>
    <row r="14" spans="1:13" x14ac:dyDescent="0.25">
      <c r="D14" s="3" t="s">
        <v>3</v>
      </c>
      <c r="F14" s="58">
        <v>260174</v>
      </c>
      <c r="G14" s="8">
        <v>280608.71999999997</v>
      </c>
      <c r="H14" s="8">
        <v>307725.03000000003</v>
      </c>
      <c r="I14" s="8">
        <v>324775.53999999998</v>
      </c>
      <c r="J14" s="8">
        <v>344498</v>
      </c>
      <c r="K14" s="8">
        <v>361757</v>
      </c>
      <c r="M14" t="s">
        <v>18</v>
      </c>
    </row>
    <row r="15" spans="1:13" x14ac:dyDescent="0.25">
      <c r="D15" s="5" t="s">
        <v>10</v>
      </c>
      <c r="F15" s="59"/>
      <c r="G15" s="9">
        <f>G14/F14-1</f>
        <v>7.8542513856111551E-2</v>
      </c>
      <c r="H15" s="9">
        <f t="shared" ref="H15:K15" si="1">H14/G14-1</f>
        <v>9.6633882225755752E-2</v>
      </c>
      <c r="I15" s="9">
        <f t="shared" si="1"/>
        <v>5.5408264969540877E-2</v>
      </c>
      <c r="J15" s="9">
        <f t="shared" si="1"/>
        <v>6.0726432784932172E-2</v>
      </c>
      <c r="K15" s="9">
        <f t="shared" si="1"/>
        <v>5.0098984609489694E-2</v>
      </c>
    </row>
    <row r="16" spans="1:13" x14ac:dyDescent="0.25">
      <c r="D16" s="3" t="s">
        <v>5</v>
      </c>
      <c r="F16" s="58">
        <f>F18+12547</f>
        <v>76477</v>
      </c>
      <c r="G16" s="8">
        <v>81332.039999999994</v>
      </c>
      <c r="H16" s="8">
        <v>89333.2</v>
      </c>
      <c r="I16" s="8">
        <v>92753.42</v>
      </c>
      <c r="J16" s="8">
        <v>97457.67</v>
      </c>
      <c r="K16" s="8">
        <v>102010</v>
      </c>
    </row>
    <row r="17" spans="4:11" x14ac:dyDescent="0.25">
      <c r="D17" s="5" t="s">
        <v>11</v>
      </c>
      <c r="F17" s="60">
        <f>F16/F14</f>
        <v>0.29394559025882677</v>
      </c>
      <c r="G17" s="9">
        <f t="shared" ref="G17:K17" si="2">G16/G14</f>
        <v>0.28984145610300349</v>
      </c>
      <c r="H17" s="9">
        <f t="shared" si="2"/>
        <v>0.29030202710517239</v>
      </c>
      <c r="I17" s="9">
        <f t="shared" si="2"/>
        <v>0.28559238174155605</v>
      </c>
      <c r="J17" s="9">
        <f t="shared" si="2"/>
        <v>0.28289763656102501</v>
      </c>
      <c r="K17" s="9">
        <f t="shared" si="2"/>
        <v>0.28198486829556857</v>
      </c>
    </row>
    <row r="18" spans="4:11" x14ac:dyDescent="0.25">
      <c r="D18" s="3" t="s">
        <v>4</v>
      </c>
      <c r="F18" s="58">
        <v>63930</v>
      </c>
      <c r="G18" s="8">
        <v>69021.94</v>
      </c>
      <c r="H18" s="8">
        <v>76942.86</v>
      </c>
      <c r="I18" s="8">
        <v>81247.67</v>
      </c>
      <c r="J18" s="8">
        <v>87866</v>
      </c>
      <c r="K18" s="8">
        <v>91059.5</v>
      </c>
    </row>
    <row r="19" spans="4:11" x14ac:dyDescent="0.25">
      <c r="D19" s="5" t="s">
        <v>11</v>
      </c>
      <c r="F19" s="60">
        <f>F18/F14</f>
        <v>0.24572017188496928</v>
      </c>
      <c r="G19" s="9">
        <f t="shared" ref="G19:K19" si="3">G18/G14</f>
        <v>0.24597218504114915</v>
      </c>
      <c r="H19" s="9">
        <f t="shared" si="3"/>
        <v>0.25003770411526161</v>
      </c>
      <c r="I19" s="9">
        <f t="shared" si="3"/>
        <v>0.25016560668331123</v>
      </c>
      <c r="J19" s="9">
        <f t="shared" si="3"/>
        <v>0.25505518174270969</v>
      </c>
      <c r="K19" s="9">
        <f t="shared" si="3"/>
        <v>0.25171454871640353</v>
      </c>
    </row>
    <row r="20" spans="4:11" x14ac:dyDescent="0.25">
      <c r="D20" s="4"/>
      <c r="F20" s="59"/>
    </row>
    <row r="21" spans="4:11" x14ac:dyDescent="0.25">
      <c r="D21" s="6" t="s">
        <v>14</v>
      </c>
      <c r="F21" s="61">
        <f>-F22*F18</f>
        <v>-10192.894868947473</v>
      </c>
      <c r="G21" s="11">
        <f t="shared" ref="G21:K21" si="4">-G22*G18</f>
        <v>-12127.154858</v>
      </c>
      <c r="H21" s="11">
        <f t="shared" si="4"/>
        <v>-12780.209046</v>
      </c>
      <c r="I21" s="11">
        <f t="shared" si="4"/>
        <v>-13543.986588999998</v>
      </c>
      <c r="J21" s="11">
        <f t="shared" si="4"/>
        <v>-15156.884999999998</v>
      </c>
      <c r="K21" s="11">
        <f t="shared" si="4"/>
        <v>-15707.763749999998</v>
      </c>
    </row>
    <row r="22" spans="4:11" x14ac:dyDescent="0.25">
      <c r="D22" s="4" t="s">
        <v>13</v>
      </c>
      <c r="F22" s="62">
        <v>0.15943836804235059</v>
      </c>
      <c r="G22" s="9">
        <v>0.1757</v>
      </c>
      <c r="H22" s="9">
        <v>0.1661</v>
      </c>
      <c r="I22" s="9">
        <v>0.16669999999999999</v>
      </c>
      <c r="J22" s="9">
        <v>0.17249999999999999</v>
      </c>
      <c r="K22" s="9">
        <v>0.17249999999999999</v>
      </c>
    </row>
    <row r="23" spans="4:11" x14ac:dyDescent="0.25">
      <c r="F23" s="59"/>
    </row>
    <row r="24" spans="4:11" x14ac:dyDescent="0.25">
      <c r="D24" s="6" t="s">
        <v>15</v>
      </c>
      <c r="F24" s="63">
        <f>SUM(F21,F18)</f>
        <v>53737.105131052529</v>
      </c>
      <c r="G24" s="17">
        <f t="shared" ref="G24:K24" si="5">SUM(G21,G18)</f>
        <v>56894.785142000001</v>
      </c>
      <c r="H24" s="17">
        <f t="shared" si="5"/>
        <v>64162.650953999997</v>
      </c>
      <c r="I24" s="17">
        <f t="shared" si="5"/>
        <v>67703.683411000005</v>
      </c>
      <c r="J24" s="17">
        <f t="shared" si="5"/>
        <v>72709.115000000005</v>
      </c>
      <c r="K24" s="17">
        <f t="shared" si="5"/>
        <v>75351.736250000002</v>
      </c>
    </row>
    <row r="25" spans="4:11" x14ac:dyDescent="0.25">
      <c r="F25" s="59"/>
    </row>
    <row r="26" spans="4:11" x14ac:dyDescent="0.25">
      <c r="F26" s="63"/>
    </row>
    <row r="27" spans="4:11" x14ac:dyDescent="0.25">
      <c r="D27" s="3" t="s">
        <v>6</v>
      </c>
      <c r="F27" s="58">
        <f>F16-F18</f>
        <v>12547</v>
      </c>
      <c r="G27" s="7">
        <f>G16-G18</f>
        <v>12310.099999999991</v>
      </c>
      <c r="H27" s="7">
        <f t="shared" ref="H27:K27" si="6">H16-H18</f>
        <v>12390.339999999997</v>
      </c>
      <c r="I27" s="7">
        <f t="shared" si="6"/>
        <v>11505.75</v>
      </c>
      <c r="J27" s="7">
        <f t="shared" si="6"/>
        <v>9591.6699999999983</v>
      </c>
      <c r="K27" s="7">
        <f t="shared" si="6"/>
        <v>10950.5</v>
      </c>
    </row>
    <row r="28" spans="4:11" x14ac:dyDescent="0.25">
      <c r="D28" s="5" t="s">
        <v>12</v>
      </c>
      <c r="F28" s="64">
        <f>F27/F14</f>
        <v>4.8225418373857493E-2</v>
      </c>
      <c r="G28" s="10">
        <f t="shared" ref="G28:K28" si="7">G27/G14</f>
        <v>4.3869271061854356E-2</v>
      </c>
      <c r="H28" s="10">
        <f t="shared" si="7"/>
        <v>4.0264322989910818E-2</v>
      </c>
      <c r="I28" s="10">
        <f t="shared" si="7"/>
        <v>3.5426775058244847E-2</v>
      </c>
      <c r="J28" s="10">
        <f t="shared" si="7"/>
        <v>2.7842454818315342E-2</v>
      </c>
      <c r="K28" s="10">
        <f t="shared" si="7"/>
        <v>3.0270319579165018E-2</v>
      </c>
    </row>
    <row r="29" spans="4:11" x14ac:dyDescent="0.25">
      <c r="D29" s="3" t="s">
        <v>7</v>
      </c>
      <c r="F29" s="58">
        <v>-10495</v>
      </c>
      <c r="G29" s="7">
        <f>G30*-G14</f>
        <v>-11319.30368291989</v>
      </c>
      <c r="H29" s="7">
        <f t="shared" ref="H29:K29" si="8">H30*-H14</f>
        <v>-12105.406911892733</v>
      </c>
      <c r="I29" s="7">
        <f t="shared" si="8"/>
        <v>-12451.370965630998</v>
      </c>
      <c r="J29" s="7">
        <f t="shared" si="8"/>
        <v>-12863.000307655644</v>
      </c>
      <c r="K29" s="7">
        <f t="shared" si="8"/>
        <v>-13145.666562100745</v>
      </c>
    </row>
    <row r="30" spans="4:11" x14ac:dyDescent="0.25">
      <c r="D30" s="5" t="s">
        <v>12</v>
      </c>
      <c r="F30" s="64">
        <f>F29/-$F$14</f>
        <v>4.033838892433525E-2</v>
      </c>
      <c r="G30" s="10">
        <f>F30</f>
        <v>4.033838892433525E-2</v>
      </c>
      <c r="H30" s="10">
        <f t="shared" ref="H30:K30" si="9">G30-0.001</f>
        <v>3.9338388924335249E-2</v>
      </c>
      <c r="I30" s="10">
        <f t="shared" si="9"/>
        <v>3.8338388924335248E-2</v>
      </c>
      <c r="J30" s="10">
        <f t="shared" si="9"/>
        <v>3.7338388924335247E-2</v>
      </c>
      <c r="K30" s="10">
        <f t="shared" si="9"/>
        <v>3.6338388924335246E-2</v>
      </c>
    </row>
    <row r="31" spans="4:11" x14ac:dyDescent="0.25">
      <c r="D31" s="3" t="s">
        <v>16</v>
      </c>
      <c r="F31" s="65">
        <f>E36-F36</f>
        <v>-2927</v>
      </c>
      <c r="G31" s="7">
        <f>F36-G36</f>
        <v>2247.9155999999966</v>
      </c>
      <c r="H31" s="7">
        <f>G36-H36</f>
        <v>2847.2125500000038</v>
      </c>
      <c r="I31" s="7">
        <f>H36-I36</f>
        <v>1790.3035499999933</v>
      </c>
      <c r="J31" s="7">
        <f>I36-J36</f>
        <v>2070.8583000000071</v>
      </c>
      <c r="K31" s="7">
        <f>J36-K36</f>
        <v>1812.1949999999997</v>
      </c>
    </row>
    <row r="32" spans="4:11" x14ac:dyDescent="0.25">
      <c r="E32" s="36"/>
      <c r="F32" s="38"/>
      <c r="G32" s="36"/>
    </row>
    <row r="33" spans="1:11" x14ac:dyDescent="0.25">
      <c r="D33" s="39" t="s">
        <v>17</v>
      </c>
      <c r="E33" s="40"/>
      <c r="F33" s="41"/>
      <c r="G33" s="42">
        <f t="shared" ref="G33:K33" si="10">G24+G27+G29+G31</f>
        <v>60133.497059080095</v>
      </c>
      <c r="H33" s="43">
        <f t="shared" si="10"/>
        <v>67294.796592107276</v>
      </c>
      <c r="I33" s="43">
        <f t="shared" si="10"/>
        <v>68548.365995369008</v>
      </c>
      <c r="J33" s="43">
        <f t="shared" si="10"/>
        <v>71508.642992344365</v>
      </c>
      <c r="K33" s="43">
        <f t="shared" si="10"/>
        <v>74968.764687899267</v>
      </c>
    </row>
    <row r="34" spans="1:11" x14ac:dyDescent="0.25">
      <c r="E34" s="36"/>
      <c r="F34" s="36"/>
      <c r="G34" s="36"/>
    </row>
    <row r="35" spans="1:11" x14ac:dyDescent="0.25">
      <c r="E35" s="36"/>
      <c r="F35" s="36"/>
    </row>
    <row r="36" spans="1:11" x14ac:dyDescent="0.25">
      <c r="D36" s="3" t="s">
        <v>8</v>
      </c>
      <c r="E36" s="37">
        <v>-30143</v>
      </c>
      <c r="F36" s="37">
        <v>-27216</v>
      </c>
      <c r="G36" s="7">
        <f>G37*G14</f>
        <v>-29463.915599999997</v>
      </c>
      <c r="H36" s="7">
        <f>H37*H14</f>
        <v>-32311.12815</v>
      </c>
      <c r="I36" s="7">
        <f>I37*I14</f>
        <v>-34101.431699999994</v>
      </c>
      <c r="J36" s="7">
        <f>J37*J14</f>
        <v>-36172.29</v>
      </c>
      <c r="K36" s="7">
        <f>K37*K14</f>
        <v>-37984.485000000001</v>
      </c>
    </row>
    <row r="37" spans="1:11" x14ac:dyDescent="0.25">
      <c r="D37" s="5" t="s">
        <v>12</v>
      </c>
      <c r="E37" s="36"/>
      <c r="F37" s="45">
        <v>-0.105</v>
      </c>
      <c r="G37" s="46">
        <v>-0.105</v>
      </c>
      <c r="H37" s="46">
        <v>-0.105</v>
      </c>
      <c r="I37" s="46">
        <v>-0.105</v>
      </c>
      <c r="J37" s="46">
        <v>-0.105</v>
      </c>
      <c r="K37" s="46">
        <v>-0.105</v>
      </c>
    </row>
    <row r="38" spans="1:11" x14ac:dyDescent="0.25">
      <c r="E38" s="36"/>
      <c r="F38" s="36"/>
    </row>
    <row r="39" spans="1:11" x14ac:dyDescent="0.25">
      <c r="A39" t="s">
        <v>27</v>
      </c>
      <c r="B39" s="15" t="s">
        <v>28</v>
      </c>
      <c r="C39" s="16"/>
      <c r="D39" s="16"/>
      <c r="E39" s="44"/>
      <c r="F39" s="44"/>
      <c r="G39" s="44"/>
      <c r="H39" s="44"/>
      <c r="I39" s="44"/>
      <c r="J39" s="44"/>
      <c r="K39" s="44"/>
    </row>
    <row r="40" spans="1:11" x14ac:dyDescent="0.25">
      <c r="E40" s="36"/>
      <c r="F40" s="36" t="s">
        <v>33</v>
      </c>
    </row>
    <row r="41" spans="1:11" x14ac:dyDescent="0.25">
      <c r="D41" t="s">
        <v>30</v>
      </c>
      <c r="F41" s="49">
        <f>E4</f>
        <v>43893</v>
      </c>
      <c r="G41" s="12">
        <f>G13</f>
        <v>44104</v>
      </c>
      <c r="H41" s="12">
        <f t="shared" ref="H41:K41" si="11">H13</f>
        <v>44469</v>
      </c>
      <c r="I41" s="12">
        <f t="shared" si="11"/>
        <v>44834</v>
      </c>
      <c r="J41" s="12">
        <f t="shared" si="11"/>
        <v>45199</v>
      </c>
      <c r="K41" s="12">
        <f t="shared" si="11"/>
        <v>45565</v>
      </c>
    </row>
    <row r="42" spans="1:11" x14ac:dyDescent="0.25">
      <c r="B42" t="s">
        <v>31</v>
      </c>
      <c r="D42" s="48">
        <f>C7</f>
        <v>0.57499999999999996</v>
      </c>
      <c r="G42" s="7">
        <f>D42*G33</f>
        <v>34576.760808971048</v>
      </c>
      <c r="H42" s="7">
        <f>H33</f>
        <v>67294.796592107276</v>
      </c>
      <c r="I42" s="7">
        <f t="shared" ref="I42:K42" si="12">I33</f>
        <v>68548.365995369008</v>
      </c>
      <c r="J42" s="7">
        <f t="shared" si="12"/>
        <v>71508.642992344365</v>
      </c>
      <c r="K42" s="7">
        <f t="shared" si="12"/>
        <v>74968.764687899267</v>
      </c>
    </row>
    <row r="43" spans="1:11" x14ac:dyDescent="0.25">
      <c r="B43" t="s">
        <v>32</v>
      </c>
      <c r="G43" s="42">
        <f>G$42/(1+$E$7)^(YEARFRAC($F$41,G$41))</f>
        <v>32905.164730647652</v>
      </c>
      <c r="H43" s="43">
        <f>H$42/(1+$E$7)^(YEARFRAC($F$41,H$41))</f>
        <v>58753.636293794509</v>
      </c>
      <c r="I43" s="43">
        <f>I$42/(1+$E$7)^(YEARFRAC($F$41,I$41))</f>
        <v>54906.51441996621</v>
      </c>
      <c r="J43" s="43">
        <f>J$42/(1+$E$7)^(YEARFRAC($F$41,J$41))</f>
        <v>52548.31643120051</v>
      </c>
      <c r="K43" s="43">
        <f>K$42/(1+$E$7)^(YEARFRAC($F$41,K$41))</f>
        <v>50542.19821926939</v>
      </c>
    </row>
    <row r="44" spans="1:11" x14ac:dyDescent="0.25">
      <c r="G44" s="47"/>
    </row>
    <row r="47" spans="1:11" x14ac:dyDescent="0.25">
      <c r="A47" t="s">
        <v>27</v>
      </c>
      <c r="B47" s="15" t="s">
        <v>34</v>
      </c>
      <c r="C47" s="16"/>
      <c r="D47" s="16"/>
      <c r="E47" s="44"/>
      <c r="F47" s="44"/>
      <c r="G47" s="44"/>
      <c r="H47" s="44"/>
      <c r="I47" s="44"/>
      <c r="J47" s="44"/>
      <c r="K47" s="44"/>
    </row>
    <row r="49" spans="1:11" x14ac:dyDescent="0.25">
      <c r="B49" s="50" t="s">
        <v>35</v>
      </c>
      <c r="C49" s="50"/>
      <c r="E49" s="50" t="s">
        <v>36</v>
      </c>
      <c r="F49" s="50"/>
    </row>
    <row r="50" spans="1:11" x14ac:dyDescent="0.25">
      <c r="B50" s="51" t="s">
        <v>37</v>
      </c>
      <c r="C50" s="52">
        <v>0.02</v>
      </c>
      <c r="E50" s="51" t="s">
        <v>45</v>
      </c>
      <c r="F50" s="56">
        <v>12.5</v>
      </c>
    </row>
    <row r="51" spans="1:11" x14ac:dyDescent="0.25">
      <c r="B51" s="51" t="s">
        <v>38</v>
      </c>
      <c r="C51" s="53">
        <f>K33*(1+C50)</f>
        <v>76468.139981657252</v>
      </c>
      <c r="E51" s="51" t="s">
        <v>46</v>
      </c>
      <c r="F51" s="53">
        <f>K16</f>
        <v>102010</v>
      </c>
    </row>
    <row r="52" spans="1:11" x14ac:dyDescent="0.25">
      <c r="B52" s="51" t="s">
        <v>39</v>
      </c>
      <c r="C52" s="53">
        <f>C51/(E7-C50)</f>
        <v>1092401.9997379608</v>
      </c>
      <c r="E52" s="51" t="s">
        <v>39</v>
      </c>
      <c r="F52" s="53">
        <f>F50*F51</f>
        <v>1275125</v>
      </c>
    </row>
    <row r="53" spans="1:11" x14ac:dyDescent="0.25">
      <c r="B53" s="51" t="s">
        <v>40</v>
      </c>
      <c r="C53" s="53">
        <f>SUM(G43:K43)</f>
        <v>249655.83009487827</v>
      </c>
      <c r="E53" s="51" t="s">
        <v>40</v>
      </c>
      <c r="F53" s="53">
        <f>SUM(G43:K43)</f>
        <v>249655.83009487827</v>
      </c>
    </row>
    <row r="54" spans="1:11" x14ac:dyDescent="0.25">
      <c r="B54" s="51" t="s">
        <v>41</v>
      </c>
      <c r="C54" s="53">
        <f>SUM(C52:C53)</f>
        <v>1342057.8298328391</v>
      </c>
      <c r="E54" s="51" t="s">
        <v>41</v>
      </c>
      <c r="F54" s="53">
        <f>SUM(F52:F53)</f>
        <v>1524780.8300948783</v>
      </c>
    </row>
    <row r="55" spans="1:11" x14ac:dyDescent="0.25">
      <c r="B55" s="51" t="s">
        <v>42</v>
      </c>
      <c r="C55" s="54">
        <f>C54/K16</f>
        <v>13.156139886607578</v>
      </c>
      <c r="E55" s="51" t="s">
        <v>47</v>
      </c>
      <c r="F55" s="55"/>
    </row>
    <row r="57" spans="1:11" x14ac:dyDescent="0.25">
      <c r="B57" s="51" t="s">
        <v>43</v>
      </c>
      <c r="C57" s="55">
        <f>C52/C54</f>
        <v>0.8139753559457461</v>
      </c>
      <c r="E57" s="51" t="s">
        <v>43</v>
      </c>
      <c r="F57" s="55">
        <f>F52/F54</f>
        <v>0.83626772768428381</v>
      </c>
    </row>
    <row r="58" spans="1:11" x14ac:dyDescent="0.25">
      <c r="B58" s="51" t="s">
        <v>44</v>
      </c>
      <c r="C58" s="55">
        <f>1-C57</f>
        <v>0.1860246440542539</v>
      </c>
      <c r="E58" s="51" t="s">
        <v>44</v>
      </c>
      <c r="F58" s="55">
        <f>1-F57</f>
        <v>0.16373227231571619</v>
      </c>
    </row>
    <row r="63" spans="1:11" x14ac:dyDescent="0.25">
      <c r="A63" t="s">
        <v>27</v>
      </c>
      <c r="B63" s="15" t="s">
        <v>48</v>
      </c>
      <c r="C63" s="16"/>
      <c r="D63" s="16"/>
      <c r="E63" s="44"/>
      <c r="F63" s="44"/>
      <c r="G63" s="44"/>
      <c r="H63" s="44"/>
      <c r="I63" s="44"/>
      <c r="J63" s="44"/>
      <c r="K63" s="44"/>
    </row>
    <row r="65" spans="2:10" x14ac:dyDescent="0.25">
      <c r="B65" s="3" t="s">
        <v>49</v>
      </c>
      <c r="I65" s="14" t="s">
        <v>58</v>
      </c>
      <c r="J65" s="14"/>
    </row>
    <row r="66" spans="2:10" x14ac:dyDescent="0.25">
      <c r="B66" t="s">
        <v>55</v>
      </c>
      <c r="C66" s="7">
        <f>10260+91807+5980</f>
        <v>108047</v>
      </c>
    </row>
    <row r="67" spans="2:10" x14ac:dyDescent="0.25">
      <c r="B67" t="s">
        <v>56</v>
      </c>
      <c r="C67" s="7">
        <f>48844+51713+105341</f>
        <v>205898</v>
      </c>
    </row>
    <row r="68" spans="2:10" x14ac:dyDescent="0.25">
      <c r="B68" t="s">
        <v>49</v>
      </c>
      <c r="C68" s="17">
        <f>C66-C67</f>
        <v>-97851</v>
      </c>
    </row>
    <row r="70" spans="2:10" x14ac:dyDescent="0.25">
      <c r="B70" s="50" t="s">
        <v>35</v>
      </c>
      <c r="C70" s="50"/>
      <c r="E70" s="50" t="s">
        <v>36</v>
      </c>
      <c r="F70" s="50"/>
    </row>
    <row r="71" spans="2:10" x14ac:dyDescent="0.25">
      <c r="B71" t="s">
        <v>57</v>
      </c>
      <c r="C71" s="7">
        <f>C54-$C$68</f>
        <v>1439908.8298328391</v>
      </c>
      <c r="E71" t="s">
        <v>57</v>
      </c>
      <c r="F71" s="7">
        <f>F54-$C$68</f>
        <v>1622631.8300948783</v>
      </c>
    </row>
    <row r="72" spans="2:10" x14ac:dyDescent="0.25">
      <c r="B72" t="s">
        <v>58</v>
      </c>
      <c r="E72" t="s">
        <v>58</v>
      </c>
    </row>
    <row r="73" spans="2:10" x14ac:dyDescent="0.25">
      <c r="B73" t="s">
        <v>59</v>
      </c>
      <c r="C73" t="e">
        <f>C71/C72</f>
        <v>#DIV/0!</v>
      </c>
      <c r="E73" t="s">
        <v>59</v>
      </c>
      <c r="F73" t="e">
        <f>F71/F72</f>
        <v>#DIV/0!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65D9A-547D-445A-80B4-DB0A949BD4F0}">
  <dimension ref="B2:E6"/>
  <sheetViews>
    <sheetView tabSelected="1" workbookViewId="0">
      <selection activeCell="J21" sqref="J21"/>
    </sheetView>
  </sheetViews>
  <sheetFormatPr defaultRowHeight="15" x14ac:dyDescent="0.25"/>
  <cols>
    <col min="1" max="1" width="2.7109375" customWidth="1"/>
    <col min="2" max="2" width="18.85546875" bestFit="1" customWidth="1"/>
    <col min="3" max="3" width="14.42578125" bestFit="1" customWidth="1"/>
  </cols>
  <sheetData>
    <row r="2" spans="2:5" x14ac:dyDescent="0.25">
      <c r="B2" s="15" t="s">
        <v>58</v>
      </c>
      <c r="C2" s="15"/>
      <c r="D2" s="15"/>
      <c r="E2" s="15"/>
    </row>
    <row r="3" spans="2:5" x14ac:dyDescent="0.25">
      <c r="B3" s="13" t="s">
        <v>19</v>
      </c>
      <c r="C3" s="14"/>
      <c r="D3" s="14"/>
      <c r="E3" s="14"/>
    </row>
    <row r="5" spans="2:5" x14ac:dyDescent="0.25">
      <c r="B5" t="s">
        <v>60</v>
      </c>
      <c r="C5" t="s">
        <v>61</v>
      </c>
    </row>
    <row r="6" spans="2:5" x14ac:dyDescent="0.25">
      <c r="B6" t="s">
        <v>50</v>
      </c>
      <c r="C6" t="s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Financials</vt:lpstr>
      <vt:lpstr>Simple DCF</vt:lpstr>
      <vt:lpstr>Shares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</dc:creator>
  <cp:lastModifiedBy>Massimo</cp:lastModifiedBy>
  <dcterms:created xsi:type="dcterms:W3CDTF">2022-08-17T06:06:16Z</dcterms:created>
  <dcterms:modified xsi:type="dcterms:W3CDTF">2022-08-19T06:08:06Z</dcterms:modified>
</cp:coreProperties>
</file>