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autoCompressPictures="0" defaultThemeVersion="124226"/>
  <mc:AlternateContent xmlns:mc="http://schemas.openxmlformats.org/markup-compatibility/2006">
    <mc:Choice Requires="x15">
      <x15ac:absPath xmlns:x15ac="http://schemas.microsoft.com/office/spreadsheetml/2010/11/ac" url="C:\Users\Massimo\Desktop\WallStreetPrep Supporting Files\Financial Statement Modeling\"/>
    </mc:Choice>
  </mc:AlternateContent>
  <xr:revisionPtr revIDLastSave="0" documentId="13_ncr:1_{4B54F149-6CEB-497F-9F1D-60787D710978}" xr6:coauthVersionLast="47" xr6:coauthVersionMax="47" xr10:uidLastSave="{00000000-0000-0000-0000-000000000000}"/>
  <bookViews>
    <workbookView xWindow="12780" yWindow="855" windowWidth="38700" windowHeight="15375" tabRatio="736" activeTab="1" xr2:uid="{00000000-000D-0000-FFFF-FFFF00000000}"/>
  </bookViews>
  <sheets>
    <sheet name="QCOM FSM Data Input_Empty" sheetId="66" r:id="rId1"/>
    <sheet name="QCOM FSM Forecasting " sheetId="87" r:id="rId2"/>
    <sheet name="FSM Forecasting_Empty II" sheetId="69" r:id="rId3"/>
    <sheet name="FSM Forecasting_Empty" sheetId="67" r:id="rId4"/>
    <sheet name="FSM Data Input_Done" sheetId="81" r:id="rId5"/>
    <sheet name="FSM Forecasting_ProgressCheck1" sheetId="68" r:id="rId6"/>
    <sheet name="FSM Forecasting_ProgressCheck2" sheetId="80" r:id="rId7"/>
    <sheet name="FSM Complete" sheetId="64" r:id="rId8"/>
    <sheet name="Find the errors" sheetId="83" r:id="rId9"/>
    <sheet name="Find the errors Complete" sheetId="82" r:id="rId10"/>
    <sheet name="Extras" sheetId="74" r:id="rId11"/>
    <sheet name="Extras Complete" sheetId="70" r:id="rId12"/>
    <sheet name="Rev Build Fill " sheetId="73" r:id="rId13"/>
    <sheet name="Rev Build Complete" sheetId="71" r:id="rId14"/>
    <sheet name="Rev Build" sheetId="77" r:id="rId15"/>
    <sheet name="FSM + Rev Scenarios" sheetId="76" r:id="rId16"/>
    <sheet name="FSM + Schedules Empty" sheetId="79" r:id="rId17"/>
    <sheet name="FSM + Schedules" sheetId="78" r:id="rId18"/>
    <sheet name="FSM 2019 Update Empty" sheetId="86" r:id="rId19"/>
    <sheet name="2019 FSM Update Complete" sheetId="84" r:id="rId20"/>
  </sheets>
  <definedNames>
    <definedName name="CIQWBGuid" hidden="1">"a611639b-bab1-425e-aaa5-008c326fdfdb"</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43588.5561574074</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MLNK841c85bef3244d5c8fb6b3f84988d79e" localSheetId="12" hidden="1">'Rev Build Fill '!$1:$1048576</definedName>
    <definedName name="MLNK841c85bef3244d5c8fb6b3f84988d79e" hidden="1">'Rev Build Complete'!$1:$1048576</definedName>
    <definedName name="MLNKa7775792bf444a4785f8ed5c82461a24" localSheetId="12" hidden="1">'Rev Build Fill '!$D$8:$F$12</definedName>
    <definedName name="MLNKa7775792bf444a4785f8ed5c82461a24" hidden="1">'Rev Build Complete'!$D$8:$F$12</definedName>
    <definedName name="_xlnm.Print_Area" localSheetId="19">'2019 FSM Update Complete'!$C$2:$T$156</definedName>
    <definedName name="_xlnm.Print_Area" localSheetId="10">Extras!$C$2:$V$211</definedName>
    <definedName name="_xlnm.Print_Area" localSheetId="11">'Extras Complete'!$C$2:$T$211</definedName>
    <definedName name="_xlnm.Print_Area" localSheetId="8">'Find the errors'!$C$2:$T$156</definedName>
    <definedName name="_xlnm.Print_Area" localSheetId="9">'Find the errors Complete'!$C$2:$T$156</definedName>
    <definedName name="_xlnm.Print_Area" localSheetId="18">'FSM 2019 Update Empty'!$C$2:$T$156</definedName>
    <definedName name="_xlnm.Print_Area" localSheetId="7">'FSM Complete'!$C$2:$T$156</definedName>
    <definedName name="_xlnm.Print_Area" localSheetId="3">'FSM Forecasting_Empty'!$C$2:$U$119</definedName>
    <definedName name="_xlnm.Print_Area" localSheetId="2">'FSM Forecasting_Empty II'!$C$2:$T$156</definedName>
    <definedName name="_xlnm.Print_Area" localSheetId="5">'FSM Forecasting_ProgressCheck1'!$C$2:$V$90</definedName>
    <definedName name="_xlnm.Print_Area" localSheetId="6">'FSM Forecasting_ProgressCheck2'!$C$2:$U$119</definedName>
    <definedName name="_xlnm.Print_Area" localSheetId="13">'Rev Build Complete'!$C$2:$R$44</definedName>
    <definedName name="_xlnm.Print_Area" localSheetId="12">'Rev Build Fill '!$C$2:$Q$41</definedName>
  </definedNames>
  <calcPr calcId="191029" calcMode="autoNoTable"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83" i="87" l="1"/>
  <c r="J83" i="87"/>
  <c r="I83" i="87"/>
  <c r="H83" i="87"/>
  <c r="G83" i="87"/>
  <c r="K117" i="87"/>
  <c r="J117" i="87"/>
  <c r="I117" i="87"/>
  <c r="H117" i="87"/>
  <c r="G117" i="87"/>
  <c r="K118" i="87"/>
  <c r="J118" i="87"/>
  <c r="I118" i="87"/>
  <c r="H118" i="87"/>
  <c r="I115" i="87" s="1"/>
  <c r="G118" i="87"/>
  <c r="H115" i="87" s="1"/>
  <c r="K116" i="87"/>
  <c r="J116" i="87"/>
  <c r="I116" i="87"/>
  <c r="H116" i="87"/>
  <c r="G116" i="87"/>
  <c r="F116" i="87"/>
  <c r="E118" i="87"/>
  <c r="F118" i="87"/>
  <c r="K84" i="87"/>
  <c r="J84" i="87"/>
  <c r="I84" i="87"/>
  <c r="H84" i="87"/>
  <c r="G84" i="87"/>
  <c r="F115" i="87"/>
  <c r="F117" i="87" s="1"/>
  <c r="K115" i="87"/>
  <c r="J115" i="87"/>
  <c r="G115" i="87"/>
  <c r="K30" i="87"/>
  <c r="J30" i="87"/>
  <c r="I30" i="87"/>
  <c r="H30" i="87"/>
  <c r="G30" i="87"/>
  <c r="E112" i="87"/>
  <c r="D112" i="87"/>
  <c r="F112" i="87"/>
  <c r="E111" i="87"/>
  <c r="E110" i="87"/>
  <c r="D110" i="87"/>
  <c r="D111" i="87" s="1"/>
  <c r="F110" i="87"/>
  <c r="F111" i="87" s="1"/>
  <c r="G111" i="87" s="1"/>
  <c r="K49" i="87"/>
  <c r="J49" i="87"/>
  <c r="I49" i="87"/>
  <c r="H49" i="87"/>
  <c r="G49" i="87"/>
  <c r="K87" i="87"/>
  <c r="J87" i="87"/>
  <c r="I87" i="87"/>
  <c r="H87" i="87"/>
  <c r="H88" i="87" s="1"/>
  <c r="G87" i="87"/>
  <c r="J36" i="87"/>
  <c r="K36" i="87" s="1"/>
  <c r="I36" i="87"/>
  <c r="G105" i="87"/>
  <c r="H102" i="87" s="1"/>
  <c r="G104" i="87"/>
  <c r="D107" i="87"/>
  <c r="D105" i="87"/>
  <c r="D103" i="87"/>
  <c r="H107" i="87"/>
  <c r="I107" i="87" s="1"/>
  <c r="J107" i="87" s="1"/>
  <c r="K107" i="87" s="1"/>
  <c r="G107" i="87"/>
  <c r="E107" i="87"/>
  <c r="F107" i="87"/>
  <c r="G102" i="87"/>
  <c r="E105" i="87"/>
  <c r="F105" i="87"/>
  <c r="E104" i="87"/>
  <c r="F104" i="87"/>
  <c r="K94" i="87"/>
  <c r="J94" i="87"/>
  <c r="I94" i="87"/>
  <c r="H94" i="87"/>
  <c r="G94" i="87"/>
  <c r="K90" i="87"/>
  <c r="J90" i="87"/>
  <c r="I90" i="87"/>
  <c r="H90" i="87"/>
  <c r="G90" i="87"/>
  <c r="K88" i="87"/>
  <c r="J88" i="87"/>
  <c r="I88" i="87"/>
  <c r="G88" i="87"/>
  <c r="H82" i="87"/>
  <c r="G82" i="87"/>
  <c r="G81" i="87"/>
  <c r="H81" i="87"/>
  <c r="H70" i="87"/>
  <c r="G70" i="87"/>
  <c r="K69" i="87"/>
  <c r="J69" i="87"/>
  <c r="I69" i="87"/>
  <c r="H69" i="87"/>
  <c r="G69" i="87"/>
  <c r="H67" i="87"/>
  <c r="G67" i="87"/>
  <c r="G62" i="87"/>
  <c r="G65" i="87" s="1"/>
  <c r="H61" i="87"/>
  <c r="G61" i="87"/>
  <c r="G64" i="87"/>
  <c r="H64" i="87" s="1"/>
  <c r="I64" i="87" s="1"/>
  <c r="H63" i="87"/>
  <c r="I63" i="87" s="1"/>
  <c r="J63" i="87" s="1"/>
  <c r="K63" i="87" s="1"/>
  <c r="G63" i="87"/>
  <c r="H59" i="87"/>
  <c r="G59" i="87"/>
  <c r="H58" i="87"/>
  <c r="I58" i="87" s="1"/>
  <c r="G58" i="87"/>
  <c r="H48" i="87"/>
  <c r="G48" i="87"/>
  <c r="H57" i="87"/>
  <c r="G57" i="87"/>
  <c r="H56" i="87"/>
  <c r="G56" i="87"/>
  <c r="H47" i="87"/>
  <c r="G47" i="87"/>
  <c r="H52" i="87"/>
  <c r="G52" i="87"/>
  <c r="H51" i="87"/>
  <c r="G51" i="87"/>
  <c r="I50" i="87"/>
  <c r="H50" i="87"/>
  <c r="G50" i="87"/>
  <c r="I38" i="87"/>
  <c r="J38" i="87" s="1"/>
  <c r="H38" i="87"/>
  <c r="H53" i="87"/>
  <c r="I53" i="87" s="1"/>
  <c r="G53" i="87"/>
  <c r="H46" i="87"/>
  <c r="I46" i="87" s="1"/>
  <c r="G46" i="87"/>
  <c r="K79" i="87"/>
  <c r="J79" i="87"/>
  <c r="I79" i="87"/>
  <c r="H79" i="87"/>
  <c r="H85" i="87" s="1"/>
  <c r="G79" i="87"/>
  <c r="G85" i="87" l="1"/>
  <c r="G96" i="87" s="1"/>
  <c r="G45" i="87" s="1"/>
  <c r="H96" i="87"/>
  <c r="H111" i="87"/>
  <c r="G110" i="87"/>
  <c r="G112" i="87" s="1"/>
  <c r="J50" i="87"/>
  <c r="J64" i="87"/>
  <c r="I51" i="87"/>
  <c r="I48" i="87"/>
  <c r="J48" i="87" s="1"/>
  <c r="I59" i="87"/>
  <c r="H104" i="87"/>
  <c r="H105" i="87"/>
  <c r="I102" i="87" s="1"/>
  <c r="I104" i="87"/>
  <c r="I105" i="87" s="1"/>
  <c r="J102" i="87" s="1"/>
  <c r="I61" i="87"/>
  <c r="H62" i="87"/>
  <c r="I62" i="87" s="1"/>
  <c r="I52" i="87"/>
  <c r="J52" i="87" s="1"/>
  <c r="G32" i="87"/>
  <c r="G80" i="87" s="1"/>
  <c r="K25" i="87"/>
  <c r="J25" i="87"/>
  <c r="I25" i="87"/>
  <c r="H25" i="87"/>
  <c r="G25" i="87"/>
  <c r="J40" i="87"/>
  <c r="K40" i="87" s="1"/>
  <c r="J37" i="87"/>
  <c r="K37" i="87" s="1"/>
  <c r="G18" i="87"/>
  <c r="G19" i="87"/>
  <c r="H17" i="87"/>
  <c r="I17" i="87" s="1"/>
  <c r="I19" i="87" s="1"/>
  <c r="I18" i="87" s="1"/>
  <c r="I56" i="87" s="1"/>
  <c r="G17" i="87"/>
  <c r="H45" i="87" l="1"/>
  <c r="H54" i="87" s="1"/>
  <c r="G54" i="87"/>
  <c r="G72" i="87" s="1"/>
  <c r="I111" i="87"/>
  <c r="H110" i="87"/>
  <c r="H112" i="87" s="1"/>
  <c r="K50" i="87"/>
  <c r="K52" i="87"/>
  <c r="K48" i="87"/>
  <c r="J103" i="87"/>
  <c r="K103" i="87" s="1"/>
  <c r="I47" i="87"/>
  <c r="J46" i="87"/>
  <c r="J53" i="87"/>
  <c r="K53" i="87" s="1"/>
  <c r="J51" i="87"/>
  <c r="K51" i="87" s="1"/>
  <c r="J58" i="87"/>
  <c r="K58" i="87" s="1"/>
  <c r="J62" i="87"/>
  <c r="J59" i="87"/>
  <c r="K59" i="87" s="1"/>
  <c r="I57" i="87"/>
  <c r="J104" i="87"/>
  <c r="J105" i="87" s="1"/>
  <c r="K102" i="87" s="1"/>
  <c r="H65" i="87"/>
  <c r="H72" i="87" s="1"/>
  <c r="J61" i="87"/>
  <c r="H19" i="87"/>
  <c r="H18" i="87" s="1"/>
  <c r="J17" i="87"/>
  <c r="H32" i="87"/>
  <c r="K100" i="87"/>
  <c r="J100" i="87"/>
  <c r="I100" i="87"/>
  <c r="H100" i="87"/>
  <c r="G100" i="87"/>
  <c r="K76" i="87"/>
  <c r="J76" i="87"/>
  <c r="I76" i="87"/>
  <c r="H76" i="87"/>
  <c r="G76" i="87"/>
  <c r="K44" i="87"/>
  <c r="J44" i="87"/>
  <c r="I44" i="87"/>
  <c r="H44" i="87"/>
  <c r="G44" i="87"/>
  <c r="K15" i="87"/>
  <c r="J15" i="87"/>
  <c r="I15" i="87"/>
  <c r="H15" i="87"/>
  <c r="G15" i="87"/>
  <c r="F70" i="87"/>
  <c r="E70" i="87"/>
  <c r="F63" i="87"/>
  <c r="F65" i="87" s="1"/>
  <c r="E63" i="87"/>
  <c r="E65" i="87" s="1"/>
  <c r="F54" i="87"/>
  <c r="E54" i="87"/>
  <c r="C44" i="87"/>
  <c r="C76" i="87" s="1"/>
  <c r="C100" i="87" s="1"/>
  <c r="C43" i="87"/>
  <c r="C75" i="87" s="1"/>
  <c r="C99" i="87" s="1"/>
  <c r="F40" i="87"/>
  <c r="E40" i="87"/>
  <c r="F39" i="87"/>
  <c r="E39" i="87"/>
  <c r="F38" i="87"/>
  <c r="E38" i="87"/>
  <c r="D38" i="87"/>
  <c r="G38" i="87" s="1"/>
  <c r="F37" i="87"/>
  <c r="E37" i="87"/>
  <c r="F36" i="87"/>
  <c r="E36" i="87"/>
  <c r="F31" i="87"/>
  <c r="F33" i="87" s="1"/>
  <c r="E31" i="87"/>
  <c r="E33" i="87" s="1"/>
  <c r="D21" i="87"/>
  <c r="D39" i="87" s="1"/>
  <c r="D19" i="87"/>
  <c r="F15" i="87"/>
  <c r="F44" i="87" s="1"/>
  <c r="F14" i="87"/>
  <c r="F75" i="87" s="1"/>
  <c r="G75" i="87" s="1"/>
  <c r="H75" i="87" s="1"/>
  <c r="I75" i="87" s="1"/>
  <c r="J75" i="87" s="1"/>
  <c r="K75" i="87" s="1"/>
  <c r="C2" i="87"/>
  <c r="E63" i="66"/>
  <c r="F63" i="66"/>
  <c r="J111" i="87" l="1"/>
  <c r="I110" i="87"/>
  <c r="I112" i="87" s="1"/>
  <c r="I81" i="87"/>
  <c r="I65" i="87"/>
  <c r="K64" i="87"/>
  <c r="K62" i="87"/>
  <c r="K46" i="87"/>
  <c r="I82" i="87"/>
  <c r="K104" i="87"/>
  <c r="K105" i="87" s="1"/>
  <c r="K61" i="87"/>
  <c r="G20" i="87"/>
  <c r="I32" i="87"/>
  <c r="I67" i="87" s="1"/>
  <c r="H80" i="87"/>
  <c r="G39" i="87"/>
  <c r="K17" i="87"/>
  <c r="J19" i="87"/>
  <c r="F99" i="87"/>
  <c r="G99" i="87" s="1"/>
  <c r="H99" i="87" s="1"/>
  <c r="I99" i="87" s="1"/>
  <c r="J99" i="87" s="1"/>
  <c r="K99" i="87" s="1"/>
  <c r="F43" i="87"/>
  <c r="G43" i="87" s="1"/>
  <c r="H43" i="87" s="1"/>
  <c r="I43" i="87" s="1"/>
  <c r="J43" i="87" s="1"/>
  <c r="K43" i="87" s="1"/>
  <c r="E72" i="87"/>
  <c r="D22" i="87"/>
  <c r="D31" i="87" s="1"/>
  <c r="D33" i="87" s="1"/>
  <c r="F72" i="87"/>
  <c r="E15" i="87"/>
  <c r="E100" i="87" s="1"/>
  <c r="G14" i="87"/>
  <c r="H14" i="87" s="1"/>
  <c r="I14" i="87" s="1"/>
  <c r="J14" i="87" s="1"/>
  <c r="K14" i="87" s="1"/>
  <c r="D37" i="87"/>
  <c r="E14" i="87"/>
  <c r="E99" i="87" s="1"/>
  <c r="F70" i="66"/>
  <c r="E70" i="66"/>
  <c r="E65" i="66"/>
  <c r="F65" i="66"/>
  <c r="F54" i="66"/>
  <c r="E54" i="66"/>
  <c r="F40" i="66"/>
  <c r="E40" i="66"/>
  <c r="F39" i="66"/>
  <c r="E39" i="66"/>
  <c r="F38" i="66"/>
  <c r="E38" i="66"/>
  <c r="D38" i="66"/>
  <c r="F37" i="66"/>
  <c r="E37" i="66"/>
  <c r="F36" i="66"/>
  <c r="E36" i="66"/>
  <c r="F31" i="66"/>
  <c r="F33" i="66" s="1"/>
  <c r="E31" i="66"/>
  <c r="E33" i="66" s="1"/>
  <c r="D21" i="66"/>
  <c r="D39" i="66" s="1"/>
  <c r="D19" i="66"/>
  <c r="K111" i="87" l="1"/>
  <c r="K110" i="87" s="1"/>
  <c r="K112" i="87" s="1"/>
  <c r="J110" i="87"/>
  <c r="J112" i="87" s="1"/>
  <c r="J67" i="87"/>
  <c r="I70" i="87"/>
  <c r="J32" i="87"/>
  <c r="I80" i="87"/>
  <c r="J18" i="87"/>
  <c r="K19" i="87"/>
  <c r="K21" i="87"/>
  <c r="H20" i="87"/>
  <c r="G21" i="87"/>
  <c r="G22" i="87" s="1"/>
  <c r="H39" i="87"/>
  <c r="D15" i="87"/>
  <c r="E44" i="87"/>
  <c r="E76" i="87"/>
  <c r="E75" i="87"/>
  <c r="E43" i="87"/>
  <c r="D26" i="87"/>
  <c r="D40" i="87" s="1"/>
  <c r="D14" i="87"/>
  <c r="D22" i="66"/>
  <c r="D26" i="66" s="1"/>
  <c r="D28" i="66" s="1"/>
  <c r="D37" i="66"/>
  <c r="D40" i="66"/>
  <c r="K190" i="84"/>
  <c r="L190" i="84" s="1"/>
  <c r="J190" i="84"/>
  <c r="G186" i="84"/>
  <c r="G185" i="84"/>
  <c r="G184" i="84"/>
  <c r="G183" i="84"/>
  <c r="J186" i="84"/>
  <c r="J39" i="84" s="1"/>
  <c r="K185" i="84"/>
  <c r="K38" i="84" s="1"/>
  <c r="J185" i="84"/>
  <c r="J38" i="84" s="1"/>
  <c r="H185" i="84"/>
  <c r="H38" i="84" s="1"/>
  <c r="J184" i="84"/>
  <c r="J37" i="84" s="1"/>
  <c r="J183" i="84"/>
  <c r="J36" i="84" s="1"/>
  <c r="I183" i="84"/>
  <c r="I36" i="84" s="1"/>
  <c r="L201" i="84"/>
  <c r="L186" i="84" s="1"/>
  <c r="L39" i="84" s="1"/>
  <c r="K201" i="84"/>
  <c r="K186" i="84" s="1"/>
  <c r="K39" i="84" s="1"/>
  <c r="J201" i="84"/>
  <c r="I201" i="84"/>
  <c r="I186" i="84" s="1"/>
  <c r="I39" i="84" s="1"/>
  <c r="L203" i="84"/>
  <c r="K203" i="84"/>
  <c r="J203" i="84"/>
  <c r="I203" i="84"/>
  <c r="H203" i="84"/>
  <c r="H201" i="84"/>
  <c r="H186" i="84" s="1"/>
  <c r="H39" i="84" s="1"/>
  <c r="L197" i="84"/>
  <c r="L185" i="84" s="1"/>
  <c r="L38" i="84" s="1"/>
  <c r="K197" i="84"/>
  <c r="J197" i="84"/>
  <c r="I197" i="84"/>
  <c r="I185" i="84" s="1"/>
  <c r="I38" i="84" s="1"/>
  <c r="L199" i="84"/>
  <c r="K199" i="84"/>
  <c r="J199" i="84"/>
  <c r="I199" i="84"/>
  <c r="H199" i="84"/>
  <c r="H197" i="84"/>
  <c r="L195" i="84"/>
  <c r="K195" i="84"/>
  <c r="J195" i="84"/>
  <c r="I195" i="84"/>
  <c r="L193" i="84"/>
  <c r="L184" i="84" s="1"/>
  <c r="L37" i="84" s="1"/>
  <c r="K193" i="84"/>
  <c r="K184" i="84" s="1"/>
  <c r="K37" i="84" s="1"/>
  <c r="J193" i="84"/>
  <c r="I193" i="84"/>
  <c r="I184" i="84" s="1"/>
  <c r="I37" i="84" s="1"/>
  <c r="H195" i="84"/>
  <c r="H193" i="84"/>
  <c r="H184" i="84" s="1"/>
  <c r="H37" i="84" s="1"/>
  <c r="K191" i="84"/>
  <c r="J191" i="84"/>
  <c r="I191" i="84"/>
  <c r="K189" i="84"/>
  <c r="K183" i="84" s="1"/>
  <c r="K36" i="84" s="1"/>
  <c r="J189" i="84"/>
  <c r="I189" i="84"/>
  <c r="H191" i="84"/>
  <c r="H189" i="84"/>
  <c r="H183" i="84" s="1"/>
  <c r="H36" i="84" s="1"/>
  <c r="L182" i="84"/>
  <c r="K182" i="84"/>
  <c r="J182" i="84"/>
  <c r="I182" i="84"/>
  <c r="H182" i="84"/>
  <c r="I181" i="84"/>
  <c r="J181" i="84"/>
  <c r="K181" i="84"/>
  <c r="L181" i="84"/>
  <c r="H181" i="84"/>
  <c r="D181" i="84"/>
  <c r="J56" i="87" l="1"/>
  <c r="J57" i="87"/>
  <c r="J47" i="87"/>
  <c r="K67" i="87"/>
  <c r="K70" i="87" s="1"/>
  <c r="J70" i="87"/>
  <c r="G26" i="87"/>
  <c r="G27" i="87" s="1"/>
  <c r="G28" i="87" s="1"/>
  <c r="G78" i="87" s="1"/>
  <c r="G31" i="87"/>
  <c r="G33" i="87" s="1"/>
  <c r="I20" i="87"/>
  <c r="I39" i="87"/>
  <c r="H21" i="87"/>
  <c r="H22" i="87"/>
  <c r="K18" i="87"/>
  <c r="K32" i="87"/>
  <c r="K80" i="87" s="1"/>
  <c r="J80" i="87"/>
  <c r="D28" i="87"/>
  <c r="D31" i="66"/>
  <c r="D33" i="66" s="1"/>
  <c r="L191" i="84"/>
  <c r="L189" i="84"/>
  <c r="L183" i="84" s="1"/>
  <c r="L36" i="84" s="1"/>
  <c r="K47" i="87" l="1"/>
  <c r="K81" i="87" s="1"/>
  <c r="J81" i="87"/>
  <c r="K57" i="87"/>
  <c r="K56" i="87"/>
  <c r="J82" i="87"/>
  <c r="J65" i="87"/>
  <c r="H31" i="87"/>
  <c r="H33" i="87" s="1"/>
  <c r="H26" i="87"/>
  <c r="H27" i="87" s="1"/>
  <c r="H28" i="87" s="1"/>
  <c r="H78" i="87" s="1"/>
  <c r="K20" i="87"/>
  <c r="K22" i="87" s="1"/>
  <c r="J20" i="87"/>
  <c r="J39" i="87"/>
  <c r="J21" i="87" s="1"/>
  <c r="I21" i="87"/>
  <c r="I22" i="87" s="1"/>
  <c r="E206" i="74"/>
  <c r="D206" i="74"/>
  <c r="E203" i="74"/>
  <c r="D203" i="74"/>
  <c r="F201" i="74"/>
  <c r="F203" i="74" s="1"/>
  <c r="E201" i="74"/>
  <c r="D201" i="74"/>
  <c r="G7" i="71"/>
  <c r="H7" i="71"/>
  <c r="I7" i="71"/>
  <c r="J7" i="71"/>
  <c r="K7" i="71"/>
  <c r="G8" i="71"/>
  <c r="H8" i="71"/>
  <c r="I8" i="71"/>
  <c r="J8" i="71"/>
  <c r="K8" i="71"/>
  <c r="G9" i="71"/>
  <c r="H9" i="71"/>
  <c r="I9" i="71"/>
  <c r="J9" i="71"/>
  <c r="K9" i="71"/>
  <c r="I11" i="71"/>
  <c r="J11" i="71" s="1"/>
  <c r="K11" i="71" s="1"/>
  <c r="I12" i="71"/>
  <c r="J12" i="71" s="1"/>
  <c r="K12" i="71" s="1"/>
  <c r="D22" i="71"/>
  <c r="E22" i="71"/>
  <c r="F22" i="71"/>
  <c r="D23" i="71"/>
  <c r="E23" i="71"/>
  <c r="F23" i="71"/>
  <c r="D24" i="71"/>
  <c r="E24" i="71"/>
  <c r="F24" i="71"/>
  <c r="I40" i="71"/>
  <c r="J40" i="71"/>
  <c r="K40" i="71" s="1"/>
  <c r="I41" i="71"/>
  <c r="J41" i="71"/>
  <c r="K41" i="71"/>
  <c r="J37" i="74"/>
  <c r="K37" i="74"/>
  <c r="J38" i="74"/>
  <c r="K38" i="74" s="1"/>
  <c r="J39" i="74"/>
  <c r="K39" i="74"/>
  <c r="J40" i="74"/>
  <c r="K40" i="74" s="1"/>
  <c r="F151" i="69"/>
  <c r="E152" i="69"/>
  <c r="E151" i="69" s="1"/>
  <c r="F152" i="69"/>
  <c r="F150" i="69"/>
  <c r="E150" i="69"/>
  <c r="K82" i="87" l="1"/>
  <c r="K65" i="87"/>
  <c r="I31" i="87"/>
  <c r="I33" i="87" s="1"/>
  <c r="I26" i="87"/>
  <c r="K31" i="87"/>
  <c r="K33" i="87" s="1"/>
  <c r="K26" i="87"/>
  <c r="K27" i="87" s="1"/>
  <c r="K28" i="87" s="1"/>
  <c r="K78" i="87" s="1"/>
  <c r="K85" i="87" s="1"/>
  <c r="K96" i="87" s="1"/>
  <c r="J22" i="87"/>
  <c r="F206" i="74"/>
  <c r="C2" i="70"/>
  <c r="I27" i="87" l="1"/>
  <c r="I28" i="87" s="1"/>
  <c r="I78" i="87" s="1"/>
  <c r="I85" i="87" s="1"/>
  <c r="I96" i="87" s="1"/>
  <c r="I45" i="87" s="1"/>
  <c r="J31" i="87"/>
  <c r="J33" i="87" s="1"/>
  <c r="J26" i="87"/>
  <c r="J27" i="87" s="1"/>
  <c r="J28" i="87" s="1"/>
  <c r="J78" i="87" s="1"/>
  <c r="J85" i="87" s="1"/>
  <c r="J96" i="87" s="1"/>
  <c r="H39" i="86"/>
  <c r="I39" i="86" s="1"/>
  <c r="J39" i="86" s="1"/>
  <c r="K39" i="86" s="1"/>
  <c r="L39" i="86" s="1"/>
  <c r="J36" i="86"/>
  <c r="E39" i="86"/>
  <c r="D39" i="86"/>
  <c r="E38" i="86"/>
  <c r="D38" i="86"/>
  <c r="E36" i="86"/>
  <c r="F64" i="86"/>
  <c r="E62" i="86"/>
  <c r="E64" i="86" s="1"/>
  <c r="E59" i="86"/>
  <c r="F57" i="86"/>
  <c r="F59" i="86" s="1"/>
  <c r="E57" i="86"/>
  <c r="F55" i="86"/>
  <c r="E55" i="86"/>
  <c r="E51" i="86"/>
  <c r="F48" i="86"/>
  <c r="E48" i="86"/>
  <c r="F45" i="86"/>
  <c r="F51" i="86" s="1"/>
  <c r="E45" i="86"/>
  <c r="F19" i="86"/>
  <c r="F22" i="86" s="1"/>
  <c r="E19" i="86"/>
  <c r="E22" i="86" s="1"/>
  <c r="D19" i="86"/>
  <c r="D22" i="86" s="1"/>
  <c r="H174" i="86"/>
  <c r="C160" i="86"/>
  <c r="C159" i="86"/>
  <c r="I171" i="86"/>
  <c r="J171" i="86" s="1"/>
  <c r="K171" i="86" s="1"/>
  <c r="L171" i="86" s="1"/>
  <c r="G156" i="86"/>
  <c r="F156" i="86"/>
  <c r="E156" i="86"/>
  <c r="H155" i="86"/>
  <c r="I155" i="86" s="1"/>
  <c r="J155" i="86" s="1"/>
  <c r="K155" i="86" s="1"/>
  <c r="L155" i="86" s="1"/>
  <c r="G146" i="86"/>
  <c r="F146" i="86"/>
  <c r="F147" i="86" s="1"/>
  <c r="H145" i="86"/>
  <c r="I145" i="86" s="1"/>
  <c r="J145" i="86" s="1"/>
  <c r="K145" i="86" s="1"/>
  <c r="L145" i="86" s="1"/>
  <c r="G142" i="86"/>
  <c r="F142" i="86"/>
  <c r="E142" i="86"/>
  <c r="C140" i="86"/>
  <c r="C139" i="86"/>
  <c r="G135" i="86"/>
  <c r="H132" i="86" s="1"/>
  <c r="F135" i="86"/>
  <c r="E135" i="86"/>
  <c r="C123" i="86"/>
  <c r="C122" i="86"/>
  <c r="G119" i="86"/>
  <c r="H115" i="86" s="1"/>
  <c r="E119" i="86"/>
  <c r="H118" i="86"/>
  <c r="I118" i="86" s="1"/>
  <c r="H117" i="86"/>
  <c r="I117" i="86" s="1"/>
  <c r="J117" i="86" s="1"/>
  <c r="G112" i="86"/>
  <c r="H109" i="86" s="1"/>
  <c r="F112" i="86"/>
  <c r="G106" i="86"/>
  <c r="G104" i="86" s="1"/>
  <c r="G105" i="86" s="1"/>
  <c r="H105" i="86" s="1"/>
  <c r="F106" i="86"/>
  <c r="F104" i="86" s="1"/>
  <c r="F105" i="86" s="1"/>
  <c r="E106" i="86"/>
  <c r="E104" i="86" s="1"/>
  <c r="E105" i="86" s="1"/>
  <c r="G101" i="86"/>
  <c r="H101" i="86" s="1"/>
  <c r="F101" i="86"/>
  <c r="E101" i="86"/>
  <c r="G99" i="86"/>
  <c r="H96" i="86" s="1"/>
  <c r="F99" i="86"/>
  <c r="C94" i="86"/>
  <c r="C93" i="86"/>
  <c r="J81" i="86"/>
  <c r="J82" i="86" s="1"/>
  <c r="I81" i="86"/>
  <c r="I82" i="86" s="1"/>
  <c r="H81" i="86"/>
  <c r="H82" i="86" s="1"/>
  <c r="C70" i="86"/>
  <c r="C69" i="86"/>
  <c r="G64" i="86"/>
  <c r="H63" i="86"/>
  <c r="I63" i="86" s="1"/>
  <c r="J63" i="86" s="1"/>
  <c r="K63" i="86" s="1"/>
  <c r="L63" i="86" s="1"/>
  <c r="F119" i="86"/>
  <c r="H58" i="86"/>
  <c r="I58" i="86" s="1"/>
  <c r="G150" i="86"/>
  <c r="H54" i="86"/>
  <c r="I54" i="86" s="1"/>
  <c r="J54" i="86" s="1"/>
  <c r="K54" i="86" s="1"/>
  <c r="H50" i="86"/>
  <c r="H112" i="86" s="1"/>
  <c r="H46" i="86"/>
  <c r="I46" i="86" s="1"/>
  <c r="C44" i="86"/>
  <c r="C43" i="86"/>
  <c r="G39" i="86"/>
  <c r="F39" i="86"/>
  <c r="G38" i="86"/>
  <c r="H38" i="86" s="1"/>
  <c r="I38" i="86" s="1"/>
  <c r="J38" i="86" s="1"/>
  <c r="K38" i="86" s="1"/>
  <c r="L38" i="86" s="1"/>
  <c r="F38" i="86"/>
  <c r="K36" i="86"/>
  <c r="K97" i="86" s="1"/>
  <c r="G36" i="86"/>
  <c r="F36" i="86"/>
  <c r="H32" i="86"/>
  <c r="H61" i="86" s="1"/>
  <c r="H25" i="86"/>
  <c r="I25" i="86" s="1"/>
  <c r="J25" i="86" s="1"/>
  <c r="K25" i="86" s="1"/>
  <c r="L25" i="86" s="1"/>
  <c r="G19" i="86"/>
  <c r="G22" i="86" s="1"/>
  <c r="F37" i="86"/>
  <c r="H17" i="86"/>
  <c r="G15" i="86"/>
  <c r="G140" i="86" s="1"/>
  <c r="G14" i="86"/>
  <c r="G43" i="86" s="1"/>
  <c r="C2" i="86"/>
  <c r="H174" i="84"/>
  <c r="F160" i="84"/>
  <c r="F156" i="84"/>
  <c r="E156" i="84"/>
  <c r="D156" i="84"/>
  <c r="E146" i="84"/>
  <c r="E147" i="84" s="1"/>
  <c r="D142" i="84"/>
  <c r="F119" i="84"/>
  <c r="D119" i="84"/>
  <c r="E112" i="84"/>
  <c r="D106" i="84"/>
  <c r="D104" i="84" s="1"/>
  <c r="D105" i="84" s="1"/>
  <c r="D99" i="84"/>
  <c r="E99" i="84"/>
  <c r="F64" i="84"/>
  <c r="E62" i="84"/>
  <c r="E64" i="84" s="1"/>
  <c r="G57" i="84"/>
  <c r="G48" i="84"/>
  <c r="G45" i="84"/>
  <c r="F57" i="84"/>
  <c r="F59" i="84" s="1"/>
  <c r="E57" i="84"/>
  <c r="E150" i="84" s="1"/>
  <c r="E55" i="84"/>
  <c r="F48" i="84"/>
  <c r="E48" i="84"/>
  <c r="F45" i="84"/>
  <c r="E45" i="84"/>
  <c r="F39" i="84"/>
  <c r="E39" i="84"/>
  <c r="D39" i="84"/>
  <c r="F38" i="84"/>
  <c r="E38" i="84"/>
  <c r="D38" i="84"/>
  <c r="F36" i="84"/>
  <c r="E36" i="84"/>
  <c r="F19" i="84"/>
  <c r="F37" i="84" s="1"/>
  <c r="E19" i="84"/>
  <c r="E37" i="84" s="1"/>
  <c r="D19" i="84"/>
  <c r="D37" i="84" s="1"/>
  <c r="J45" i="87" l="1"/>
  <c r="I54" i="87"/>
  <c r="I72" i="87" s="1"/>
  <c r="D37" i="86"/>
  <c r="E37" i="86"/>
  <c r="J97" i="84"/>
  <c r="E59" i="84"/>
  <c r="J46" i="86"/>
  <c r="E66" i="86"/>
  <c r="F66" i="86"/>
  <c r="F150" i="86"/>
  <c r="G147" i="86"/>
  <c r="G152" i="86" s="1"/>
  <c r="G151" i="86" s="1"/>
  <c r="H151" i="86" s="1"/>
  <c r="D26" i="86"/>
  <c r="D31" i="86"/>
  <c r="D33" i="86" s="1"/>
  <c r="E26" i="86"/>
  <c r="E31" i="86"/>
  <c r="E33" i="86" s="1"/>
  <c r="F26" i="86"/>
  <c r="F28" i="86" s="1"/>
  <c r="F31" i="86"/>
  <c r="F33" i="86" s="1"/>
  <c r="H57" i="86"/>
  <c r="H170" i="86"/>
  <c r="H78" i="86"/>
  <c r="I32" i="86"/>
  <c r="G59" i="86"/>
  <c r="H21" i="86"/>
  <c r="H55" i="86"/>
  <c r="I55" i="86" s="1"/>
  <c r="J55" i="86" s="1"/>
  <c r="K55" i="86" s="1"/>
  <c r="H87" i="86"/>
  <c r="I57" i="86"/>
  <c r="J57" i="86" s="1"/>
  <c r="K57" i="86" s="1"/>
  <c r="G160" i="86"/>
  <c r="H15" i="86"/>
  <c r="H140" i="86" s="1"/>
  <c r="H14" i="86"/>
  <c r="I14" i="86" s="1"/>
  <c r="I159" i="86" s="1"/>
  <c r="G159" i="86"/>
  <c r="G26" i="86"/>
  <c r="G31" i="86"/>
  <c r="G33" i="86" s="1"/>
  <c r="J118" i="86"/>
  <c r="I86" i="86"/>
  <c r="I169" i="86" s="1"/>
  <c r="I101" i="86"/>
  <c r="H98" i="86"/>
  <c r="F152" i="86"/>
  <c r="F151" i="86" s="1"/>
  <c r="I78" i="86"/>
  <c r="J58" i="86"/>
  <c r="K81" i="86"/>
  <c r="K82" i="86" s="1"/>
  <c r="I109" i="86"/>
  <c r="H104" i="86"/>
  <c r="H110" i="86" s="1"/>
  <c r="H111" i="86" s="1"/>
  <c r="H77" i="86" s="1"/>
  <c r="I105" i="86"/>
  <c r="K117" i="86"/>
  <c r="J87" i="86"/>
  <c r="G37" i="86"/>
  <c r="H37" i="86" s="1"/>
  <c r="I37" i="86" s="1"/>
  <c r="J37" i="86" s="1"/>
  <c r="K37" i="86" s="1"/>
  <c r="L37" i="86" s="1"/>
  <c r="I50" i="86"/>
  <c r="H74" i="86"/>
  <c r="I87" i="86"/>
  <c r="F14" i="86"/>
  <c r="F159" i="86" s="1"/>
  <c r="F160" i="86"/>
  <c r="I17" i="86"/>
  <c r="I84" i="86"/>
  <c r="G93" i="86"/>
  <c r="H20" i="86"/>
  <c r="H86" i="86"/>
  <c r="H169" i="86" s="1"/>
  <c r="G94" i="86"/>
  <c r="H126" i="86"/>
  <c r="G122" i="86"/>
  <c r="G139" i="86"/>
  <c r="G44" i="86"/>
  <c r="K46" i="86"/>
  <c r="G123" i="86"/>
  <c r="H139" i="86"/>
  <c r="L36" i="86"/>
  <c r="H48" i="86"/>
  <c r="I48" i="86" s="1"/>
  <c r="J48" i="86" s="1"/>
  <c r="K48" i="86" s="1"/>
  <c r="G51" i="86"/>
  <c r="F51" i="84"/>
  <c r="E119" i="84"/>
  <c r="E51" i="84"/>
  <c r="D22" i="84"/>
  <c r="E22" i="84"/>
  <c r="F22" i="84"/>
  <c r="G156" i="84"/>
  <c r="H155" i="84"/>
  <c r="I155" i="84" s="1"/>
  <c r="J155" i="84" s="1"/>
  <c r="K155" i="84" s="1"/>
  <c r="L155" i="84" s="1"/>
  <c r="G146" i="84"/>
  <c r="F146" i="84"/>
  <c r="F147" i="84" s="1"/>
  <c r="H145" i="84"/>
  <c r="I145" i="84" s="1"/>
  <c r="J145" i="84" s="1"/>
  <c r="K145" i="84" s="1"/>
  <c r="L145" i="84" s="1"/>
  <c r="G142" i="84"/>
  <c r="F142" i="84"/>
  <c r="E142" i="84"/>
  <c r="E152" i="84" s="1"/>
  <c r="E151" i="84" s="1"/>
  <c r="C140" i="84"/>
  <c r="C139" i="84"/>
  <c r="G135" i="84"/>
  <c r="H132" i="84" s="1"/>
  <c r="F135" i="84"/>
  <c r="E135" i="84"/>
  <c r="C123" i="84"/>
  <c r="C122" i="84"/>
  <c r="G119" i="84"/>
  <c r="H115" i="84" s="1"/>
  <c r="H118" i="84"/>
  <c r="I118" i="84" s="1"/>
  <c r="G112" i="84"/>
  <c r="H109" i="84" s="1"/>
  <c r="F112" i="84"/>
  <c r="G106" i="84"/>
  <c r="G104" i="84" s="1"/>
  <c r="G105" i="84" s="1"/>
  <c r="H105" i="84" s="1"/>
  <c r="F106" i="84"/>
  <c r="F104" i="84" s="1"/>
  <c r="F105" i="84" s="1"/>
  <c r="E106" i="84"/>
  <c r="E104" i="84" s="1"/>
  <c r="E105" i="84" s="1"/>
  <c r="G101" i="84"/>
  <c r="F101" i="84"/>
  <c r="E101" i="84"/>
  <c r="G99" i="84"/>
  <c r="H96" i="84" s="1"/>
  <c r="F99" i="84"/>
  <c r="C94" i="84"/>
  <c r="C93" i="84"/>
  <c r="I81" i="84"/>
  <c r="I82" i="84" s="1"/>
  <c r="H81" i="84"/>
  <c r="H82" i="84" s="1"/>
  <c r="C70" i="84"/>
  <c r="C69" i="84"/>
  <c r="G64" i="84"/>
  <c r="H63" i="84"/>
  <c r="I63" i="84" s="1"/>
  <c r="J63" i="84" s="1"/>
  <c r="K63" i="84" s="1"/>
  <c r="L63" i="84" s="1"/>
  <c r="H58" i="84"/>
  <c r="H78" i="84" s="1"/>
  <c r="G150" i="84"/>
  <c r="F150" i="84"/>
  <c r="G59" i="84"/>
  <c r="H54" i="84"/>
  <c r="I54" i="84" s="1"/>
  <c r="J54" i="84" s="1"/>
  <c r="H50" i="84"/>
  <c r="H112" i="84" s="1"/>
  <c r="H48" i="84"/>
  <c r="I48" i="84" s="1"/>
  <c r="J48" i="84" s="1"/>
  <c r="H46" i="84"/>
  <c r="G51" i="84"/>
  <c r="C44" i="84"/>
  <c r="C43" i="84"/>
  <c r="G39" i="84"/>
  <c r="G38" i="84"/>
  <c r="G36" i="84"/>
  <c r="H32" i="84"/>
  <c r="H25" i="84"/>
  <c r="I25" i="84" s="1"/>
  <c r="J25" i="84" s="1"/>
  <c r="K25" i="84" s="1"/>
  <c r="L25" i="84" s="1"/>
  <c r="G19" i="84"/>
  <c r="G37" i="84" s="1"/>
  <c r="H17" i="84"/>
  <c r="G15" i="84"/>
  <c r="G14" i="84"/>
  <c r="C2" i="84"/>
  <c r="G61" i="83"/>
  <c r="H61" i="83" s="1"/>
  <c r="I61" i="83" s="1"/>
  <c r="J61" i="83" s="1"/>
  <c r="K61" i="83" s="1"/>
  <c r="G77" i="83"/>
  <c r="H74" i="83"/>
  <c r="F156" i="83"/>
  <c r="E156" i="83"/>
  <c r="D156" i="83"/>
  <c r="G155" i="83"/>
  <c r="H155" i="83" s="1"/>
  <c r="I155" i="83" s="1"/>
  <c r="J155" i="83" s="1"/>
  <c r="K155" i="83" s="1"/>
  <c r="F146" i="83"/>
  <c r="E146" i="83"/>
  <c r="E147" i="83" s="1"/>
  <c r="G145" i="83"/>
  <c r="H145" i="83" s="1"/>
  <c r="I145" i="83" s="1"/>
  <c r="J145" i="83" s="1"/>
  <c r="K145" i="83" s="1"/>
  <c r="F142" i="83"/>
  <c r="E142" i="83"/>
  <c r="D142" i="83"/>
  <c r="C140" i="83"/>
  <c r="C139" i="83"/>
  <c r="F135" i="83"/>
  <c r="G132" i="83" s="1"/>
  <c r="E135" i="83"/>
  <c r="D135" i="83"/>
  <c r="C123" i="83"/>
  <c r="C122" i="83"/>
  <c r="F119" i="83"/>
  <c r="G115" i="83" s="1"/>
  <c r="D119" i="83"/>
  <c r="G118" i="83"/>
  <c r="H118" i="83" s="1"/>
  <c r="H117" i="83"/>
  <c r="H87" i="83" s="1"/>
  <c r="G117" i="83"/>
  <c r="F112" i="83"/>
  <c r="G109" i="83" s="1"/>
  <c r="E112" i="83"/>
  <c r="F106" i="83"/>
  <c r="E106" i="83"/>
  <c r="E104" i="83" s="1"/>
  <c r="E105" i="83" s="1"/>
  <c r="D106" i="83"/>
  <c r="F104" i="83"/>
  <c r="F105" i="83" s="1"/>
  <c r="G105" i="83" s="1"/>
  <c r="D104" i="83"/>
  <c r="D105" i="83" s="1"/>
  <c r="F101" i="83"/>
  <c r="G101" i="83" s="1"/>
  <c r="E101" i="83"/>
  <c r="D101" i="83"/>
  <c r="F99" i="83"/>
  <c r="G96" i="83" s="1"/>
  <c r="E99" i="83"/>
  <c r="C94" i="83"/>
  <c r="C93" i="83"/>
  <c r="G87" i="83"/>
  <c r="G86" i="83"/>
  <c r="I81" i="83"/>
  <c r="I82" i="83" s="1"/>
  <c r="H81" i="83"/>
  <c r="H82" i="83" s="1"/>
  <c r="G81" i="83"/>
  <c r="G82" i="83" s="1"/>
  <c r="G74" i="83"/>
  <c r="C70" i="83"/>
  <c r="C69" i="83"/>
  <c r="F64" i="83"/>
  <c r="H63" i="83"/>
  <c r="I63" i="83" s="1"/>
  <c r="J63" i="83" s="1"/>
  <c r="K63" i="83" s="1"/>
  <c r="G63" i="83"/>
  <c r="E62" i="83"/>
  <c r="E64" i="83" s="1"/>
  <c r="G58" i="83"/>
  <c r="G78" i="83" s="1"/>
  <c r="F57" i="83"/>
  <c r="F150" i="83" s="1"/>
  <c r="E57" i="83"/>
  <c r="E150" i="83" s="1"/>
  <c r="F55" i="83"/>
  <c r="E55" i="83"/>
  <c r="E59" i="83" s="1"/>
  <c r="G54" i="83"/>
  <c r="H54" i="83" s="1"/>
  <c r="I54" i="83" s="1"/>
  <c r="H50" i="83"/>
  <c r="H112" i="83" s="1"/>
  <c r="G50" i="83"/>
  <c r="G112" i="83" s="1"/>
  <c r="F48" i="83"/>
  <c r="G48" i="83" s="1"/>
  <c r="H48" i="83" s="1"/>
  <c r="I48" i="83" s="1"/>
  <c r="J48" i="83" s="1"/>
  <c r="K48" i="83" s="1"/>
  <c r="E48" i="83"/>
  <c r="G46" i="83"/>
  <c r="F45" i="83"/>
  <c r="F51" i="83" s="1"/>
  <c r="E45" i="83"/>
  <c r="E51" i="83" s="1"/>
  <c r="C44" i="83"/>
  <c r="C43" i="83"/>
  <c r="J40" i="83"/>
  <c r="J39" i="83"/>
  <c r="K39" i="83" s="1"/>
  <c r="F39" i="83"/>
  <c r="E39" i="83"/>
  <c r="D39" i="83"/>
  <c r="J38" i="83"/>
  <c r="K38" i="83" s="1"/>
  <c r="F38" i="83"/>
  <c r="E38" i="83"/>
  <c r="D38" i="83"/>
  <c r="J37" i="83"/>
  <c r="K37" i="83" s="1"/>
  <c r="J36" i="83"/>
  <c r="K36" i="83" s="1"/>
  <c r="F36" i="83"/>
  <c r="E36" i="83"/>
  <c r="G32" i="83"/>
  <c r="H32" i="83" s="1"/>
  <c r="H25" i="83"/>
  <c r="I25" i="83" s="1"/>
  <c r="J25" i="83" s="1"/>
  <c r="K25" i="83" s="1"/>
  <c r="G25" i="83"/>
  <c r="F19" i="83"/>
  <c r="F22" i="83" s="1"/>
  <c r="E19" i="83"/>
  <c r="E37" i="83" s="1"/>
  <c r="D19" i="83"/>
  <c r="D37" i="83" s="1"/>
  <c r="G17" i="83"/>
  <c r="G19" i="83" s="1"/>
  <c r="G15" i="83"/>
  <c r="G140" i="83" s="1"/>
  <c r="F15" i="83"/>
  <c r="F140" i="83" s="1"/>
  <c r="F14" i="83"/>
  <c r="F43" i="83" s="1"/>
  <c r="C2" i="83"/>
  <c r="G81" i="82"/>
  <c r="G82" i="82" s="1"/>
  <c r="H81" i="82"/>
  <c r="I81" i="82"/>
  <c r="G63" i="82"/>
  <c r="H82" i="82"/>
  <c r="H63" i="82"/>
  <c r="I63" i="82" s="1"/>
  <c r="J63" i="82" s="1"/>
  <c r="K63" i="82" s="1"/>
  <c r="H74" i="82"/>
  <c r="F156" i="82"/>
  <c r="E156" i="82"/>
  <c r="D156" i="82"/>
  <c r="G155" i="82"/>
  <c r="H155" i="82" s="1"/>
  <c r="I155" i="82" s="1"/>
  <c r="J155" i="82" s="1"/>
  <c r="K155" i="82" s="1"/>
  <c r="F146" i="82"/>
  <c r="E146" i="82"/>
  <c r="E147" i="82" s="1"/>
  <c r="G145" i="82"/>
  <c r="H145" i="82" s="1"/>
  <c r="I145" i="82" s="1"/>
  <c r="J145" i="82" s="1"/>
  <c r="K145" i="82" s="1"/>
  <c r="F142" i="82"/>
  <c r="E142" i="82"/>
  <c r="D142" i="82"/>
  <c r="C140" i="82"/>
  <c r="C139" i="82"/>
  <c r="F135" i="82"/>
  <c r="G132" i="82" s="1"/>
  <c r="E135" i="82"/>
  <c r="D135" i="82"/>
  <c r="C123" i="82"/>
  <c r="C122" i="82"/>
  <c r="F119" i="82"/>
  <c r="D119" i="82"/>
  <c r="G118" i="82"/>
  <c r="H118" i="82" s="1"/>
  <c r="H86" i="82" s="1"/>
  <c r="H117" i="82"/>
  <c r="I117" i="82" s="1"/>
  <c r="G117" i="82"/>
  <c r="G87" i="82" s="1"/>
  <c r="G115" i="82"/>
  <c r="F112" i="82"/>
  <c r="E112" i="82"/>
  <c r="G109" i="82"/>
  <c r="F106" i="82"/>
  <c r="E106" i="82"/>
  <c r="D106" i="82"/>
  <c r="D104" i="82" s="1"/>
  <c r="D105" i="82" s="1"/>
  <c r="F104" i="82"/>
  <c r="F105" i="82" s="1"/>
  <c r="G105" i="82" s="1"/>
  <c r="E104" i="82"/>
  <c r="E105" i="82" s="1"/>
  <c r="F101" i="82"/>
  <c r="G101" i="82" s="1"/>
  <c r="E101" i="82"/>
  <c r="D101" i="82"/>
  <c r="F99" i="82"/>
  <c r="E99" i="82"/>
  <c r="G96" i="82"/>
  <c r="C94" i="82"/>
  <c r="C93" i="82"/>
  <c r="I82" i="82"/>
  <c r="C70" i="82"/>
  <c r="C69" i="82"/>
  <c r="F64" i="82"/>
  <c r="E62" i="82"/>
  <c r="E64" i="82" s="1"/>
  <c r="G58" i="82"/>
  <c r="G78" i="82" s="1"/>
  <c r="F57" i="82"/>
  <c r="F150" i="82" s="1"/>
  <c r="E57" i="82"/>
  <c r="E150" i="82" s="1"/>
  <c r="G55" i="82"/>
  <c r="H55" i="82" s="1"/>
  <c r="I55" i="82" s="1"/>
  <c r="J55" i="82" s="1"/>
  <c r="F55" i="82"/>
  <c r="F59" i="82" s="1"/>
  <c r="E55" i="82"/>
  <c r="E59" i="82" s="1"/>
  <c r="G54" i="82"/>
  <c r="H54" i="82" s="1"/>
  <c r="I54" i="82" s="1"/>
  <c r="J54" i="82" s="1"/>
  <c r="H50" i="82"/>
  <c r="H112" i="82" s="1"/>
  <c r="G50" i="82"/>
  <c r="G112" i="82" s="1"/>
  <c r="F48" i="82"/>
  <c r="E48" i="82"/>
  <c r="H46" i="82"/>
  <c r="G46" i="82"/>
  <c r="F45" i="82"/>
  <c r="E45" i="82"/>
  <c r="C44" i="82"/>
  <c r="C43" i="82"/>
  <c r="J40" i="82"/>
  <c r="J39" i="82"/>
  <c r="K39" i="82" s="1"/>
  <c r="F39" i="82"/>
  <c r="E39" i="82"/>
  <c r="D39" i="82"/>
  <c r="K38" i="82"/>
  <c r="J38" i="82"/>
  <c r="F38" i="82"/>
  <c r="E38" i="82"/>
  <c r="D38" i="82"/>
  <c r="J37" i="82"/>
  <c r="K37" i="82" s="1"/>
  <c r="E37" i="82"/>
  <c r="J36" i="82"/>
  <c r="J97" i="82" s="1"/>
  <c r="J81" i="82" s="1"/>
  <c r="F36" i="82"/>
  <c r="E36" i="82"/>
  <c r="G32" i="82"/>
  <c r="H32" i="82" s="1"/>
  <c r="H25" i="82"/>
  <c r="I25" i="82" s="1"/>
  <c r="J25" i="82" s="1"/>
  <c r="K25" i="82" s="1"/>
  <c r="G25" i="82"/>
  <c r="E22" i="82"/>
  <c r="E31" i="82" s="1"/>
  <c r="E33" i="82" s="1"/>
  <c r="F19" i="82"/>
  <c r="F37" i="82" s="1"/>
  <c r="E19" i="82"/>
  <c r="D19" i="82"/>
  <c r="D37" i="82" s="1"/>
  <c r="G17" i="82"/>
  <c r="G19" i="82" s="1"/>
  <c r="G15" i="82"/>
  <c r="G140" i="82" s="1"/>
  <c r="F15" i="82"/>
  <c r="F140" i="82" s="1"/>
  <c r="E15" i="82"/>
  <c r="E140" i="82" s="1"/>
  <c r="G14" i="82"/>
  <c r="G43" i="82" s="1"/>
  <c r="F14" i="82"/>
  <c r="F43" i="82" s="1"/>
  <c r="C2" i="82"/>
  <c r="D157" i="79"/>
  <c r="AI13" i="79"/>
  <c r="G25" i="64"/>
  <c r="H25" i="64" s="1"/>
  <c r="J41" i="74"/>
  <c r="K41" i="74" s="1"/>
  <c r="G213" i="70"/>
  <c r="I178" i="70"/>
  <c r="H178" i="70"/>
  <c r="G178" i="70"/>
  <c r="I177" i="70"/>
  <c r="H177" i="70"/>
  <c r="G177" i="70"/>
  <c r="I176" i="70"/>
  <c r="H176" i="70"/>
  <c r="G176" i="70"/>
  <c r="G38" i="70" s="1"/>
  <c r="I175" i="70"/>
  <c r="H175" i="70"/>
  <c r="G175" i="70"/>
  <c r="G37" i="70" s="1"/>
  <c r="F178" i="70"/>
  <c r="F177" i="70"/>
  <c r="F176" i="70"/>
  <c r="F175" i="70"/>
  <c r="G181" i="74"/>
  <c r="E147" i="69"/>
  <c r="F146" i="69"/>
  <c r="F147" i="69" s="1"/>
  <c r="E146" i="69"/>
  <c r="J54" i="87" l="1"/>
  <c r="J72" i="87" s="1"/>
  <c r="K45" i="87"/>
  <c r="K54" i="87" s="1"/>
  <c r="K72" i="87" s="1"/>
  <c r="J81" i="84"/>
  <c r="I17" i="84"/>
  <c r="K97" i="84"/>
  <c r="J117" i="82"/>
  <c r="J87" i="82" s="1"/>
  <c r="I87" i="82"/>
  <c r="F51" i="82"/>
  <c r="F66" i="82" s="1"/>
  <c r="H87" i="82"/>
  <c r="F22" i="82"/>
  <c r="G48" i="82"/>
  <c r="H48" i="82" s="1"/>
  <c r="I48" i="82" s="1"/>
  <c r="J48" i="82" s="1"/>
  <c r="H58" i="82"/>
  <c r="J54" i="83"/>
  <c r="K54" i="83" s="1"/>
  <c r="E66" i="84"/>
  <c r="K36" i="82"/>
  <c r="K97" i="82" s="1"/>
  <c r="G86" i="82"/>
  <c r="E14" i="83"/>
  <c r="H46" i="83"/>
  <c r="J97" i="83"/>
  <c r="K97" i="83" s="1"/>
  <c r="K81" i="83" s="1"/>
  <c r="K82" i="83" s="1"/>
  <c r="E28" i="86"/>
  <c r="E40" i="86"/>
  <c r="H19" i="86"/>
  <c r="H18" i="86" s="1"/>
  <c r="H53" i="86" s="1"/>
  <c r="E51" i="82"/>
  <c r="E66" i="82" s="1"/>
  <c r="F59" i="83"/>
  <c r="G61" i="82"/>
  <c r="H61" i="82" s="1"/>
  <c r="G14" i="83"/>
  <c r="G55" i="83"/>
  <c r="H55" i="83" s="1"/>
  <c r="I55" i="83" s="1"/>
  <c r="J55" i="83" s="1"/>
  <c r="K55" i="83" s="1"/>
  <c r="I117" i="83"/>
  <c r="J117" i="83" s="1"/>
  <c r="H77" i="83"/>
  <c r="D28" i="86"/>
  <c r="D40" i="86"/>
  <c r="E152" i="82"/>
  <c r="E151" i="82" s="1"/>
  <c r="E22" i="83"/>
  <c r="E31" i="83" s="1"/>
  <c r="E33" i="83" s="1"/>
  <c r="H69" i="86"/>
  <c r="E14" i="82"/>
  <c r="G74" i="82"/>
  <c r="E15" i="83"/>
  <c r="F37" i="83"/>
  <c r="G44" i="83"/>
  <c r="J84" i="86"/>
  <c r="I150" i="86"/>
  <c r="H163" i="86"/>
  <c r="H166" i="86" s="1"/>
  <c r="G66" i="86"/>
  <c r="J150" i="86"/>
  <c r="H84" i="86"/>
  <c r="H150" i="86"/>
  <c r="H152" i="86" s="1"/>
  <c r="H122" i="86"/>
  <c r="H93" i="86"/>
  <c r="I74" i="86"/>
  <c r="J32" i="86"/>
  <c r="I170" i="86"/>
  <c r="I175" i="86" s="1"/>
  <c r="L55" i="86"/>
  <c r="H22" i="86"/>
  <c r="H94" i="86"/>
  <c r="L54" i="86"/>
  <c r="I61" i="86"/>
  <c r="H175" i="86"/>
  <c r="H176" i="86" s="1"/>
  <c r="H44" i="86"/>
  <c r="I15" i="86"/>
  <c r="I160" i="86" s="1"/>
  <c r="H123" i="86"/>
  <c r="H70" i="86"/>
  <c r="H160" i="86"/>
  <c r="H43" i="86"/>
  <c r="H159" i="86"/>
  <c r="K118" i="86"/>
  <c r="J86" i="86"/>
  <c r="J169" i="86" s="1"/>
  <c r="L46" i="86"/>
  <c r="L48" i="86"/>
  <c r="I19" i="86"/>
  <c r="I20" i="86"/>
  <c r="J17" i="86"/>
  <c r="I21" i="86"/>
  <c r="L97" i="86"/>
  <c r="L81" i="86" s="1"/>
  <c r="L82" i="86" s="1"/>
  <c r="H106" i="86"/>
  <c r="H30" i="86" s="1"/>
  <c r="H73" i="86" s="1"/>
  <c r="G40" i="86"/>
  <c r="H40" i="86" s="1"/>
  <c r="I40" i="86" s="1"/>
  <c r="J40" i="86" s="1"/>
  <c r="K40" i="86" s="1"/>
  <c r="L40" i="86" s="1"/>
  <c r="G28" i="86"/>
  <c r="K84" i="86"/>
  <c r="L57" i="86"/>
  <c r="K150" i="86"/>
  <c r="J15" i="86"/>
  <c r="J160" i="86" s="1"/>
  <c r="E15" i="86"/>
  <c r="F140" i="86"/>
  <c r="F123" i="86"/>
  <c r="F44" i="86"/>
  <c r="F94" i="86"/>
  <c r="I104" i="86"/>
  <c r="I110" i="86" s="1"/>
  <c r="J105" i="86"/>
  <c r="J78" i="86"/>
  <c r="K58" i="86"/>
  <c r="J101" i="86"/>
  <c r="I98" i="86"/>
  <c r="H99" i="86"/>
  <c r="E14" i="86"/>
  <c r="F43" i="86"/>
  <c r="F139" i="86"/>
  <c r="F122" i="86"/>
  <c r="F93" i="86"/>
  <c r="I112" i="86"/>
  <c r="J50" i="86"/>
  <c r="H47" i="86"/>
  <c r="I43" i="86"/>
  <c r="I139" i="86"/>
  <c r="I122" i="86"/>
  <c r="J14" i="86"/>
  <c r="J159" i="86" s="1"/>
  <c r="I69" i="86"/>
  <c r="I93" i="86"/>
  <c r="L117" i="86"/>
  <c r="L87" i="86" s="1"/>
  <c r="K87" i="86"/>
  <c r="I151" i="86"/>
  <c r="G147" i="84"/>
  <c r="G152" i="84" s="1"/>
  <c r="G151" i="84" s="1"/>
  <c r="H151" i="84" s="1"/>
  <c r="H101" i="84"/>
  <c r="I101" i="84" s="1"/>
  <c r="I32" i="84"/>
  <c r="I170" i="84" s="1"/>
  <c r="H170" i="84"/>
  <c r="G43" i="84"/>
  <c r="G159" i="84"/>
  <c r="G140" i="84"/>
  <c r="G160" i="84"/>
  <c r="I58" i="84"/>
  <c r="I78" i="84" s="1"/>
  <c r="H86" i="84"/>
  <c r="H169" i="84" s="1"/>
  <c r="G66" i="84"/>
  <c r="F31" i="84"/>
  <c r="F33" i="84" s="1"/>
  <c r="F26" i="84"/>
  <c r="E26" i="84"/>
  <c r="E31" i="84"/>
  <c r="E33" i="84" s="1"/>
  <c r="D26" i="84"/>
  <c r="D31" i="84"/>
  <c r="D33" i="84" s="1"/>
  <c r="K54" i="84"/>
  <c r="L54" i="84" s="1"/>
  <c r="H55" i="84"/>
  <c r="I55" i="84" s="1"/>
  <c r="J55" i="84" s="1"/>
  <c r="K55" i="84" s="1"/>
  <c r="L55" i="84" s="1"/>
  <c r="K48" i="84"/>
  <c r="L48" i="84" s="1"/>
  <c r="F66" i="84"/>
  <c r="H19" i="84"/>
  <c r="H18" i="84" s="1"/>
  <c r="H47" i="84" s="1"/>
  <c r="H75" i="84" s="1"/>
  <c r="H20" i="84"/>
  <c r="H21" i="84"/>
  <c r="G22" i="84"/>
  <c r="F14" i="84"/>
  <c r="F122" i="84" s="1"/>
  <c r="F140" i="84"/>
  <c r="I109" i="84"/>
  <c r="H104" i="84"/>
  <c r="H110" i="84" s="1"/>
  <c r="H111" i="84" s="1"/>
  <c r="H77" i="84" s="1"/>
  <c r="I105" i="84"/>
  <c r="J118" i="84"/>
  <c r="I86" i="84"/>
  <c r="I169" i="84" s="1"/>
  <c r="H98" i="84"/>
  <c r="H99" i="84" s="1"/>
  <c r="F152" i="84"/>
  <c r="F151" i="84" s="1"/>
  <c r="I50" i="84"/>
  <c r="H74" i="84"/>
  <c r="G93" i="84"/>
  <c r="I46" i="84"/>
  <c r="G94" i="84"/>
  <c r="H126" i="84"/>
  <c r="H14" i="84"/>
  <c r="H159" i="84" s="1"/>
  <c r="H15" i="84"/>
  <c r="H160" i="84" s="1"/>
  <c r="H57" i="84"/>
  <c r="G122" i="84"/>
  <c r="G139" i="84"/>
  <c r="G44" i="84"/>
  <c r="H61" i="84"/>
  <c r="G123" i="84"/>
  <c r="F31" i="83"/>
  <c r="F33" i="83" s="1"/>
  <c r="F26" i="83"/>
  <c r="K117" i="83"/>
  <c r="K87" i="83" s="1"/>
  <c r="J87" i="83"/>
  <c r="I118" i="83"/>
  <c r="H86" i="83"/>
  <c r="G111" i="83"/>
  <c r="H109" i="83"/>
  <c r="G104" i="83"/>
  <c r="G110" i="83" s="1"/>
  <c r="H105" i="83"/>
  <c r="F66" i="83"/>
  <c r="E152" i="83"/>
  <c r="E151" i="83" s="1"/>
  <c r="E66" i="83"/>
  <c r="I109" i="83"/>
  <c r="H101" i="83"/>
  <c r="G98" i="83"/>
  <c r="G106" i="83" s="1"/>
  <c r="G30" i="83" s="1"/>
  <c r="G73" i="83" s="1"/>
  <c r="G18" i="83"/>
  <c r="I32" i="83"/>
  <c r="I74" i="83" s="1"/>
  <c r="G21" i="83"/>
  <c r="F147" i="83"/>
  <c r="F152" i="83" s="1"/>
  <c r="F151" i="83" s="1"/>
  <c r="G151" i="83" s="1"/>
  <c r="H17" i="83"/>
  <c r="K40" i="83"/>
  <c r="I50" i="83"/>
  <c r="I77" i="83" s="1"/>
  <c r="H58" i="83"/>
  <c r="G70" i="83"/>
  <c r="J81" i="83"/>
  <c r="J82" i="83" s="1"/>
  <c r="I87" i="83"/>
  <c r="F93" i="83"/>
  <c r="E94" i="83"/>
  <c r="E119" i="83"/>
  <c r="G20" i="83"/>
  <c r="G22" i="83" s="1"/>
  <c r="G93" i="83"/>
  <c r="F94" i="83"/>
  <c r="E122" i="83"/>
  <c r="G126" i="83"/>
  <c r="E139" i="83"/>
  <c r="G57" i="83"/>
  <c r="G69" i="83"/>
  <c r="G94" i="83"/>
  <c r="F122" i="83"/>
  <c r="E123" i="83"/>
  <c r="F139" i="83"/>
  <c r="H14" i="83"/>
  <c r="H15" i="83"/>
  <c r="D22" i="83"/>
  <c r="E26" i="83"/>
  <c r="F44" i="83"/>
  <c r="G122" i="83"/>
  <c r="F123" i="83"/>
  <c r="G123" i="83"/>
  <c r="I32" i="82"/>
  <c r="I74" i="82" s="1"/>
  <c r="I109" i="82"/>
  <c r="G104" i="82"/>
  <c r="G110" i="82" s="1"/>
  <c r="G111" i="82" s="1"/>
  <c r="G77" i="82" s="1"/>
  <c r="H105" i="82"/>
  <c r="K117" i="82"/>
  <c r="K87" i="82" s="1"/>
  <c r="I118" i="82"/>
  <c r="I86" i="82" s="1"/>
  <c r="G18" i="82"/>
  <c r="H101" i="82"/>
  <c r="G98" i="82"/>
  <c r="G106" i="82" s="1"/>
  <c r="G30" i="82" s="1"/>
  <c r="G73" i="82" s="1"/>
  <c r="H109" i="82"/>
  <c r="J82" i="82"/>
  <c r="G21" i="82"/>
  <c r="F147" i="82"/>
  <c r="F152" i="82" s="1"/>
  <c r="F151" i="82" s="1"/>
  <c r="G151" i="82" s="1"/>
  <c r="D15" i="82"/>
  <c r="E93" i="82"/>
  <c r="H17" i="82"/>
  <c r="K40" i="82"/>
  <c r="I50" i="82"/>
  <c r="G70" i="82"/>
  <c r="F93" i="82"/>
  <c r="E94" i="82"/>
  <c r="E119" i="82"/>
  <c r="G20" i="82"/>
  <c r="G93" i="82"/>
  <c r="F94" i="82"/>
  <c r="E122" i="82"/>
  <c r="G126" i="82"/>
  <c r="E139" i="82"/>
  <c r="E44" i="82"/>
  <c r="I46" i="82"/>
  <c r="G57" i="82"/>
  <c r="H57" i="82" s="1"/>
  <c r="G69" i="82"/>
  <c r="G94" i="82"/>
  <c r="F122" i="82"/>
  <c r="E123" i="82"/>
  <c r="F139" i="82"/>
  <c r="H14" i="82"/>
  <c r="H15" i="82"/>
  <c r="D22" i="82"/>
  <c r="E26" i="82"/>
  <c r="F44" i="82"/>
  <c r="G122" i="82"/>
  <c r="F123" i="82"/>
  <c r="G139" i="82"/>
  <c r="G44" i="82"/>
  <c r="G123" i="82"/>
  <c r="J98" i="74"/>
  <c r="K98" i="74" s="1"/>
  <c r="G118" i="80"/>
  <c r="H118" i="80" s="1"/>
  <c r="G117" i="80"/>
  <c r="H117" i="80" s="1"/>
  <c r="H81" i="80"/>
  <c r="H82" i="80" s="1"/>
  <c r="I81" i="80"/>
  <c r="I82" i="80" s="1"/>
  <c r="G81" i="80"/>
  <c r="G82" i="80" s="1"/>
  <c r="E99" i="80"/>
  <c r="F99" i="80"/>
  <c r="G96" i="80" s="1"/>
  <c r="D19" i="81"/>
  <c r="D22" i="81" s="1"/>
  <c r="E19" i="81"/>
  <c r="E22" i="81" s="1"/>
  <c r="F19" i="81"/>
  <c r="F22" i="81"/>
  <c r="F26" i="81" s="1"/>
  <c r="E36" i="81"/>
  <c r="F36" i="81"/>
  <c r="F37" i="81"/>
  <c r="D38" i="81"/>
  <c r="E38" i="81"/>
  <c r="F38" i="81"/>
  <c r="D39" i="81"/>
  <c r="E39" i="81"/>
  <c r="F39" i="81"/>
  <c r="F64" i="81"/>
  <c r="E64" i="81"/>
  <c r="F57" i="81"/>
  <c r="E57" i="81"/>
  <c r="F55" i="81"/>
  <c r="E55" i="81"/>
  <c r="E59" i="81" s="1"/>
  <c r="F48" i="81"/>
  <c r="F51" i="81" s="1"/>
  <c r="E48" i="81"/>
  <c r="F45" i="81"/>
  <c r="E45" i="81"/>
  <c r="E51" i="81" s="1"/>
  <c r="E66" i="81" s="1"/>
  <c r="F44" i="81"/>
  <c r="C44" i="81"/>
  <c r="C43" i="81"/>
  <c r="F15" i="81"/>
  <c r="E15" i="81" s="1"/>
  <c r="D15" i="81" s="1"/>
  <c r="F14" i="81"/>
  <c r="E14" i="81" s="1"/>
  <c r="C2" i="81"/>
  <c r="G17" i="80"/>
  <c r="H17" i="80" s="1"/>
  <c r="I17" i="80" s="1"/>
  <c r="J17" i="80" s="1"/>
  <c r="K17" i="80" s="1"/>
  <c r="G25" i="80"/>
  <c r="H25" i="80" s="1"/>
  <c r="I25" i="80" s="1"/>
  <c r="J25" i="80" s="1"/>
  <c r="K25" i="80" s="1"/>
  <c r="G32" i="80"/>
  <c r="G74" i="80" s="1"/>
  <c r="J36" i="80"/>
  <c r="K36" i="80" s="1"/>
  <c r="J37" i="80"/>
  <c r="K37" i="80" s="1"/>
  <c r="J38" i="80"/>
  <c r="K38" i="80" s="1"/>
  <c r="J39" i="80"/>
  <c r="K39" i="80" s="1"/>
  <c r="J40" i="80"/>
  <c r="K40" i="80" s="1"/>
  <c r="G46" i="80"/>
  <c r="H46" i="80" s="1"/>
  <c r="G50" i="80"/>
  <c r="G112" i="80" s="1"/>
  <c r="H50" i="80"/>
  <c r="I50" i="80" s="1"/>
  <c r="G54" i="80"/>
  <c r="G58" i="80"/>
  <c r="G78" i="80" s="1"/>
  <c r="G63" i="80"/>
  <c r="H63" i="80" s="1"/>
  <c r="I63" i="80" s="1"/>
  <c r="J63" i="80" s="1"/>
  <c r="K63" i="80" s="1"/>
  <c r="D19" i="80"/>
  <c r="D22" i="80" s="1"/>
  <c r="E19" i="80"/>
  <c r="E22" i="80" s="1"/>
  <c r="F19" i="80"/>
  <c r="F22" i="80" s="1"/>
  <c r="E36" i="80"/>
  <c r="F36" i="80"/>
  <c r="D38" i="80"/>
  <c r="E38" i="80"/>
  <c r="F38" i="80"/>
  <c r="D39" i="80"/>
  <c r="E39" i="80"/>
  <c r="F39" i="80"/>
  <c r="F119" i="80"/>
  <c r="G115" i="80" s="1"/>
  <c r="E119" i="80"/>
  <c r="D119" i="80"/>
  <c r="F112" i="80"/>
  <c r="G109" i="80" s="1"/>
  <c r="E112" i="80"/>
  <c r="F106" i="80"/>
  <c r="F104" i="80" s="1"/>
  <c r="F105" i="80" s="1"/>
  <c r="G105" i="80" s="1"/>
  <c r="E106" i="80"/>
  <c r="E104" i="80" s="1"/>
  <c r="E105" i="80" s="1"/>
  <c r="D106" i="80"/>
  <c r="D104" i="80" s="1"/>
  <c r="D105" i="80" s="1"/>
  <c r="F101" i="80"/>
  <c r="G101" i="80" s="1"/>
  <c r="E101" i="80"/>
  <c r="D101" i="80"/>
  <c r="C94" i="80"/>
  <c r="C93" i="80"/>
  <c r="C70" i="80"/>
  <c r="C69" i="80"/>
  <c r="F64" i="80"/>
  <c r="E64" i="80"/>
  <c r="F57" i="80"/>
  <c r="G57" i="80" s="1"/>
  <c r="G84" i="80" s="1"/>
  <c r="E57" i="80"/>
  <c r="F55" i="80"/>
  <c r="G55" i="80" s="1"/>
  <c r="H55" i="80" s="1"/>
  <c r="I55" i="80" s="1"/>
  <c r="E55" i="80"/>
  <c r="F48" i="80"/>
  <c r="G48" i="80" s="1"/>
  <c r="H48" i="80" s="1"/>
  <c r="I48" i="80" s="1"/>
  <c r="E48" i="80"/>
  <c r="F45" i="80"/>
  <c r="E45" i="80"/>
  <c r="C44" i="80"/>
  <c r="C43" i="80"/>
  <c r="F15" i="80"/>
  <c r="F94" i="80" s="1"/>
  <c r="F14" i="80"/>
  <c r="F43" i="80" s="1"/>
  <c r="C2" i="80"/>
  <c r="G64" i="76"/>
  <c r="J82" i="84" l="1"/>
  <c r="I20" i="84"/>
  <c r="I21" i="84"/>
  <c r="L97" i="84"/>
  <c r="J17" i="84"/>
  <c r="I19" i="84"/>
  <c r="I18" i="84" s="1"/>
  <c r="I47" i="84" s="1"/>
  <c r="I75" i="84" s="1"/>
  <c r="D26" i="81"/>
  <c r="D40" i="81" s="1"/>
  <c r="D31" i="81"/>
  <c r="D33" i="81" s="1"/>
  <c r="E26" i="81"/>
  <c r="E40" i="81" s="1"/>
  <c r="E31" i="81"/>
  <c r="E33" i="81" s="1"/>
  <c r="K81" i="82"/>
  <c r="K82" i="82" s="1"/>
  <c r="E140" i="83"/>
  <c r="D15" i="83"/>
  <c r="K55" i="82"/>
  <c r="E37" i="81"/>
  <c r="G22" i="82"/>
  <c r="H163" i="84"/>
  <c r="H166" i="84" s="1"/>
  <c r="E43" i="82"/>
  <c r="D14" i="82"/>
  <c r="E15" i="80"/>
  <c r="D15" i="80" s="1"/>
  <c r="D94" i="80" s="1"/>
  <c r="E59" i="80"/>
  <c r="D37" i="81"/>
  <c r="I58" i="82"/>
  <c r="H78" i="82"/>
  <c r="K54" i="82"/>
  <c r="K48" i="82"/>
  <c r="I57" i="82"/>
  <c r="H84" i="82"/>
  <c r="E44" i="83"/>
  <c r="I123" i="86"/>
  <c r="G139" i="83"/>
  <c r="G43" i="83"/>
  <c r="I46" i="83"/>
  <c r="F26" i="82"/>
  <c r="F31" i="82"/>
  <c r="F33" i="82" s="1"/>
  <c r="J50" i="80"/>
  <c r="J112" i="80" s="1"/>
  <c r="F59" i="81"/>
  <c r="F66" i="81" s="1"/>
  <c r="J77" i="83"/>
  <c r="I61" i="82"/>
  <c r="E43" i="83"/>
  <c r="D14" i="83"/>
  <c r="E93" i="83"/>
  <c r="F31" i="81"/>
  <c r="F33" i="81" s="1"/>
  <c r="E159" i="86"/>
  <c r="D14" i="86"/>
  <c r="G86" i="80"/>
  <c r="G87" i="80"/>
  <c r="G15" i="80"/>
  <c r="G70" i="80" s="1"/>
  <c r="G20" i="80"/>
  <c r="I118" i="80"/>
  <c r="H86" i="80"/>
  <c r="I117" i="80"/>
  <c r="H87" i="80"/>
  <c r="G14" i="80"/>
  <c r="G43" i="80" s="1"/>
  <c r="J97" i="80"/>
  <c r="J81" i="80" s="1"/>
  <c r="J82" i="80" s="1"/>
  <c r="J48" i="80"/>
  <c r="K48" i="80" s="1"/>
  <c r="G61" i="80"/>
  <c r="J55" i="80"/>
  <c r="K55" i="80" s="1"/>
  <c r="F37" i="80"/>
  <c r="G19" i="80"/>
  <c r="G18" i="80" s="1"/>
  <c r="G47" i="80" s="1"/>
  <c r="G75" i="80" s="1"/>
  <c r="F51" i="80"/>
  <c r="J61" i="86"/>
  <c r="E160" i="86"/>
  <c r="D15" i="86"/>
  <c r="F40" i="86"/>
  <c r="J74" i="86"/>
  <c r="J170" i="86"/>
  <c r="J175" i="86" s="1"/>
  <c r="K32" i="86"/>
  <c r="I163" i="86"/>
  <c r="I166" i="86" s="1"/>
  <c r="E116" i="86"/>
  <c r="E162" i="86"/>
  <c r="G116" i="86"/>
  <c r="G162" i="86"/>
  <c r="I174" i="86"/>
  <c r="I176" i="86" s="1"/>
  <c r="H177" i="86"/>
  <c r="I140" i="86"/>
  <c r="I70" i="86"/>
  <c r="I94" i="86"/>
  <c r="I44" i="86"/>
  <c r="L118" i="86"/>
  <c r="L86" i="86" s="1"/>
  <c r="L169" i="86" s="1"/>
  <c r="K86" i="86"/>
  <c r="K169" i="86" s="1"/>
  <c r="I152" i="86"/>
  <c r="J151" i="86"/>
  <c r="K78" i="86"/>
  <c r="L58" i="86"/>
  <c r="L78" i="86" s="1"/>
  <c r="E140" i="86"/>
  <c r="E123" i="86"/>
  <c r="E94" i="86"/>
  <c r="L84" i="86"/>
  <c r="L150" i="86"/>
  <c r="H75" i="86"/>
  <c r="K15" i="86"/>
  <c r="K160" i="86" s="1"/>
  <c r="J94" i="86"/>
  <c r="J123" i="86"/>
  <c r="J140" i="86"/>
  <c r="J44" i="86"/>
  <c r="J70" i="86"/>
  <c r="I18" i="86"/>
  <c r="I47" i="86" s="1"/>
  <c r="I22" i="86"/>
  <c r="J112" i="86"/>
  <c r="K50" i="86"/>
  <c r="E93" i="86"/>
  <c r="E139" i="86"/>
  <c r="E122" i="86"/>
  <c r="H76" i="86"/>
  <c r="K105" i="86"/>
  <c r="J104" i="86"/>
  <c r="J110" i="86" s="1"/>
  <c r="I111" i="86"/>
  <c r="I77" i="86" s="1"/>
  <c r="J109" i="86"/>
  <c r="H49" i="86"/>
  <c r="I96" i="86"/>
  <c r="I99" i="86" s="1"/>
  <c r="J139" i="86"/>
  <c r="J122" i="86"/>
  <c r="K14" i="86"/>
  <c r="K159" i="86" s="1"/>
  <c r="J69" i="86"/>
  <c r="J93" i="86"/>
  <c r="J43" i="86"/>
  <c r="I106" i="86"/>
  <c r="I30" i="86" s="1"/>
  <c r="I73" i="86" s="1"/>
  <c r="H31" i="86"/>
  <c r="H33" i="86" s="1"/>
  <c r="J20" i="86"/>
  <c r="K17" i="86"/>
  <c r="J19" i="86"/>
  <c r="J21" i="86"/>
  <c r="K101" i="86"/>
  <c r="J98" i="86"/>
  <c r="J32" i="84"/>
  <c r="J170" i="84" s="1"/>
  <c r="J58" i="84"/>
  <c r="K58" i="84" s="1"/>
  <c r="I74" i="84"/>
  <c r="F43" i="84"/>
  <c r="F159" i="84"/>
  <c r="H175" i="84"/>
  <c r="H176" i="84" s="1"/>
  <c r="D40" i="84"/>
  <c r="D28" i="84"/>
  <c r="E40" i="84"/>
  <c r="E28" i="84"/>
  <c r="F40" i="84"/>
  <c r="F28" i="84"/>
  <c r="K81" i="84"/>
  <c r="H53" i="84"/>
  <c r="F93" i="84"/>
  <c r="H22" i="84"/>
  <c r="G31" i="84"/>
  <c r="G26" i="84"/>
  <c r="H106" i="84"/>
  <c r="H30" i="84" s="1"/>
  <c r="F44" i="84"/>
  <c r="E15" i="84"/>
  <c r="F123" i="84"/>
  <c r="F139" i="84"/>
  <c r="F94" i="84"/>
  <c r="E14" i="84"/>
  <c r="E159" i="84" s="1"/>
  <c r="H49" i="84"/>
  <c r="I96" i="84"/>
  <c r="J105" i="84"/>
  <c r="I104" i="84"/>
  <c r="I110" i="84" s="1"/>
  <c r="J101" i="84"/>
  <c r="I98" i="84"/>
  <c r="J46" i="84"/>
  <c r="I112" i="84"/>
  <c r="J50" i="84"/>
  <c r="I151" i="84"/>
  <c r="H140" i="84"/>
  <c r="H123" i="84"/>
  <c r="H44" i="84"/>
  <c r="I15" i="84"/>
  <c r="I160" i="84" s="1"/>
  <c r="H94" i="84"/>
  <c r="H70" i="84"/>
  <c r="I61" i="84"/>
  <c r="H43" i="84"/>
  <c r="H139" i="84"/>
  <c r="H122" i="84"/>
  <c r="I14" i="84"/>
  <c r="I159" i="84" s="1"/>
  <c r="H69" i="84"/>
  <c r="H93" i="84"/>
  <c r="K118" i="84"/>
  <c r="J86" i="84"/>
  <c r="J169" i="84" s="1"/>
  <c r="I57" i="84"/>
  <c r="H150" i="84"/>
  <c r="H152" i="84" s="1"/>
  <c r="H84" i="84"/>
  <c r="G31" i="83"/>
  <c r="G33" i="83" s="1"/>
  <c r="D31" i="83"/>
  <c r="D33" i="83" s="1"/>
  <c r="D26" i="83"/>
  <c r="H57" i="83"/>
  <c r="G84" i="83"/>
  <c r="G150" i="83"/>
  <c r="G152" i="83" s="1"/>
  <c r="G47" i="83"/>
  <c r="G75" i="83" s="1"/>
  <c r="G53" i="83"/>
  <c r="H78" i="83"/>
  <c r="I58" i="83"/>
  <c r="H43" i="83"/>
  <c r="H139" i="83"/>
  <c r="H122" i="83"/>
  <c r="I14" i="83"/>
  <c r="H69" i="83"/>
  <c r="H93" i="83"/>
  <c r="I112" i="83"/>
  <c r="J50" i="83"/>
  <c r="H98" i="83"/>
  <c r="I101" i="83"/>
  <c r="G99" i="83"/>
  <c r="I105" i="83"/>
  <c r="H104" i="83"/>
  <c r="H110" i="83" s="1"/>
  <c r="H111" i="83" s="1"/>
  <c r="H151" i="83"/>
  <c r="H19" i="83"/>
  <c r="H21" i="83"/>
  <c r="H20" i="83"/>
  <c r="I17" i="83"/>
  <c r="H140" i="83"/>
  <c r="H123" i="83"/>
  <c r="H44" i="83"/>
  <c r="I15" i="83"/>
  <c r="H94" i="83"/>
  <c r="H70" i="83"/>
  <c r="J118" i="83"/>
  <c r="I86" i="83"/>
  <c r="J32" i="83"/>
  <c r="J74" i="83" s="1"/>
  <c r="F28" i="83"/>
  <c r="F116" i="83" s="1"/>
  <c r="F40" i="83"/>
  <c r="E40" i="83"/>
  <c r="E28" i="83"/>
  <c r="E116" i="83" s="1"/>
  <c r="H151" i="82"/>
  <c r="G31" i="82"/>
  <c r="G33" i="82" s="1"/>
  <c r="I105" i="82"/>
  <c r="H104" i="82"/>
  <c r="H110" i="82" s="1"/>
  <c r="H111" i="82" s="1"/>
  <c r="H77" i="82" s="1"/>
  <c r="E40" i="82"/>
  <c r="E28" i="82"/>
  <c r="E116" i="82" s="1"/>
  <c r="D31" i="82"/>
  <c r="D33" i="82" s="1"/>
  <c r="D26" i="82"/>
  <c r="G84" i="82"/>
  <c r="G150" i="82"/>
  <c r="G152" i="82" s="1"/>
  <c r="I112" i="82"/>
  <c r="J50" i="82"/>
  <c r="I101" i="82"/>
  <c r="H98" i="82"/>
  <c r="G99" i="82"/>
  <c r="J118" i="82"/>
  <c r="J86" i="82" s="1"/>
  <c r="H19" i="82"/>
  <c r="H20" i="82"/>
  <c r="I17" i="82"/>
  <c r="H21" i="82"/>
  <c r="G47" i="82"/>
  <c r="G53" i="82"/>
  <c r="J32" i="82"/>
  <c r="J74" i="82" s="1"/>
  <c r="H140" i="82"/>
  <c r="H123" i="82"/>
  <c r="H44" i="82"/>
  <c r="I15" i="82"/>
  <c r="H94" i="82"/>
  <c r="H70" i="82"/>
  <c r="J46" i="82"/>
  <c r="H43" i="82"/>
  <c r="H139" i="82"/>
  <c r="H122" i="82"/>
  <c r="I14" i="82"/>
  <c r="H69" i="82"/>
  <c r="H93" i="82"/>
  <c r="D140" i="82"/>
  <c r="D123" i="82"/>
  <c r="D94" i="82"/>
  <c r="G88" i="80"/>
  <c r="H101" i="80"/>
  <c r="G98" i="80"/>
  <c r="G99" i="80" s="1"/>
  <c r="F26" i="80"/>
  <c r="F28" i="80" s="1"/>
  <c r="F116" i="80" s="1"/>
  <c r="F31" i="80"/>
  <c r="F33" i="80" s="1"/>
  <c r="K109" i="80"/>
  <c r="G104" i="80"/>
  <c r="H105" i="80"/>
  <c r="H109" i="80"/>
  <c r="E14" i="80"/>
  <c r="D14" i="80" s="1"/>
  <c r="D93" i="80" s="1"/>
  <c r="F44" i="80"/>
  <c r="H58" i="80"/>
  <c r="E51" i="80"/>
  <c r="H112" i="80"/>
  <c r="I112" i="80"/>
  <c r="G21" i="80"/>
  <c r="K97" i="80"/>
  <c r="F40" i="81"/>
  <c r="F28" i="81"/>
  <c r="E28" i="81"/>
  <c r="D28" i="81"/>
  <c r="D14" i="81"/>
  <c r="E43" i="81"/>
  <c r="F43" i="81"/>
  <c r="E44" i="81"/>
  <c r="H20" i="80"/>
  <c r="H19" i="80"/>
  <c r="H21" i="80"/>
  <c r="H32" i="80"/>
  <c r="K50" i="80"/>
  <c r="K112" i="80" s="1"/>
  <c r="H54" i="80"/>
  <c r="I54" i="80" s="1"/>
  <c r="J54" i="80" s="1"/>
  <c r="K54" i="80" s="1"/>
  <c r="I46" i="80"/>
  <c r="H57" i="80"/>
  <c r="D31" i="80"/>
  <c r="D33" i="80" s="1"/>
  <c r="D26" i="80"/>
  <c r="E31" i="80"/>
  <c r="E33" i="80" s="1"/>
  <c r="E26" i="80"/>
  <c r="E37" i="80"/>
  <c r="D37" i="80"/>
  <c r="H15" i="80"/>
  <c r="E44" i="80"/>
  <c r="F93" i="80"/>
  <c r="F59" i="80"/>
  <c r="G44" i="80"/>
  <c r="G94" i="80"/>
  <c r="G59" i="74"/>
  <c r="H59" i="74" s="1"/>
  <c r="I59" i="74" s="1"/>
  <c r="J59" i="74" s="1"/>
  <c r="K59" i="74" s="1"/>
  <c r="G58" i="64"/>
  <c r="H58" i="64" s="1"/>
  <c r="I58" i="64" s="1"/>
  <c r="G58" i="69"/>
  <c r="H58" i="69" s="1"/>
  <c r="I58" i="69" s="1"/>
  <c r="G58" i="68"/>
  <c r="H58" i="68" s="1"/>
  <c r="I58" i="68" s="1"/>
  <c r="K82" i="84" l="1"/>
  <c r="L81" i="84"/>
  <c r="J20" i="84"/>
  <c r="K17" i="84"/>
  <c r="J21" i="84"/>
  <c r="J19" i="84"/>
  <c r="J18" i="84" s="1"/>
  <c r="J47" i="84" s="1"/>
  <c r="J75" i="84" s="1"/>
  <c r="I22" i="84"/>
  <c r="I53" i="84"/>
  <c r="H73" i="84"/>
  <c r="G33" i="84"/>
  <c r="D139" i="82"/>
  <c r="D122" i="82"/>
  <c r="D93" i="82"/>
  <c r="D139" i="83"/>
  <c r="D122" i="83"/>
  <c r="D93" i="83"/>
  <c r="F28" i="82"/>
  <c r="F116" i="82" s="1"/>
  <c r="F40" i="82"/>
  <c r="J57" i="82"/>
  <c r="I84" i="82"/>
  <c r="H53" i="82"/>
  <c r="J61" i="82"/>
  <c r="J46" i="83"/>
  <c r="E66" i="80"/>
  <c r="K32" i="84"/>
  <c r="K170" i="84" s="1"/>
  <c r="E94" i="80"/>
  <c r="J74" i="84"/>
  <c r="K61" i="86"/>
  <c r="J58" i="82"/>
  <c r="I78" i="82"/>
  <c r="D140" i="83"/>
  <c r="D123" i="83"/>
  <c r="D94" i="83"/>
  <c r="G75" i="82"/>
  <c r="H106" i="83"/>
  <c r="H30" i="83" s="1"/>
  <c r="H73" i="83" s="1"/>
  <c r="G22" i="80"/>
  <c r="G26" i="80" s="1"/>
  <c r="G27" i="80" s="1"/>
  <c r="G53" i="80"/>
  <c r="F122" i="80"/>
  <c r="G122" i="80" s="1"/>
  <c r="H122" i="80" s="1"/>
  <c r="I122" i="80" s="1"/>
  <c r="J122" i="80" s="1"/>
  <c r="K122" i="80" s="1"/>
  <c r="F121" i="80"/>
  <c r="G121" i="80" s="1"/>
  <c r="H121" i="80" s="1"/>
  <c r="I121" i="80" s="1"/>
  <c r="J121" i="80" s="1"/>
  <c r="K121" i="80" s="1"/>
  <c r="G69" i="80"/>
  <c r="E43" i="80"/>
  <c r="J117" i="80"/>
  <c r="I87" i="80"/>
  <c r="H14" i="80"/>
  <c r="I14" i="80" s="1"/>
  <c r="G93" i="80"/>
  <c r="F66" i="80"/>
  <c r="E93" i="80"/>
  <c r="J118" i="80"/>
  <c r="I86" i="80"/>
  <c r="J163" i="86"/>
  <c r="J166" i="86" s="1"/>
  <c r="F116" i="86"/>
  <c r="F162" i="86"/>
  <c r="I53" i="86"/>
  <c r="I76" i="86" s="1"/>
  <c r="K170" i="86"/>
  <c r="K74" i="86"/>
  <c r="L32" i="86"/>
  <c r="K175" i="86"/>
  <c r="J174" i="86"/>
  <c r="J176" i="86" s="1"/>
  <c r="I177" i="86"/>
  <c r="E167" i="86"/>
  <c r="E164" i="86"/>
  <c r="E179" i="86"/>
  <c r="G179" i="86"/>
  <c r="G164" i="86"/>
  <c r="G167" i="86"/>
  <c r="I75" i="86"/>
  <c r="L50" i="86"/>
  <c r="L112" i="86" s="1"/>
  <c r="K112" i="86"/>
  <c r="J18" i="86"/>
  <c r="J47" i="86" s="1"/>
  <c r="J22" i="86"/>
  <c r="K69" i="86"/>
  <c r="K122" i="86"/>
  <c r="K93" i="86"/>
  <c r="K139" i="86"/>
  <c r="K43" i="86"/>
  <c r="L14" i="86"/>
  <c r="L159" i="86" s="1"/>
  <c r="L105" i="86"/>
  <c r="K104" i="86"/>
  <c r="K110" i="86" s="1"/>
  <c r="K109" i="86"/>
  <c r="J111" i="86"/>
  <c r="J77" i="86" s="1"/>
  <c r="J106" i="86"/>
  <c r="J30" i="86" s="1"/>
  <c r="J73" i="86" s="1"/>
  <c r="I49" i="86"/>
  <c r="J96" i="86"/>
  <c r="J99" i="86" s="1"/>
  <c r="K20" i="86"/>
  <c r="L17" i="86"/>
  <c r="K21" i="86"/>
  <c r="K19" i="86"/>
  <c r="L101" i="86"/>
  <c r="L98" i="86" s="1"/>
  <c r="K98" i="86"/>
  <c r="J152" i="86"/>
  <c r="K151" i="86"/>
  <c r="K94" i="86"/>
  <c r="K70" i="86"/>
  <c r="K140" i="86"/>
  <c r="K123" i="86"/>
  <c r="K44" i="86"/>
  <c r="L15" i="86"/>
  <c r="L160" i="86" s="1"/>
  <c r="I31" i="86"/>
  <c r="I33" i="86" s="1"/>
  <c r="J78" i="84"/>
  <c r="D116" i="84"/>
  <c r="D162" i="84"/>
  <c r="H177" i="84"/>
  <c r="I174" i="84"/>
  <c r="F116" i="84"/>
  <c r="F162" i="84"/>
  <c r="E116" i="84"/>
  <c r="E162" i="84"/>
  <c r="E44" i="84"/>
  <c r="E160" i="84"/>
  <c r="E139" i="84"/>
  <c r="D14" i="84"/>
  <c r="D159" i="84" s="1"/>
  <c r="E43" i="84"/>
  <c r="E140" i="84"/>
  <c r="D15" i="84"/>
  <c r="D160" i="84" s="1"/>
  <c r="H76" i="84"/>
  <c r="H31" i="84"/>
  <c r="E93" i="84"/>
  <c r="E94" i="84"/>
  <c r="G28" i="84"/>
  <c r="G40" i="84"/>
  <c r="E122" i="84"/>
  <c r="E123" i="84"/>
  <c r="J57" i="84"/>
  <c r="I84" i="84"/>
  <c r="I150" i="84"/>
  <c r="I152" i="84" s="1"/>
  <c r="J151" i="84"/>
  <c r="K105" i="84"/>
  <c r="J104" i="84"/>
  <c r="J110" i="84" s="1"/>
  <c r="J61" i="84"/>
  <c r="J112" i="84"/>
  <c r="K50" i="84"/>
  <c r="I111" i="84"/>
  <c r="I77" i="84" s="1"/>
  <c r="J109" i="84"/>
  <c r="I106" i="84"/>
  <c r="I30" i="84" s="1"/>
  <c r="I99" i="84"/>
  <c r="I43" i="84"/>
  <c r="I139" i="84"/>
  <c r="I122" i="84"/>
  <c r="J14" i="84"/>
  <c r="J159" i="84" s="1"/>
  <c r="I69" i="84"/>
  <c r="I93" i="84"/>
  <c r="I140" i="84"/>
  <c r="I123" i="84"/>
  <c r="I44" i="84"/>
  <c r="J15" i="84"/>
  <c r="J160" i="84" s="1"/>
  <c r="I94" i="84"/>
  <c r="I70" i="84"/>
  <c r="K101" i="84"/>
  <c r="J98" i="84"/>
  <c r="K86" i="84"/>
  <c r="K169" i="84" s="1"/>
  <c r="L118" i="84"/>
  <c r="L86" i="84" s="1"/>
  <c r="L169" i="84" s="1"/>
  <c r="K46" i="84"/>
  <c r="L58" i="84"/>
  <c r="L78" i="84" s="1"/>
  <c r="K78" i="84"/>
  <c r="J86" i="83"/>
  <c r="K118" i="83"/>
  <c r="K86" i="83" s="1"/>
  <c r="H18" i="83"/>
  <c r="H47" i="83" s="1"/>
  <c r="H75" i="83" s="1"/>
  <c r="H22" i="83"/>
  <c r="J101" i="83"/>
  <c r="I98" i="83"/>
  <c r="I57" i="83"/>
  <c r="H84" i="83"/>
  <c r="H150" i="83"/>
  <c r="H152" i="83" s="1"/>
  <c r="J15" i="83"/>
  <c r="I94" i="83"/>
  <c r="I70" i="83"/>
  <c r="I140" i="83"/>
  <c r="I123" i="83"/>
  <c r="I44" i="83"/>
  <c r="I151" i="83"/>
  <c r="D40" i="83"/>
  <c r="D28" i="83"/>
  <c r="D116" i="83" s="1"/>
  <c r="I20" i="83"/>
  <c r="J17" i="83"/>
  <c r="I21" i="83"/>
  <c r="I19" i="83"/>
  <c r="K32" i="83"/>
  <c r="K74" i="83" s="1"/>
  <c r="K50" i="83"/>
  <c r="K112" i="83" s="1"/>
  <c r="J112" i="83"/>
  <c r="I78" i="83"/>
  <c r="J58" i="83"/>
  <c r="J109" i="83"/>
  <c r="G49" i="83"/>
  <c r="H96" i="83"/>
  <c r="H99" i="83" s="1"/>
  <c r="I139" i="83"/>
  <c r="I122" i="83"/>
  <c r="J14" i="83"/>
  <c r="I69" i="83"/>
  <c r="I93" i="83"/>
  <c r="I43" i="83"/>
  <c r="I104" i="83"/>
  <c r="I110" i="83" s="1"/>
  <c r="I111" i="83" s="1"/>
  <c r="J105" i="83"/>
  <c r="H53" i="83"/>
  <c r="G76" i="83"/>
  <c r="I151" i="82"/>
  <c r="H18" i="82"/>
  <c r="H22" i="82"/>
  <c r="K50" i="82"/>
  <c r="K112" i="82" s="1"/>
  <c r="J112" i="82"/>
  <c r="K32" i="82"/>
  <c r="K74" i="82" s="1"/>
  <c r="J109" i="82"/>
  <c r="I111" i="82"/>
  <c r="I77" i="82" s="1"/>
  <c r="K46" i="82"/>
  <c r="K118" i="82"/>
  <c r="K86" i="82" s="1"/>
  <c r="J101" i="82"/>
  <c r="I98" i="82"/>
  <c r="I106" i="82" s="1"/>
  <c r="I30" i="82" s="1"/>
  <c r="I73" i="82" s="1"/>
  <c r="J15" i="82"/>
  <c r="I94" i="82"/>
  <c r="I70" i="82"/>
  <c r="I140" i="82"/>
  <c r="I123" i="82"/>
  <c r="I44" i="82"/>
  <c r="G49" i="82"/>
  <c r="H96" i="82"/>
  <c r="H99" i="82" s="1"/>
  <c r="H49" i="82" s="1"/>
  <c r="D40" i="82"/>
  <c r="D28" i="82"/>
  <c r="D116" i="82" s="1"/>
  <c r="G76" i="82"/>
  <c r="I139" i="82"/>
  <c r="I122" i="82"/>
  <c r="J14" i="82"/>
  <c r="I69" i="82"/>
  <c r="I93" i="82"/>
  <c r="I43" i="82"/>
  <c r="H47" i="82"/>
  <c r="H150" i="82"/>
  <c r="H152" i="82" s="1"/>
  <c r="J105" i="82"/>
  <c r="I104" i="82"/>
  <c r="I110" i="82" s="1"/>
  <c r="I20" i="82"/>
  <c r="J17" i="82"/>
  <c r="I21" i="82"/>
  <c r="I19" i="82"/>
  <c r="H106" i="82"/>
  <c r="H30" i="82" s="1"/>
  <c r="H73" i="82" s="1"/>
  <c r="G106" i="80"/>
  <c r="G30" i="80" s="1"/>
  <c r="G73" i="80" s="1"/>
  <c r="G110" i="80"/>
  <c r="G111" i="80" s="1"/>
  <c r="G77" i="80" s="1"/>
  <c r="J109" i="80"/>
  <c r="H96" i="80"/>
  <c r="G49" i="80"/>
  <c r="I109" i="80"/>
  <c r="I101" i="80"/>
  <c r="H98" i="80"/>
  <c r="I105" i="80"/>
  <c r="H104" i="80"/>
  <c r="H78" i="80"/>
  <c r="I58" i="80"/>
  <c r="F40" i="80"/>
  <c r="K81" i="80"/>
  <c r="K82" i="80" s="1"/>
  <c r="H18" i="80"/>
  <c r="H22" i="80"/>
  <c r="I20" i="80"/>
  <c r="I21" i="80"/>
  <c r="I19" i="80"/>
  <c r="H74" i="80"/>
  <c r="I32" i="80"/>
  <c r="H61" i="80"/>
  <c r="J46" i="80"/>
  <c r="H84" i="80"/>
  <c r="H88" i="80" s="1"/>
  <c r="I57" i="80"/>
  <c r="E28" i="80"/>
  <c r="E40" i="80"/>
  <c r="D28" i="80"/>
  <c r="D40" i="80"/>
  <c r="H70" i="80"/>
  <c r="H94" i="80"/>
  <c r="H44" i="80"/>
  <c r="I15" i="80"/>
  <c r="L82" i="84" l="1"/>
  <c r="K20" i="84"/>
  <c r="I76" i="84"/>
  <c r="J22" i="84"/>
  <c r="K19" i="84"/>
  <c r="K18" i="84" s="1"/>
  <c r="K47" i="84" s="1"/>
  <c r="K21" i="84"/>
  <c r="L17" i="84"/>
  <c r="H40" i="84"/>
  <c r="K74" i="84"/>
  <c r="L32" i="84"/>
  <c r="L170" i="84" s="1"/>
  <c r="H33" i="84"/>
  <c r="K46" i="83"/>
  <c r="K61" i="82"/>
  <c r="L61" i="86"/>
  <c r="K58" i="82"/>
  <c r="K78" i="82" s="1"/>
  <c r="J78" i="82"/>
  <c r="H75" i="82"/>
  <c r="K77" i="83"/>
  <c r="J84" i="82"/>
  <c r="K57" i="82"/>
  <c r="K84" i="82" s="1"/>
  <c r="G76" i="80"/>
  <c r="G59" i="80"/>
  <c r="G31" i="80"/>
  <c r="G33" i="80" s="1"/>
  <c r="K117" i="80"/>
  <c r="K87" i="80" s="1"/>
  <c r="J87" i="80"/>
  <c r="H69" i="80"/>
  <c r="H93" i="80"/>
  <c r="H99" i="80"/>
  <c r="H49" i="80" s="1"/>
  <c r="K118" i="80"/>
  <c r="K86" i="80" s="1"/>
  <c r="J86" i="80"/>
  <c r="H43" i="80"/>
  <c r="K163" i="86"/>
  <c r="K166" i="86" s="1"/>
  <c r="F179" i="86"/>
  <c r="F180" i="86" s="1"/>
  <c r="F167" i="86"/>
  <c r="F164" i="86"/>
  <c r="L74" i="86"/>
  <c r="L170" i="86"/>
  <c r="L175" i="86" s="1"/>
  <c r="K106" i="86"/>
  <c r="K30" i="86" s="1"/>
  <c r="K73" i="86" s="1"/>
  <c r="K174" i="86"/>
  <c r="K176" i="86" s="1"/>
  <c r="J177" i="86"/>
  <c r="J75" i="86"/>
  <c r="L151" i="86"/>
  <c r="L152" i="86" s="1"/>
  <c r="K152" i="86"/>
  <c r="J31" i="86"/>
  <c r="J33" i="86" s="1"/>
  <c r="L70" i="86"/>
  <c r="L94" i="86"/>
  <c r="L140" i="86"/>
  <c r="L123" i="86"/>
  <c r="L44" i="86"/>
  <c r="J53" i="86"/>
  <c r="L93" i="86"/>
  <c r="L69" i="86"/>
  <c r="L43" i="86"/>
  <c r="L139" i="86"/>
  <c r="L122" i="86"/>
  <c r="L109" i="86"/>
  <c r="K111" i="86"/>
  <c r="K77" i="86" s="1"/>
  <c r="L21" i="86"/>
  <c r="L19" i="86"/>
  <c r="L20" i="86"/>
  <c r="L104" i="86"/>
  <c r="L110" i="86" s="1"/>
  <c r="J49" i="86"/>
  <c r="K96" i="86"/>
  <c r="K99" i="86" s="1"/>
  <c r="K22" i="86"/>
  <c r="K18" i="86"/>
  <c r="K47" i="86" s="1"/>
  <c r="E164" i="84"/>
  <c r="E167" i="84"/>
  <c r="F167" i="84"/>
  <c r="F164" i="84"/>
  <c r="G116" i="84"/>
  <c r="G162" i="84"/>
  <c r="D167" i="84"/>
  <c r="D164" i="84"/>
  <c r="J106" i="84"/>
  <c r="J30" i="84" s="1"/>
  <c r="J53" i="84"/>
  <c r="J76" i="84" s="1"/>
  <c r="I73" i="84"/>
  <c r="I31" i="84"/>
  <c r="L46" i="84"/>
  <c r="K15" i="84"/>
  <c r="K160" i="84" s="1"/>
  <c r="J94" i="84"/>
  <c r="J70" i="84"/>
  <c r="J44" i="84"/>
  <c r="J140" i="84"/>
  <c r="J123" i="84"/>
  <c r="I49" i="84"/>
  <c r="J96" i="84"/>
  <c r="J99" i="84" s="1"/>
  <c r="L105" i="84"/>
  <c r="K104" i="84"/>
  <c r="K110" i="84" s="1"/>
  <c r="K109" i="84"/>
  <c r="J111" i="84"/>
  <c r="J77" i="84" s="1"/>
  <c r="K151" i="84"/>
  <c r="K57" i="84"/>
  <c r="J84" i="84"/>
  <c r="J150" i="84"/>
  <c r="J152" i="84" s="1"/>
  <c r="J139" i="84"/>
  <c r="J122" i="84"/>
  <c r="K14" i="84"/>
  <c r="K159" i="84" s="1"/>
  <c r="J69" i="84"/>
  <c r="J93" i="84"/>
  <c r="J43" i="84"/>
  <c r="K112" i="84"/>
  <c r="L50" i="84"/>
  <c r="L112" i="84" s="1"/>
  <c r="L101" i="84"/>
  <c r="L98" i="84" s="1"/>
  <c r="K98" i="84"/>
  <c r="K61" i="84"/>
  <c r="H49" i="83"/>
  <c r="I96" i="83"/>
  <c r="I99" i="83" s="1"/>
  <c r="J94" i="83"/>
  <c r="J70" i="83"/>
  <c r="J140" i="83"/>
  <c r="J123" i="83"/>
  <c r="J44" i="83"/>
  <c r="K15" i="83"/>
  <c r="J151" i="83"/>
  <c r="I53" i="83"/>
  <c r="H76" i="83"/>
  <c r="K105" i="83"/>
  <c r="J104" i="83"/>
  <c r="J110" i="83" s="1"/>
  <c r="J111" i="83" s="1"/>
  <c r="I22" i="83"/>
  <c r="I18" i="83"/>
  <c r="I47" i="83" s="1"/>
  <c r="I75" i="83" s="1"/>
  <c r="J57" i="83"/>
  <c r="I84" i="83"/>
  <c r="I150" i="83"/>
  <c r="I152" i="83" s="1"/>
  <c r="J69" i="83"/>
  <c r="J93" i="83"/>
  <c r="J43" i="83"/>
  <c r="J139" i="83"/>
  <c r="J122" i="83"/>
  <c r="K14" i="83"/>
  <c r="I106" i="83"/>
  <c r="I30" i="83" s="1"/>
  <c r="I73" i="83" s="1"/>
  <c r="H31" i="83"/>
  <c r="H33" i="83" s="1"/>
  <c r="K109" i="83"/>
  <c r="K58" i="83"/>
  <c r="K78" i="83" s="1"/>
  <c r="J78" i="83"/>
  <c r="J20" i="83"/>
  <c r="K17" i="83"/>
  <c r="J21" i="83"/>
  <c r="J19" i="83"/>
  <c r="K101" i="83"/>
  <c r="K98" i="83" s="1"/>
  <c r="J98" i="83"/>
  <c r="J151" i="82"/>
  <c r="H76" i="82"/>
  <c r="K101" i="82"/>
  <c r="K98" i="82" s="1"/>
  <c r="K106" i="82" s="1"/>
  <c r="K30" i="82" s="1"/>
  <c r="K73" i="82" s="1"/>
  <c r="J98" i="82"/>
  <c r="J20" i="82"/>
  <c r="K17" i="82"/>
  <c r="J21" i="82"/>
  <c r="J19" i="82"/>
  <c r="J69" i="82"/>
  <c r="J93" i="82"/>
  <c r="J43" i="82"/>
  <c r="J139" i="82"/>
  <c r="J122" i="82"/>
  <c r="K14" i="82"/>
  <c r="J94" i="82"/>
  <c r="J70" i="82"/>
  <c r="J140" i="82"/>
  <c r="J123" i="82"/>
  <c r="J44" i="82"/>
  <c r="K15" i="82"/>
  <c r="H31" i="82"/>
  <c r="H33" i="82" s="1"/>
  <c r="K105" i="82"/>
  <c r="K104" i="82" s="1"/>
  <c r="K110" i="82" s="1"/>
  <c r="K111" i="82" s="1"/>
  <c r="K77" i="82" s="1"/>
  <c r="J104" i="82"/>
  <c r="J110" i="82" s="1"/>
  <c r="J111" i="82" s="1"/>
  <c r="J77" i="82" s="1"/>
  <c r="K109" i="82"/>
  <c r="I22" i="82"/>
  <c r="I18" i="82"/>
  <c r="I47" i="82" s="1"/>
  <c r="I150" i="82"/>
  <c r="I152" i="82" s="1"/>
  <c r="I96" i="82"/>
  <c r="I99" i="82" s="1"/>
  <c r="I49" i="82" s="1"/>
  <c r="J58" i="80"/>
  <c r="I78" i="80"/>
  <c r="H106" i="80"/>
  <c r="H30" i="80" s="1"/>
  <c r="H73" i="80" s="1"/>
  <c r="H110" i="80"/>
  <c r="H111" i="80" s="1"/>
  <c r="H77" i="80" s="1"/>
  <c r="G28" i="80"/>
  <c r="J105" i="80"/>
  <c r="I104" i="80"/>
  <c r="J101" i="80"/>
  <c r="I98" i="80"/>
  <c r="J20" i="80"/>
  <c r="J19" i="80"/>
  <c r="J21" i="80"/>
  <c r="H26" i="80"/>
  <c r="H53" i="80"/>
  <c r="H47" i="80"/>
  <c r="I18" i="80"/>
  <c r="I22" i="80"/>
  <c r="J32" i="80"/>
  <c r="I74" i="80"/>
  <c r="I61" i="80"/>
  <c r="I84" i="80"/>
  <c r="I88" i="80" s="1"/>
  <c r="J57" i="80"/>
  <c r="K46" i="80"/>
  <c r="I43" i="80"/>
  <c r="I93" i="80"/>
  <c r="I69" i="80"/>
  <c r="J14" i="80"/>
  <c r="E116" i="80"/>
  <c r="D116" i="80"/>
  <c r="I94" i="80"/>
  <c r="I44" i="80"/>
  <c r="J15" i="80"/>
  <c r="I70" i="80"/>
  <c r="C2" i="66"/>
  <c r="K22" i="84" l="1"/>
  <c r="L104" i="84"/>
  <c r="L110" i="84" s="1"/>
  <c r="L20" i="84"/>
  <c r="L21" i="84"/>
  <c r="L19" i="84"/>
  <c r="L18" i="84" s="1"/>
  <c r="L74" i="84"/>
  <c r="J73" i="84"/>
  <c r="I33" i="84"/>
  <c r="I40" i="84"/>
  <c r="I53" i="82"/>
  <c r="J106" i="83"/>
  <c r="J30" i="83" s="1"/>
  <c r="J73" i="83" s="1"/>
  <c r="I75" i="82"/>
  <c r="G180" i="86"/>
  <c r="I96" i="80"/>
  <c r="I99" i="80" s="1"/>
  <c r="J96" i="80" s="1"/>
  <c r="E121" i="80"/>
  <c r="E122" i="80"/>
  <c r="D121" i="80"/>
  <c r="D122" i="80"/>
  <c r="G72" i="80"/>
  <c r="G79" i="80" s="1"/>
  <c r="G90" i="80" s="1"/>
  <c r="G45" i="80" s="1"/>
  <c r="G51" i="80" s="1"/>
  <c r="G116" i="80"/>
  <c r="G119" i="80" s="1"/>
  <c r="L111" i="86"/>
  <c r="L77" i="86" s="1"/>
  <c r="L106" i="86"/>
  <c r="L30" i="86" s="1"/>
  <c r="L73" i="86" s="1"/>
  <c r="L163" i="86"/>
  <c r="L166" i="86" s="1"/>
  <c r="L174" i="86"/>
  <c r="L176" i="86" s="1"/>
  <c r="L177" i="86" s="1"/>
  <c r="K177" i="86"/>
  <c r="K75" i="86"/>
  <c r="L22" i="86"/>
  <c r="L18" i="86"/>
  <c r="L47" i="86" s="1"/>
  <c r="L75" i="86" s="1"/>
  <c r="K31" i="86"/>
  <c r="K33" i="86" s="1"/>
  <c r="K49" i="86"/>
  <c r="L96" i="86"/>
  <c r="L99" i="86" s="1"/>
  <c r="L49" i="86" s="1"/>
  <c r="K53" i="86"/>
  <c r="J76" i="86"/>
  <c r="G164" i="84"/>
  <c r="G167" i="84"/>
  <c r="J31" i="84"/>
  <c r="K53" i="84"/>
  <c r="L109" i="84"/>
  <c r="K111" i="84"/>
  <c r="K77" i="84" s="1"/>
  <c r="J49" i="84"/>
  <c r="K96" i="84"/>
  <c r="K99" i="84" s="1"/>
  <c r="K94" i="84"/>
  <c r="K70" i="84"/>
  <c r="K140" i="84"/>
  <c r="K123" i="84"/>
  <c r="K44" i="84"/>
  <c r="L15" i="84"/>
  <c r="L160" i="84" s="1"/>
  <c r="K84" i="84"/>
  <c r="K150" i="84"/>
  <c r="K152" i="84" s="1"/>
  <c r="L57" i="84"/>
  <c r="K75" i="84"/>
  <c r="L151" i="84"/>
  <c r="K106" i="84"/>
  <c r="K30" i="84" s="1"/>
  <c r="K69" i="84"/>
  <c r="K93" i="84"/>
  <c r="K122" i="84"/>
  <c r="K43" i="84"/>
  <c r="K139" i="84"/>
  <c r="L14" i="84"/>
  <c r="L61" i="84"/>
  <c r="I76" i="83"/>
  <c r="I49" i="83"/>
  <c r="J96" i="83"/>
  <c r="J99" i="83" s="1"/>
  <c r="J84" i="83"/>
  <c r="J150" i="83"/>
  <c r="J152" i="83" s="1"/>
  <c r="K57" i="83"/>
  <c r="I31" i="83"/>
  <c r="I33" i="83" s="1"/>
  <c r="J18" i="83"/>
  <c r="J47" i="83" s="1"/>
  <c r="J75" i="83" s="1"/>
  <c r="J22" i="83"/>
  <c r="K151" i="83"/>
  <c r="K70" i="83"/>
  <c r="K140" i="83"/>
  <c r="K123" i="83"/>
  <c r="K44" i="83"/>
  <c r="K94" i="83"/>
  <c r="K93" i="83"/>
  <c r="K139" i="83"/>
  <c r="K43" i="83"/>
  <c r="K122" i="83"/>
  <c r="K69" i="83"/>
  <c r="K104" i="83"/>
  <c r="K110" i="83" s="1"/>
  <c r="K111" i="83" s="1"/>
  <c r="K20" i="83"/>
  <c r="K21" i="83"/>
  <c r="K19" i="83"/>
  <c r="J150" i="82"/>
  <c r="K93" i="82"/>
  <c r="K43" i="82"/>
  <c r="K139" i="82"/>
  <c r="K122" i="82"/>
  <c r="K69" i="82"/>
  <c r="J22" i="82"/>
  <c r="J18" i="82"/>
  <c r="J47" i="82" s="1"/>
  <c r="K151" i="82"/>
  <c r="J152" i="82"/>
  <c r="I31" i="82"/>
  <c r="I33" i="82" s="1"/>
  <c r="J96" i="82"/>
  <c r="J99" i="82" s="1"/>
  <c r="J49" i="82" s="1"/>
  <c r="K70" i="82"/>
  <c r="K140" i="82"/>
  <c r="K123" i="82"/>
  <c r="K44" i="82"/>
  <c r="K94" i="82"/>
  <c r="K21" i="82"/>
  <c r="K19" i="82"/>
  <c r="K20" i="82"/>
  <c r="J106" i="82"/>
  <c r="J30" i="82" s="1"/>
  <c r="J73" i="82" s="1"/>
  <c r="K101" i="80"/>
  <c r="K98" i="80" s="1"/>
  <c r="J98" i="80"/>
  <c r="I110" i="80"/>
  <c r="I111" i="80" s="1"/>
  <c r="I77" i="80" s="1"/>
  <c r="I106" i="80"/>
  <c r="I30" i="80" s="1"/>
  <c r="I73" i="80" s="1"/>
  <c r="J78" i="80"/>
  <c r="K58" i="80"/>
  <c r="K78" i="80" s="1"/>
  <c r="H31" i="80"/>
  <c r="H33" i="80" s="1"/>
  <c r="K105" i="80"/>
  <c r="K104" i="80" s="1"/>
  <c r="K110" i="80" s="1"/>
  <c r="K111" i="80" s="1"/>
  <c r="K77" i="80" s="1"/>
  <c r="J104" i="80"/>
  <c r="I49" i="80"/>
  <c r="K21" i="80"/>
  <c r="K20" i="80"/>
  <c r="K19" i="80"/>
  <c r="I53" i="80"/>
  <c r="H59" i="80"/>
  <c r="H76" i="80"/>
  <c r="I47" i="80"/>
  <c r="I75" i="80" s="1"/>
  <c r="H75" i="80"/>
  <c r="H27" i="80"/>
  <c r="H28" i="80" s="1"/>
  <c r="I26" i="80"/>
  <c r="J18" i="80"/>
  <c r="J22" i="80"/>
  <c r="K32" i="80"/>
  <c r="J74" i="80"/>
  <c r="J61" i="80"/>
  <c r="K57" i="80"/>
  <c r="K84" i="80" s="1"/>
  <c r="K88" i="80" s="1"/>
  <c r="J84" i="80"/>
  <c r="J88" i="80" s="1"/>
  <c r="J43" i="80"/>
  <c r="J93" i="80"/>
  <c r="J69" i="80"/>
  <c r="K14" i="80"/>
  <c r="J44" i="80"/>
  <c r="J94" i="80"/>
  <c r="K15" i="80"/>
  <c r="J70" i="80"/>
  <c r="F59" i="79"/>
  <c r="E59" i="79"/>
  <c r="F57" i="79"/>
  <c r="E57" i="79"/>
  <c r="G135" i="79"/>
  <c r="H135" i="79" s="1"/>
  <c r="I135" i="79" s="1"/>
  <c r="J135" i="79" s="1"/>
  <c r="K135" i="79" s="1"/>
  <c r="F49" i="79"/>
  <c r="E49" i="79"/>
  <c r="G135" i="78"/>
  <c r="H135" i="78" s="1"/>
  <c r="I135" i="78" s="1"/>
  <c r="J135" i="78" s="1"/>
  <c r="K135" i="78" s="1"/>
  <c r="F57" i="78"/>
  <c r="E57" i="78"/>
  <c r="F59" i="78"/>
  <c r="E59" i="78"/>
  <c r="E46" i="78"/>
  <c r="F46" i="78"/>
  <c r="F49" i="78"/>
  <c r="E49" i="78"/>
  <c r="F121" i="78"/>
  <c r="F123" i="78"/>
  <c r="F126" i="78"/>
  <c r="K76" i="84" l="1"/>
  <c r="L111" i="84"/>
  <c r="L77" i="84" s="1"/>
  <c r="L106" i="84"/>
  <c r="L30" i="84" s="1"/>
  <c r="L22" i="84"/>
  <c r="K73" i="84"/>
  <c r="J40" i="84"/>
  <c r="J33" i="84"/>
  <c r="J75" i="82"/>
  <c r="J99" i="80"/>
  <c r="J53" i="82"/>
  <c r="H115" i="80"/>
  <c r="G62" i="80"/>
  <c r="G64" i="80" s="1"/>
  <c r="G66" i="80" s="1"/>
  <c r="K106" i="80"/>
  <c r="K30" i="80" s="1"/>
  <c r="K73" i="80" s="1"/>
  <c r="H72" i="80"/>
  <c r="H79" i="80" s="1"/>
  <c r="H90" i="80" s="1"/>
  <c r="H45" i="80" s="1"/>
  <c r="H51" i="80" s="1"/>
  <c r="H116" i="80"/>
  <c r="L31" i="86"/>
  <c r="L33" i="86" s="1"/>
  <c r="K76" i="86"/>
  <c r="L53" i="86"/>
  <c r="L159" i="84"/>
  <c r="L122" i="84"/>
  <c r="L53" i="84"/>
  <c r="L76" i="84" s="1"/>
  <c r="K31" i="84"/>
  <c r="L84" i="84"/>
  <c r="L150" i="84"/>
  <c r="L152" i="84" s="1"/>
  <c r="L93" i="84"/>
  <c r="L69" i="84"/>
  <c r="L43" i="84"/>
  <c r="L139" i="84"/>
  <c r="K49" i="84"/>
  <c r="L96" i="84"/>
  <c r="L99" i="84" s="1"/>
  <c r="L49" i="84" s="1"/>
  <c r="L70" i="84"/>
  <c r="L94" i="84"/>
  <c r="L140" i="84"/>
  <c r="L123" i="84"/>
  <c r="L44" i="84"/>
  <c r="L47" i="84"/>
  <c r="K106" i="83"/>
  <c r="K30" i="83" s="1"/>
  <c r="K73" i="83" s="1"/>
  <c r="K84" i="83"/>
  <c r="K150" i="83"/>
  <c r="J53" i="83"/>
  <c r="K152" i="83"/>
  <c r="J49" i="83"/>
  <c r="K96" i="83"/>
  <c r="K99" i="83" s="1"/>
  <c r="K49" i="83" s="1"/>
  <c r="K22" i="83"/>
  <c r="K18" i="83"/>
  <c r="K47" i="83" s="1"/>
  <c r="K75" i="83" s="1"/>
  <c r="J31" i="83"/>
  <c r="J33" i="83" s="1"/>
  <c r="K150" i="82"/>
  <c r="K152" i="82" s="1"/>
  <c r="K47" i="82"/>
  <c r="K75" i="82" s="1"/>
  <c r="K22" i="82"/>
  <c r="K18" i="82"/>
  <c r="J31" i="82"/>
  <c r="J33" i="82" s="1"/>
  <c r="I76" i="82"/>
  <c r="K96" i="82"/>
  <c r="K99" i="82" s="1"/>
  <c r="K49" i="82" s="1"/>
  <c r="K96" i="80"/>
  <c r="J49" i="80"/>
  <c r="I31" i="80"/>
  <c r="I33" i="80" s="1"/>
  <c r="K99" i="80"/>
  <c r="K49" i="80" s="1"/>
  <c r="J110" i="80"/>
  <c r="J111" i="80" s="1"/>
  <c r="J77" i="80" s="1"/>
  <c r="J106" i="80"/>
  <c r="J30" i="80" s="1"/>
  <c r="J73" i="80" s="1"/>
  <c r="J47" i="80"/>
  <c r="J75" i="80" s="1"/>
  <c r="J26" i="80"/>
  <c r="I76" i="80"/>
  <c r="J53" i="80"/>
  <c r="I59" i="80"/>
  <c r="K18" i="80"/>
  <c r="K22" i="80"/>
  <c r="I27" i="80"/>
  <c r="I28" i="80" s="1"/>
  <c r="K74" i="80"/>
  <c r="K61" i="80"/>
  <c r="K43" i="80"/>
  <c r="K93" i="80"/>
  <c r="K69" i="80"/>
  <c r="K94" i="80"/>
  <c r="K44" i="80"/>
  <c r="K70" i="80"/>
  <c r="E137" i="79"/>
  <c r="F137" i="79"/>
  <c r="F122" i="78"/>
  <c r="F124" i="78" s="1"/>
  <c r="F127" i="78" s="1"/>
  <c r="E137" i="78"/>
  <c r="F137" i="78"/>
  <c r="F130" i="78" s="1"/>
  <c r="F136" i="78"/>
  <c r="E136" i="78"/>
  <c r="L73" i="84" l="1"/>
  <c r="L31" i="84"/>
  <c r="K40" i="84"/>
  <c r="L75" i="84"/>
  <c r="K33" i="84"/>
  <c r="K53" i="82"/>
  <c r="H119" i="80"/>
  <c r="I115" i="80" s="1"/>
  <c r="J31" i="80"/>
  <c r="J33" i="80" s="1"/>
  <c r="I72" i="80"/>
  <c r="I79" i="80" s="1"/>
  <c r="I90" i="80" s="1"/>
  <c r="I45" i="80" s="1"/>
  <c r="I116" i="80"/>
  <c r="L76" i="86"/>
  <c r="J76" i="83"/>
  <c r="K53" i="83"/>
  <c r="K31" i="83"/>
  <c r="K33" i="83" s="1"/>
  <c r="K31" i="82"/>
  <c r="K33" i="82" s="1"/>
  <c r="J76" i="82"/>
  <c r="K53" i="80"/>
  <c r="J76" i="80"/>
  <c r="J59" i="80"/>
  <c r="K31" i="80"/>
  <c r="K33" i="80" s="1"/>
  <c r="K26" i="80"/>
  <c r="J27" i="80"/>
  <c r="J28" i="80" s="1"/>
  <c r="K47" i="80"/>
  <c r="K75" i="80" s="1"/>
  <c r="F129" i="78"/>
  <c r="L33" i="84" l="1"/>
  <c r="L40" i="84"/>
  <c r="H62" i="80"/>
  <c r="H64" i="80" s="1"/>
  <c r="H66" i="80" s="1"/>
  <c r="J72" i="80"/>
  <c r="J79" i="80" s="1"/>
  <c r="J90" i="80" s="1"/>
  <c r="J45" i="80" s="1"/>
  <c r="J51" i="80" s="1"/>
  <c r="J116" i="80"/>
  <c r="I119" i="80"/>
  <c r="K76" i="83"/>
  <c r="K76" i="82"/>
  <c r="I51" i="80"/>
  <c r="K59" i="80"/>
  <c r="K76" i="80"/>
  <c r="K27" i="80"/>
  <c r="K28" i="80" s="1"/>
  <c r="F101" i="79"/>
  <c r="E101" i="79"/>
  <c r="H281" i="79"/>
  <c r="I281" i="79" s="1"/>
  <c r="J281" i="79" s="1"/>
  <c r="K281" i="79" s="1"/>
  <c r="C270" i="79"/>
  <c r="C269" i="79"/>
  <c r="I266" i="79"/>
  <c r="H266" i="79"/>
  <c r="G266" i="79"/>
  <c r="J265" i="79"/>
  <c r="J264" i="79" s="1"/>
  <c r="I264" i="79"/>
  <c r="H264" i="79"/>
  <c r="G264" i="79"/>
  <c r="K262" i="79"/>
  <c r="J262" i="79"/>
  <c r="I262" i="79"/>
  <c r="H262" i="79"/>
  <c r="G262" i="79"/>
  <c r="J261" i="79"/>
  <c r="K261" i="79" s="1"/>
  <c r="K260" i="79" s="1"/>
  <c r="J260" i="79"/>
  <c r="I260" i="79"/>
  <c r="H260" i="79"/>
  <c r="G260" i="79"/>
  <c r="I258" i="79"/>
  <c r="H258" i="79"/>
  <c r="G258" i="79"/>
  <c r="J257" i="79"/>
  <c r="J256" i="79" s="1"/>
  <c r="I256" i="79"/>
  <c r="H256" i="79"/>
  <c r="G256" i="79"/>
  <c r="K254" i="79"/>
  <c r="J254" i="79"/>
  <c r="I254" i="79"/>
  <c r="H254" i="79"/>
  <c r="G254" i="79"/>
  <c r="K252" i="79"/>
  <c r="J252" i="79"/>
  <c r="I252" i="79"/>
  <c r="H252" i="79"/>
  <c r="G252" i="79"/>
  <c r="K250" i="79"/>
  <c r="J250" i="79"/>
  <c r="I250" i="79"/>
  <c r="H250" i="79"/>
  <c r="G250" i="79"/>
  <c r="K248" i="79"/>
  <c r="J248" i="79"/>
  <c r="I248" i="79"/>
  <c r="H248" i="79"/>
  <c r="G248" i="79"/>
  <c r="D239" i="79"/>
  <c r="G244" i="79" s="1"/>
  <c r="G39" i="79" s="1"/>
  <c r="F223" i="79"/>
  <c r="E223" i="79"/>
  <c r="D223" i="79"/>
  <c r="G222" i="79"/>
  <c r="H222" i="79" s="1"/>
  <c r="I222" i="79" s="1"/>
  <c r="F213" i="79"/>
  <c r="E213" i="79"/>
  <c r="F214" i="79" s="1"/>
  <c r="G212" i="79"/>
  <c r="H212" i="79" s="1"/>
  <c r="I212" i="79" s="1"/>
  <c r="J212" i="79" s="1"/>
  <c r="K212" i="79" s="1"/>
  <c r="F209" i="79"/>
  <c r="E209" i="79"/>
  <c r="D209" i="79"/>
  <c r="C207" i="79"/>
  <c r="C206" i="79"/>
  <c r="F202" i="79"/>
  <c r="G199" i="79" s="1"/>
  <c r="E202" i="79"/>
  <c r="D202" i="79"/>
  <c r="C190" i="79"/>
  <c r="C189" i="79"/>
  <c r="F184" i="79"/>
  <c r="G180" i="79" s="1"/>
  <c r="D184" i="79"/>
  <c r="I183" i="79"/>
  <c r="I279" i="79" s="1"/>
  <c r="G183" i="79"/>
  <c r="H183" i="79" s="1"/>
  <c r="H88" i="79" s="1"/>
  <c r="F177" i="79"/>
  <c r="E177" i="79"/>
  <c r="G174" i="79"/>
  <c r="F171" i="79"/>
  <c r="F169" i="79" s="1"/>
  <c r="F170" i="79" s="1"/>
  <c r="G170" i="79" s="1"/>
  <c r="E171" i="79"/>
  <c r="E169" i="79" s="1"/>
  <c r="E170" i="79" s="1"/>
  <c r="D171" i="79"/>
  <c r="D169" i="79" s="1"/>
  <c r="D170" i="79" s="1"/>
  <c r="F148" i="79"/>
  <c r="E148" i="79"/>
  <c r="D148" i="79"/>
  <c r="F146" i="79"/>
  <c r="E146" i="79"/>
  <c r="C141" i="79"/>
  <c r="C140" i="79"/>
  <c r="F113" i="79"/>
  <c r="E113" i="79"/>
  <c r="F118" i="79" s="1"/>
  <c r="C96" i="79"/>
  <c r="C95" i="79"/>
  <c r="I88" i="79"/>
  <c r="G88" i="79"/>
  <c r="I83" i="79"/>
  <c r="I84" i="79" s="1"/>
  <c r="H83" i="79"/>
  <c r="H84" i="79" s="1"/>
  <c r="G83" i="79"/>
  <c r="G84" i="79" s="1"/>
  <c r="C72" i="79"/>
  <c r="C71" i="79"/>
  <c r="F66" i="79"/>
  <c r="G65" i="79"/>
  <c r="H65" i="79" s="1"/>
  <c r="I65" i="79" s="1"/>
  <c r="J65" i="79" s="1"/>
  <c r="K65" i="79" s="1"/>
  <c r="E64" i="79"/>
  <c r="E184" i="79" s="1"/>
  <c r="G59" i="79"/>
  <c r="H59" i="79" s="1"/>
  <c r="E217" i="79"/>
  <c r="F61" i="79"/>
  <c r="F46" i="79"/>
  <c r="E46" i="79"/>
  <c r="C45" i="79"/>
  <c r="C44" i="79"/>
  <c r="J41" i="79"/>
  <c r="K41" i="79" s="1"/>
  <c r="F40" i="79"/>
  <c r="E40" i="79"/>
  <c r="D40" i="79"/>
  <c r="F39" i="79"/>
  <c r="E39" i="79"/>
  <c r="D39" i="79"/>
  <c r="F37" i="79"/>
  <c r="E37" i="79"/>
  <c r="G26" i="79"/>
  <c r="H26" i="79" s="1"/>
  <c r="I26" i="79" s="1"/>
  <c r="J26" i="79" s="1"/>
  <c r="K26" i="79" s="1"/>
  <c r="F20" i="79"/>
  <c r="F23" i="79" s="1"/>
  <c r="E20" i="79"/>
  <c r="E23" i="79" s="1"/>
  <c r="D20" i="79"/>
  <c r="D38" i="79" s="1"/>
  <c r="F16" i="79"/>
  <c r="G16" i="79" s="1"/>
  <c r="G72" i="79" s="1"/>
  <c r="F15" i="79"/>
  <c r="F140" i="79" s="1"/>
  <c r="C2" i="79"/>
  <c r="I241" i="79" l="1"/>
  <c r="F219" i="79"/>
  <c r="K242" i="79"/>
  <c r="G193" i="79"/>
  <c r="F136" i="79"/>
  <c r="F129" i="79" s="1"/>
  <c r="F130" i="79"/>
  <c r="K244" i="79"/>
  <c r="K39" i="79" s="1"/>
  <c r="F245" i="79"/>
  <c r="F244" i="79"/>
  <c r="F243" i="79"/>
  <c r="F242" i="79"/>
  <c r="F241" i="79"/>
  <c r="E15" i="79"/>
  <c r="D15" i="79" s="1"/>
  <c r="I245" i="79"/>
  <c r="I40" i="79" s="1"/>
  <c r="F103" i="79"/>
  <c r="F108" i="79" s="1"/>
  <c r="D23" i="79"/>
  <c r="D32" i="79" s="1"/>
  <c r="D34" i="79" s="1"/>
  <c r="E53" i="79"/>
  <c r="E136" i="79"/>
  <c r="K72" i="80"/>
  <c r="K79" i="80" s="1"/>
  <c r="K90" i="80" s="1"/>
  <c r="K45" i="80" s="1"/>
  <c r="K51" i="80" s="1"/>
  <c r="K116" i="80"/>
  <c r="J115" i="80"/>
  <c r="J119" i="80" s="1"/>
  <c r="I62" i="80"/>
  <c r="I64" i="80" s="1"/>
  <c r="I66" i="80" s="1"/>
  <c r="E16" i="79"/>
  <c r="E96" i="79" s="1"/>
  <c r="E38" i="79"/>
  <c r="E214" i="79"/>
  <c r="E219" i="79" s="1"/>
  <c r="E218" i="79" s="1"/>
  <c r="I242" i="79"/>
  <c r="G245" i="79"/>
  <c r="G40" i="79" s="1"/>
  <c r="G214" i="79"/>
  <c r="K257" i="79"/>
  <c r="K256" i="79" s="1"/>
  <c r="E66" i="79"/>
  <c r="F95" i="79"/>
  <c r="J243" i="79"/>
  <c r="J38" i="79" s="1"/>
  <c r="G15" i="79"/>
  <c r="G269" i="79" s="1"/>
  <c r="G241" i="79"/>
  <c r="K265" i="79"/>
  <c r="G223" i="79"/>
  <c r="G24" i="79" s="1"/>
  <c r="F117" i="79"/>
  <c r="H242" i="79"/>
  <c r="E32" i="79"/>
  <c r="E34" i="79" s="1"/>
  <c r="E27" i="79"/>
  <c r="F32" i="79"/>
  <c r="F34" i="79" s="1"/>
  <c r="F27" i="79"/>
  <c r="J222" i="79"/>
  <c r="D269" i="79"/>
  <c r="D95" i="79"/>
  <c r="D206" i="79"/>
  <c r="D189" i="79"/>
  <c r="D140" i="79"/>
  <c r="H170" i="79"/>
  <c r="F206" i="79"/>
  <c r="F189" i="79"/>
  <c r="F207" i="79"/>
  <c r="F190" i="79"/>
  <c r="F141" i="79"/>
  <c r="F270" i="79"/>
  <c r="F38" i="79"/>
  <c r="G86" i="79"/>
  <c r="G217" i="79"/>
  <c r="G95" i="79"/>
  <c r="J183" i="79"/>
  <c r="G141" i="79"/>
  <c r="G45" i="79"/>
  <c r="G96" i="79"/>
  <c r="D27" i="79"/>
  <c r="E61" i="79"/>
  <c r="H217" i="79"/>
  <c r="I59" i="79"/>
  <c r="F217" i="79"/>
  <c r="H279" i="79"/>
  <c r="E95" i="79"/>
  <c r="E206" i="79"/>
  <c r="E189" i="79"/>
  <c r="E140" i="79"/>
  <c r="E44" i="79"/>
  <c r="F45" i="79"/>
  <c r="H86" i="79"/>
  <c r="G270" i="79"/>
  <c r="K264" i="79"/>
  <c r="K266" i="79"/>
  <c r="G206" i="79"/>
  <c r="G189" i="79"/>
  <c r="G239" i="79"/>
  <c r="G140" i="79"/>
  <c r="C161" i="79" s="1"/>
  <c r="G71" i="79"/>
  <c r="H16" i="79"/>
  <c r="F96" i="79"/>
  <c r="E269" i="79"/>
  <c r="F44" i="79"/>
  <c r="G190" i="79"/>
  <c r="G207" i="79"/>
  <c r="G240" i="79"/>
  <c r="F269" i="79"/>
  <c r="G143" i="79"/>
  <c r="H241" i="79"/>
  <c r="J242" i="79"/>
  <c r="H245" i="79"/>
  <c r="H40" i="79" s="1"/>
  <c r="G279" i="79"/>
  <c r="F53" i="79"/>
  <c r="F68" i="79" s="1"/>
  <c r="J241" i="79"/>
  <c r="H244" i="79"/>
  <c r="H39" i="79" s="1"/>
  <c r="J245" i="79"/>
  <c r="J40" i="79" s="1"/>
  <c r="J258" i="79"/>
  <c r="J266" i="79"/>
  <c r="K241" i="79"/>
  <c r="G243" i="79"/>
  <c r="G38" i="79" s="1"/>
  <c r="I244" i="79"/>
  <c r="I39" i="79" s="1"/>
  <c r="K245" i="79"/>
  <c r="K40" i="79" s="1"/>
  <c r="H243" i="79"/>
  <c r="H38" i="79" s="1"/>
  <c r="J244" i="79"/>
  <c r="J39" i="79" s="1"/>
  <c r="G242" i="79"/>
  <c r="I243" i="79"/>
  <c r="I38" i="79" s="1"/>
  <c r="E45" i="79" l="1"/>
  <c r="E68" i="79"/>
  <c r="F218" i="79"/>
  <c r="G218" i="79" s="1"/>
  <c r="K115" i="80"/>
  <c r="K119" i="80" s="1"/>
  <c r="K62" i="80" s="1"/>
  <c r="K64" i="80" s="1"/>
  <c r="K66" i="80" s="1"/>
  <c r="J62" i="80"/>
  <c r="J64" i="80" s="1"/>
  <c r="J66" i="80" s="1"/>
  <c r="E141" i="79"/>
  <c r="E207" i="79"/>
  <c r="D16" i="79"/>
  <c r="D207" i="79" s="1"/>
  <c r="E190" i="79"/>
  <c r="E270" i="79"/>
  <c r="K243" i="79"/>
  <c r="K38" i="79" s="1"/>
  <c r="K258" i="79"/>
  <c r="H15" i="79"/>
  <c r="G44" i="79"/>
  <c r="I170" i="79"/>
  <c r="G148" i="79"/>
  <c r="D41" i="79"/>
  <c r="D29" i="79"/>
  <c r="G146" i="79"/>
  <c r="H141" i="79"/>
  <c r="H270" i="79"/>
  <c r="H240" i="79"/>
  <c r="H96" i="79"/>
  <c r="I16" i="79"/>
  <c r="H45" i="79"/>
  <c r="H72" i="79"/>
  <c r="H207" i="79"/>
  <c r="H190" i="79"/>
  <c r="K222" i="79"/>
  <c r="F41" i="79"/>
  <c r="F29" i="79"/>
  <c r="J279" i="79"/>
  <c r="J88" i="79"/>
  <c r="K183" i="79"/>
  <c r="E29" i="79"/>
  <c r="E41" i="79"/>
  <c r="I217" i="79"/>
  <c r="I86" i="79"/>
  <c r="J59" i="79"/>
  <c r="H218" i="79" l="1"/>
  <c r="G219" i="79"/>
  <c r="G209" i="79" s="1"/>
  <c r="G25" i="79" s="1"/>
  <c r="D141" i="79"/>
  <c r="D96" i="79"/>
  <c r="D270" i="79"/>
  <c r="D190" i="79"/>
  <c r="H140" i="79"/>
  <c r="C162" i="79" s="1"/>
  <c r="H239" i="79"/>
  <c r="H95" i="79"/>
  <c r="H71" i="79"/>
  <c r="H189" i="79"/>
  <c r="I15" i="79"/>
  <c r="H44" i="79"/>
  <c r="H269" i="79"/>
  <c r="H206" i="79"/>
  <c r="K279" i="79"/>
  <c r="K88" i="79"/>
  <c r="D272" i="79"/>
  <c r="D181" i="79"/>
  <c r="D186" i="79" s="1"/>
  <c r="I218" i="79"/>
  <c r="H219" i="79"/>
  <c r="J170" i="79"/>
  <c r="J217" i="79"/>
  <c r="K59" i="79"/>
  <c r="J86" i="79"/>
  <c r="F272" i="79"/>
  <c r="F181" i="79"/>
  <c r="F186" i="79" s="1"/>
  <c r="G186" i="79" s="1"/>
  <c r="H186" i="79" s="1"/>
  <c r="I186" i="79" s="1"/>
  <c r="J186" i="79" s="1"/>
  <c r="K186" i="79" s="1"/>
  <c r="H143" i="79"/>
  <c r="H146" i="79" s="1"/>
  <c r="G51" i="79"/>
  <c r="E181" i="79"/>
  <c r="E186" i="79" s="1"/>
  <c r="E272" i="79"/>
  <c r="I141" i="79"/>
  <c r="I45" i="79"/>
  <c r="I270" i="79"/>
  <c r="I240" i="79"/>
  <c r="I96" i="79"/>
  <c r="I207" i="79"/>
  <c r="I190" i="79"/>
  <c r="I72" i="79"/>
  <c r="J16" i="79"/>
  <c r="H148" i="79"/>
  <c r="I44" i="79" l="1"/>
  <c r="I269" i="79"/>
  <c r="I71" i="79"/>
  <c r="J15" i="79"/>
  <c r="I140" i="79"/>
  <c r="C163" i="79" s="1"/>
  <c r="I239" i="79"/>
  <c r="I206" i="79"/>
  <c r="I189" i="79"/>
  <c r="I95" i="79"/>
  <c r="F274" i="79"/>
  <c r="F277" i="79"/>
  <c r="I148" i="79"/>
  <c r="K86" i="79"/>
  <c r="K217" i="79"/>
  <c r="D274" i="79"/>
  <c r="D277" i="79"/>
  <c r="E274" i="79"/>
  <c r="E277" i="79"/>
  <c r="I143" i="79"/>
  <c r="I146" i="79" s="1"/>
  <c r="H51" i="79"/>
  <c r="J218" i="79"/>
  <c r="I219" i="79"/>
  <c r="K170" i="79"/>
  <c r="J45" i="79"/>
  <c r="J270" i="79"/>
  <c r="J240" i="79"/>
  <c r="J96" i="79"/>
  <c r="K16" i="79"/>
  <c r="J141" i="79"/>
  <c r="J207" i="79"/>
  <c r="J190" i="79"/>
  <c r="J72" i="79"/>
  <c r="J71" i="79" l="1"/>
  <c r="K15" i="79"/>
  <c r="J206" i="79"/>
  <c r="J140" i="79"/>
  <c r="C164" i="79" s="1"/>
  <c r="J239" i="79"/>
  <c r="J44" i="79"/>
  <c r="J95" i="79"/>
  <c r="J269" i="79"/>
  <c r="J189" i="79"/>
  <c r="K270" i="79"/>
  <c r="K240" i="79"/>
  <c r="K96" i="79"/>
  <c r="K207" i="79"/>
  <c r="K190" i="79"/>
  <c r="K72" i="79"/>
  <c r="K45" i="79"/>
  <c r="K141" i="79"/>
  <c r="K218" i="79"/>
  <c r="K219" i="79" s="1"/>
  <c r="J219" i="79"/>
  <c r="J143" i="79"/>
  <c r="I51" i="79"/>
  <c r="K239" i="79" l="1"/>
  <c r="K206" i="79"/>
  <c r="K189" i="79"/>
  <c r="K140" i="79"/>
  <c r="C165" i="79" s="1"/>
  <c r="K44" i="79"/>
  <c r="K71" i="79"/>
  <c r="K95" i="79"/>
  <c r="K269" i="79"/>
  <c r="D157" i="78" l="1"/>
  <c r="F113" i="78"/>
  <c r="E113" i="78"/>
  <c r="F101" i="78"/>
  <c r="E101" i="78"/>
  <c r="C96" i="78"/>
  <c r="C95" i="78"/>
  <c r="C140" i="78"/>
  <c r="C141" i="78"/>
  <c r="H281" i="78"/>
  <c r="I281" i="78" s="1"/>
  <c r="J281" i="78" s="1"/>
  <c r="K281" i="78" s="1"/>
  <c r="C270" i="78"/>
  <c r="C269" i="78"/>
  <c r="I266" i="78"/>
  <c r="H266" i="78"/>
  <c r="G266" i="78"/>
  <c r="J265" i="78"/>
  <c r="J264" i="78" s="1"/>
  <c r="I264" i="78"/>
  <c r="H264" i="78"/>
  <c r="G264" i="78"/>
  <c r="I262" i="78"/>
  <c r="H262" i="78"/>
  <c r="G262" i="78"/>
  <c r="J261" i="78"/>
  <c r="J260" i="78" s="1"/>
  <c r="I260" i="78"/>
  <c r="H260" i="78"/>
  <c r="G260" i="78"/>
  <c r="I258" i="78"/>
  <c r="H258" i="78"/>
  <c r="G258" i="78"/>
  <c r="J257" i="78"/>
  <c r="J256" i="78" s="1"/>
  <c r="I256" i="78"/>
  <c r="H256" i="78"/>
  <c r="G256" i="78"/>
  <c r="K254" i="78"/>
  <c r="J254" i="78"/>
  <c r="I254" i="78"/>
  <c r="H254" i="78"/>
  <c r="G254" i="78"/>
  <c r="K252" i="78"/>
  <c r="J252" i="78"/>
  <c r="I252" i="78"/>
  <c r="H252" i="78"/>
  <c r="G252" i="78"/>
  <c r="K250" i="78"/>
  <c r="J250" i="78"/>
  <c r="I250" i="78"/>
  <c r="H250" i="78"/>
  <c r="G250" i="78"/>
  <c r="K248" i="78"/>
  <c r="J248" i="78"/>
  <c r="I248" i="78"/>
  <c r="H248" i="78"/>
  <c r="G248" i="78"/>
  <c r="F245" i="78"/>
  <c r="F244" i="78"/>
  <c r="F243" i="78"/>
  <c r="F242" i="78"/>
  <c r="F241" i="78"/>
  <c r="D239" i="78"/>
  <c r="I242" i="78" s="1"/>
  <c r="F223" i="78"/>
  <c r="E223" i="78"/>
  <c r="D223" i="78"/>
  <c r="G222" i="78"/>
  <c r="H222" i="78" s="1"/>
  <c r="I222" i="78" s="1"/>
  <c r="J222" i="78" s="1"/>
  <c r="F213" i="78"/>
  <c r="E213" i="78"/>
  <c r="G212" i="78"/>
  <c r="H212" i="78" s="1"/>
  <c r="I212" i="78" s="1"/>
  <c r="J212" i="78" s="1"/>
  <c r="K212" i="78" s="1"/>
  <c r="F209" i="78"/>
  <c r="E209" i="78"/>
  <c r="D209" i="78"/>
  <c r="C207" i="78"/>
  <c r="C206" i="78"/>
  <c r="F202" i="78"/>
  <c r="G199" i="78" s="1"/>
  <c r="E202" i="78"/>
  <c r="D202" i="78"/>
  <c r="C190" i="78"/>
  <c r="C189" i="78"/>
  <c r="F184" i="78"/>
  <c r="G180" i="78" s="1"/>
  <c r="D184" i="78"/>
  <c r="G183" i="78"/>
  <c r="H183" i="78" s="1"/>
  <c r="F177" i="78"/>
  <c r="G174" i="78" s="1"/>
  <c r="E177" i="78"/>
  <c r="F171" i="78"/>
  <c r="F169" i="78" s="1"/>
  <c r="F170" i="78" s="1"/>
  <c r="G170" i="78" s="1"/>
  <c r="H170" i="78" s="1"/>
  <c r="E171" i="78"/>
  <c r="E169" i="78" s="1"/>
  <c r="E170" i="78" s="1"/>
  <c r="D171" i="78"/>
  <c r="D169" i="78" s="1"/>
  <c r="D170" i="78" s="1"/>
  <c r="F148" i="78"/>
  <c r="E148" i="78"/>
  <c r="D148" i="78"/>
  <c r="F146" i="78"/>
  <c r="G143" i="78" s="1"/>
  <c r="E146" i="78"/>
  <c r="E154" i="78" s="1"/>
  <c r="E155" i="78" s="1"/>
  <c r="I83" i="78"/>
  <c r="I84" i="78" s="1"/>
  <c r="H83" i="78"/>
  <c r="H84" i="78" s="1"/>
  <c r="G83" i="78"/>
  <c r="G84" i="78" s="1"/>
  <c r="C72" i="78"/>
  <c r="C71" i="78"/>
  <c r="F66" i="78"/>
  <c r="G65" i="78"/>
  <c r="H65" i="78" s="1"/>
  <c r="I65" i="78" s="1"/>
  <c r="J65" i="78" s="1"/>
  <c r="K65" i="78" s="1"/>
  <c r="E64" i="78"/>
  <c r="E184" i="78" s="1"/>
  <c r="F217" i="78"/>
  <c r="E217" i="78"/>
  <c r="E53" i="78"/>
  <c r="C45" i="78"/>
  <c r="C44" i="78"/>
  <c r="J41" i="78"/>
  <c r="K41" i="78" s="1"/>
  <c r="F40" i="78"/>
  <c r="E40" i="78"/>
  <c r="D40" i="78"/>
  <c r="F39" i="78"/>
  <c r="E39" i="78"/>
  <c r="D39" i="78"/>
  <c r="F37" i="78"/>
  <c r="E37" i="78"/>
  <c r="G26" i="78"/>
  <c r="H26" i="78" s="1"/>
  <c r="I26" i="78" s="1"/>
  <c r="J26" i="78" s="1"/>
  <c r="K26" i="78" s="1"/>
  <c r="F20" i="78"/>
  <c r="F23" i="78" s="1"/>
  <c r="E20" i="78"/>
  <c r="D20" i="78"/>
  <c r="D23" i="78" s="1"/>
  <c r="F16" i="78"/>
  <c r="F207" i="78" s="1"/>
  <c r="F15" i="78"/>
  <c r="F206" i="78" s="1"/>
  <c r="C2" i="78"/>
  <c r="F103" i="78" l="1"/>
  <c r="F108" i="78" s="1"/>
  <c r="F118" i="78"/>
  <c r="F117" i="78"/>
  <c r="G117" i="78" s="1"/>
  <c r="H117" i="78" s="1"/>
  <c r="I117" i="78" s="1"/>
  <c r="J117" i="78" s="1"/>
  <c r="K117" i="78" s="1"/>
  <c r="F27" i="78"/>
  <c r="F29" i="78" s="1"/>
  <c r="F272" i="78" s="1"/>
  <c r="F154" i="78"/>
  <c r="F155" i="78" s="1"/>
  <c r="K162" i="78"/>
  <c r="H162" i="78"/>
  <c r="H161" i="78"/>
  <c r="J163" i="78"/>
  <c r="J162" i="78"/>
  <c r="I161" i="78"/>
  <c r="K163" i="78"/>
  <c r="K161" i="78"/>
  <c r="G161" i="78"/>
  <c r="I162" i="78"/>
  <c r="J161" i="78"/>
  <c r="I163" i="78"/>
  <c r="G99" i="78"/>
  <c r="F61" i="78"/>
  <c r="G111" i="78"/>
  <c r="E214" i="78"/>
  <c r="E219" i="78" s="1"/>
  <c r="E218" i="78" s="1"/>
  <c r="E66" i="78"/>
  <c r="E16" i="78"/>
  <c r="D16" i="78" s="1"/>
  <c r="D96" i="78" s="1"/>
  <c r="F214" i="78"/>
  <c r="F219" i="78" s="1"/>
  <c r="G16" i="78"/>
  <c r="G96" i="78" s="1"/>
  <c r="F45" i="78"/>
  <c r="H241" i="78"/>
  <c r="J241" i="78"/>
  <c r="H242" i="78"/>
  <c r="D27" i="78"/>
  <c r="D32" i="78"/>
  <c r="D34" i="78" s="1"/>
  <c r="E61" i="78"/>
  <c r="G245" i="78"/>
  <c r="G40" i="78" s="1"/>
  <c r="F269" i="78"/>
  <c r="F95" i="78"/>
  <c r="K261" i="78"/>
  <c r="K244" i="78" s="1"/>
  <c r="K39" i="78" s="1"/>
  <c r="D38" i="78"/>
  <c r="G214" i="78"/>
  <c r="J242" i="78"/>
  <c r="F38" i="78"/>
  <c r="G59" i="78"/>
  <c r="G217" i="78" s="1"/>
  <c r="E15" i="78"/>
  <c r="G15" i="78"/>
  <c r="G206" i="78" s="1"/>
  <c r="G241" i="78"/>
  <c r="J243" i="78"/>
  <c r="J38" i="78" s="1"/>
  <c r="J262" i="78"/>
  <c r="F44" i="78"/>
  <c r="F96" i="78"/>
  <c r="G193" i="78"/>
  <c r="F53" i="78"/>
  <c r="G223" i="78"/>
  <c r="G24" i="78" s="1"/>
  <c r="E23" i="78"/>
  <c r="E38" i="78"/>
  <c r="K222" i="78"/>
  <c r="H279" i="78"/>
  <c r="I183" i="78"/>
  <c r="H88" i="78"/>
  <c r="F32" i="78"/>
  <c r="F34" i="78" s="1"/>
  <c r="I170" i="78"/>
  <c r="K257" i="78"/>
  <c r="K265" i="78"/>
  <c r="K245" i="78" s="1"/>
  <c r="K40" i="78" s="1"/>
  <c r="H245" i="78"/>
  <c r="H40" i="78" s="1"/>
  <c r="F270" i="78"/>
  <c r="G279" i="78"/>
  <c r="I241" i="78"/>
  <c r="K242" i="78"/>
  <c r="G244" i="78"/>
  <c r="G39" i="78" s="1"/>
  <c r="I245" i="78"/>
  <c r="I40" i="78" s="1"/>
  <c r="H244" i="78"/>
  <c r="H39" i="78" s="1"/>
  <c r="J245" i="78"/>
  <c r="J40" i="78" s="1"/>
  <c r="J258" i="78"/>
  <c r="J266" i="78"/>
  <c r="K241" i="78"/>
  <c r="G243" i="78"/>
  <c r="G38" i="78" s="1"/>
  <c r="I244" i="78"/>
  <c r="I39" i="78" s="1"/>
  <c r="F140" i="78"/>
  <c r="F189" i="78"/>
  <c r="H243" i="78"/>
  <c r="H38" i="78" s="1"/>
  <c r="J244" i="78"/>
  <c r="J39" i="78" s="1"/>
  <c r="G88" i="78"/>
  <c r="F141" i="78"/>
  <c r="F190" i="78"/>
  <c r="G242" i="78"/>
  <c r="I243" i="78"/>
  <c r="I38" i="78" s="1"/>
  <c r="H41" i="77"/>
  <c r="I41" i="77" s="1"/>
  <c r="J41" i="77" s="1"/>
  <c r="K41" i="77" s="1"/>
  <c r="G41" i="77"/>
  <c r="F41" i="77"/>
  <c r="E41" i="77"/>
  <c r="F40" i="77"/>
  <c r="E40" i="77"/>
  <c r="F39" i="77"/>
  <c r="E39" i="77"/>
  <c r="F38" i="77"/>
  <c r="E38" i="77"/>
  <c r="F37" i="77"/>
  <c r="E37" i="77"/>
  <c r="K34" i="77"/>
  <c r="J34" i="77"/>
  <c r="I34" i="77"/>
  <c r="H34" i="77"/>
  <c r="G34" i="77"/>
  <c r="K33" i="77"/>
  <c r="J33" i="77"/>
  <c r="I33" i="77"/>
  <c r="H33" i="77"/>
  <c r="K29" i="77"/>
  <c r="J29" i="77"/>
  <c r="I29" i="77"/>
  <c r="H29" i="77"/>
  <c r="G29" i="77"/>
  <c r="F29" i="77"/>
  <c r="E29" i="77"/>
  <c r="K28" i="77"/>
  <c r="J28" i="77"/>
  <c r="I28" i="77"/>
  <c r="H28" i="77"/>
  <c r="G28" i="77"/>
  <c r="F28" i="77"/>
  <c r="E28" i="77"/>
  <c r="F27" i="77"/>
  <c r="E27" i="77"/>
  <c r="F24" i="77"/>
  <c r="F34" i="77" s="1"/>
  <c r="E24" i="77"/>
  <c r="D24" i="77"/>
  <c r="F23" i="77"/>
  <c r="G33" i="77" s="1"/>
  <c r="E23" i="77"/>
  <c r="E33" i="77" s="1"/>
  <c r="D23" i="77"/>
  <c r="F22" i="77"/>
  <c r="F32" i="77" s="1"/>
  <c r="E22" i="77"/>
  <c r="E32" i="77" s="1"/>
  <c r="D22" i="77"/>
  <c r="F13" i="77"/>
  <c r="E13" i="77"/>
  <c r="D13" i="77"/>
  <c r="K9" i="77"/>
  <c r="K39" i="77" s="1"/>
  <c r="J9" i="77"/>
  <c r="I9" i="77"/>
  <c r="H9" i="77"/>
  <c r="H39" i="77" s="1"/>
  <c r="G9" i="77"/>
  <c r="G39" i="77" s="1"/>
  <c r="K8" i="77"/>
  <c r="J8" i="77"/>
  <c r="K38" i="77" s="1"/>
  <c r="I8" i="77"/>
  <c r="J38" i="77" s="1"/>
  <c r="H8" i="77"/>
  <c r="H38" i="77" s="1"/>
  <c r="G8" i="77"/>
  <c r="G38" i="77" s="1"/>
  <c r="C4" i="77"/>
  <c r="C3" i="77"/>
  <c r="H215" i="76"/>
  <c r="I215" i="76" s="1"/>
  <c r="J215" i="76" s="1"/>
  <c r="K215" i="76" s="1"/>
  <c r="C204" i="76"/>
  <c r="C203" i="76"/>
  <c r="I200" i="76"/>
  <c r="H200" i="76"/>
  <c r="G200" i="76"/>
  <c r="J199" i="76"/>
  <c r="J198" i="76" s="1"/>
  <c r="I198" i="76"/>
  <c r="H198" i="76"/>
  <c r="G198" i="76"/>
  <c r="I196" i="76"/>
  <c r="H196" i="76"/>
  <c r="G196" i="76"/>
  <c r="J195" i="76"/>
  <c r="K195" i="76" s="1"/>
  <c r="I194" i="76"/>
  <c r="H194" i="76"/>
  <c r="G194" i="76"/>
  <c r="I192" i="76"/>
  <c r="H192" i="76"/>
  <c r="G192" i="76"/>
  <c r="K191" i="76"/>
  <c r="J191" i="76"/>
  <c r="J190" i="76" s="1"/>
  <c r="I190" i="76"/>
  <c r="H190" i="76"/>
  <c r="G190" i="76"/>
  <c r="K188" i="76"/>
  <c r="J188" i="76"/>
  <c r="I188" i="76"/>
  <c r="H188" i="76"/>
  <c r="G188" i="76"/>
  <c r="K186" i="76"/>
  <c r="J186" i="76"/>
  <c r="I186" i="76"/>
  <c r="H186" i="76"/>
  <c r="G186" i="76"/>
  <c r="K184" i="76"/>
  <c r="J184" i="76"/>
  <c r="I184" i="76"/>
  <c r="H184" i="76"/>
  <c r="G184" i="76"/>
  <c r="K182" i="76"/>
  <c r="J182" i="76"/>
  <c r="I182" i="76"/>
  <c r="H182" i="76"/>
  <c r="G182" i="76"/>
  <c r="D173" i="76"/>
  <c r="F157" i="76"/>
  <c r="E157" i="76"/>
  <c r="D157" i="76"/>
  <c r="H156" i="76"/>
  <c r="G156" i="76"/>
  <c r="F147" i="76"/>
  <c r="G148" i="76" s="1"/>
  <c r="E147" i="76"/>
  <c r="F148" i="76" s="1"/>
  <c r="F153" i="76" s="1"/>
  <c r="G146" i="76"/>
  <c r="H146" i="76" s="1"/>
  <c r="I146" i="76" s="1"/>
  <c r="J146" i="76" s="1"/>
  <c r="K146" i="76" s="1"/>
  <c r="F143" i="76"/>
  <c r="E143" i="76"/>
  <c r="D143" i="76"/>
  <c r="C141" i="76"/>
  <c r="C140" i="76"/>
  <c r="F136" i="76"/>
  <c r="E136" i="76"/>
  <c r="D136" i="76"/>
  <c r="G133" i="76"/>
  <c r="C124" i="76"/>
  <c r="C123" i="76"/>
  <c r="F120" i="76"/>
  <c r="G116" i="76" s="1"/>
  <c r="D120" i="76"/>
  <c r="G119" i="76"/>
  <c r="G118" i="76"/>
  <c r="H118" i="76" s="1"/>
  <c r="F113" i="76"/>
  <c r="G110" i="76" s="1"/>
  <c r="E113" i="76"/>
  <c r="F107" i="76"/>
  <c r="F105" i="76" s="1"/>
  <c r="F106" i="76" s="1"/>
  <c r="G106" i="76" s="1"/>
  <c r="E107" i="76"/>
  <c r="E105" i="76" s="1"/>
  <c r="E106" i="76" s="1"/>
  <c r="D107" i="76"/>
  <c r="D105" i="76" s="1"/>
  <c r="D106" i="76" s="1"/>
  <c r="F102" i="76"/>
  <c r="G102" i="76" s="1"/>
  <c r="G99" i="76" s="1"/>
  <c r="E102" i="76"/>
  <c r="D102" i="76"/>
  <c r="F100" i="76"/>
  <c r="G97" i="76" s="1"/>
  <c r="E100" i="76"/>
  <c r="C95" i="76"/>
  <c r="C94" i="76"/>
  <c r="G88" i="76"/>
  <c r="I82" i="76"/>
  <c r="I83" i="76" s="1"/>
  <c r="H82" i="76"/>
  <c r="H83" i="76" s="1"/>
  <c r="G82" i="76"/>
  <c r="G83" i="76" s="1"/>
  <c r="C71" i="76"/>
  <c r="C70" i="76"/>
  <c r="F65" i="76"/>
  <c r="H64" i="76"/>
  <c r="I64" i="76" s="1"/>
  <c r="J64" i="76" s="1"/>
  <c r="K64" i="76" s="1"/>
  <c r="E63" i="76"/>
  <c r="E120" i="76" s="1"/>
  <c r="G58" i="76"/>
  <c r="G85" i="76" s="1"/>
  <c r="F58" i="76"/>
  <c r="F151" i="76" s="1"/>
  <c r="E58" i="76"/>
  <c r="E151" i="76" s="1"/>
  <c r="F56" i="76"/>
  <c r="E56" i="76"/>
  <c r="E60" i="76" s="1"/>
  <c r="F49" i="76"/>
  <c r="E49" i="76"/>
  <c r="F46" i="76"/>
  <c r="G127" i="76" s="1"/>
  <c r="E46" i="76"/>
  <c r="C45" i="76"/>
  <c r="C44" i="76"/>
  <c r="J41" i="76"/>
  <c r="K41" i="76" s="1"/>
  <c r="F40" i="76"/>
  <c r="E40" i="76"/>
  <c r="D40" i="76"/>
  <c r="F39" i="76"/>
  <c r="E39" i="76"/>
  <c r="D39" i="76"/>
  <c r="F37" i="76"/>
  <c r="E37" i="76"/>
  <c r="G26" i="76"/>
  <c r="H26" i="76" s="1"/>
  <c r="I26" i="76" s="1"/>
  <c r="J26" i="76" s="1"/>
  <c r="K26" i="76" s="1"/>
  <c r="F20" i="76"/>
  <c r="F23" i="76" s="1"/>
  <c r="F27" i="76" s="1"/>
  <c r="E20" i="76"/>
  <c r="E38" i="76" s="1"/>
  <c r="D20" i="76"/>
  <c r="D38" i="76" s="1"/>
  <c r="F16" i="76"/>
  <c r="F45" i="76" s="1"/>
  <c r="F15" i="76"/>
  <c r="F123" i="76" s="1"/>
  <c r="C2" i="76"/>
  <c r="E16" i="76" l="1"/>
  <c r="E124" i="76" s="1"/>
  <c r="E52" i="76"/>
  <c r="E67" i="76" s="1"/>
  <c r="F33" i="77"/>
  <c r="I39" i="77"/>
  <c r="E65" i="76"/>
  <c r="J39" i="77"/>
  <c r="K199" i="76"/>
  <c r="K198" i="76" s="1"/>
  <c r="F60" i="76"/>
  <c r="E14" i="77"/>
  <c r="G152" i="76"/>
  <c r="F152" i="76"/>
  <c r="F14" i="77"/>
  <c r="F218" i="78"/>
  <c r="G218" i="78" s="1"/>
  <c r="J196" i="76"/>
  <c r="D23" i="76"/>
  <c r="E148" i="76"/>
  <c r="E153" i="76" s="1"/>
  <c r="E152" i="76" s="1"/>
  <c r="J194" i="76"/>
  <c r="F179" i="76"/>
  <c r="F178" i="76"/>
  <c r="F177" i="76"/>
  <c r="F176" i="76"/>
  <c r="F175" i="76"/>
  <c r="K176" i="76"/>
  <c r="K17" i="77" s="1"/>
  <c r="I175" i="76"/>
  <c r="I22" i="77" s="1"/>
  <c r="J176" i="76"/>
  <c r="J17" i="77" s="1"/>
  <c r="H175" i="76"/>
  <c r="H22" i="77" s="1"/>
  <c r="I176" i="76"/>
  <c r="I17" i="77" s="1"/>
  <c r="G175" i="76"/>
  <c r="G22" i="77" s="1"/>
  <c r="H176" i="76"/>
  <c r="H17" i="77" s="1"/>
  <c r="G176" i="76"/>
  <c r="G17" i="77" s="1"/>
  <c r="J175" i="76"/>
  <c r="J22" i="77" s="1"/>
  <c r="K175" i="76"/>
  <c r="K22" i="77" s="1"/>
  <c r="F181" i="78"/>
  <c r="F186" i="78" s="1"/>
  <c r="G186" i="78" s="1"/>
  <c r="H186" i="78" s="1"/>
  <c r="I186" i="78" s="1"/>
  <c r="J186" i="78" s="1"/>
  <c r="K186" i="78" s="1"/>
  <c r="F41" i="78"/>
  <c r="E96" i="78"/>
  <c r="G240" i="78"/>
  <c r="F68" i="78"/>
  <c r="E141" i="78"/>
  <c r="G239" i="78"/>
  <c r="G207" i="78"/>
  <c r="E68" i="78"/>
  <c r="H16" i="78"/>
  <c r="H96" i="78" s="1"/>
  <c r="G45" i="78"/>
  <c r="G190" i="78"/>
  <c r="E270" i="78"/>
  <c r="E45" i="78"/>
  <c r="D270" i="78"/>
  <c r="D141" i="78"/>
  <c r="G270" i="78"/>
  <c r="D190" i="78"/>
  <c r="E207" i="78"/>
  <c r="G72" i="78"/>
  <c r="D207" i="78"/>
  <c r="E190" i="78"/>
  <c r="G141" i="78"/>
  <c r="E44" i="78"/>
  <c r="E95" i="78"/>
  <c r="E269" i="78"/>
  <c r="G189" i="78"/>
  <c r="G86" i="78"/>
  <c r="H59" i="78"/>
  <c r="G140" i="78"/>
  <c r="E140" i="78"/>
  <c r="G95" i="78"/>
  <c r="G44" i="78"/>
  <c r="E189" i="78"/>
  <c r="E206" i="78"/>
  <c r="G71" i="78"/>
  <c r="D15" i="78"/>
  <c r="D269" i="78" s="1"/>
  <c r="G269" i="78"/>
  <c r="K262" i="78"/>
  <c r="K260" i="78"/>
  <c r="H15" i="78"/>
  <c r="H95" i="78" s="1"/>
  <c r="D29" i="78"/>
  <c r="D41" i="78"/>
  <c r="I279" i="78"/>
  <c r="J183" i="78"/>
  <c r="I88" i="78"/>
  <c r="F274" i="78"/>
  <c r="F277" i="78"/>
  <c r="K264" i="78"/>
  <c r="K266" i="78"/>
  <c r="J170" i="78"/>
  <c r="K256" i="78"/>
  <c r="K258" i="78"/>
  <c r="K243" i="78"/>
  <c r="K38" i="78" s="1"/>
  <c r="E32" i="78"/>
  <c r="E34" i="78" s="1"/>
  <c r="E27" i="78"/>
  <c r="G179" i="76"/>
  <c r="G40" i="76" s="1"/>
  <c r="H179" i="76"/>
  <c r="H40" i="76" s="1"/>
  <c r="H152" i="76"/>
  <c r="F29" i="76"/>
  <c r="F41" i="76"/>
  <c r="H106" i="76"/>
  <c r="G100" i="76"/>
  <c r="F32" i="76"/>
  <c r="F34" i="76" s="1"/>
  <c r="I156" i="76"/>
  <c r="E34" i="77"/>
  <c r="E45" i="76"/>
  <c r="F94" i="76"/>
  <c r="F140" i="76"/>
  <c r="I38" i="77"/>
  <c r="E4" i="77"/>
  <c r="E204" i="76"/>
  <c r="E23" i="76"/>
  <c r="H58" i="76"/>
  <c r="H102" i="76"/>
  <c r="G151" i="76"/>
  <c r="G153" i="76" s="1"/>
  <c r="G143" i="76" s="1"/>
  <c r="G25" i="76" s="1"/>
  <c r="H119" i="76"/>
  <c r="G87" i="76"/>
  <c r="G213" i="76"/>
  <c r="D16" i="76"/>
  <c r="F141" i="76"/>
  <c r="F124" i="76"/>
  <c r="F95" i="76"/>
  <c r="F4" i="77"/>
  <c r="F204" i="76"/>
  <c r="G15" i="76"/>
  <c r="G16" i="76"/>
  <c r="F44" i="76"/>
  <c r="F3" i="77"/>
  <c r="F203" i="76"/>
  <c r="F38" i="76"/>
  <c r="F52" i="76"/>
  <c r="H88" i="76"/>
  <c r="I118" i="76"/>
  <c r="E15" i="76"/>
  <c r="E95" i="76"/>
  <c r="E141" i="76"/>
  <c r="G157" i="76"/>
  <c r="G24" i="76" s="1"/>
  <c r="K190" i="76"/>
  <c r="K192" i="76"/>
  <c r="K177" i="76" s="1"/>
  <c r="K38" i="76" s="1"/>
  <c r="K194" i="76"/>
  <c r="K196" i="76"/>
  <c r="K178" i="76" s="1"/>
  <c r="K39" i="76" s="1"/>
  <c r="G178" i="76"/>
  <c r="G39" i="76" s="1"/>
  <c r="I179" i="76"/>
  <c r="I40" i="76" s="1"/>
  <c r="H178" i="76"/>
  <c r="H39" i="76" s="1"/>
  <c r="J179" i="76"/>
  <c r="J40" i="76" s="1"/>
  <c r="J192" i="76"/>
  <c r="J177" i="76" s="1"/>
  <c r="J38" i="76" s="1"/>
  <c r="J200" i="76"/>
  <c r="G177" i="76"/>
  <c r="G38" i="76" s="1"/>
  <c r="I178" i="76"/>
  <c r="I39" i="76" s="1"/>
  <c r="H177" i="76"/>
  <c r="H38" i="76" s="1"/>
  <c r="J178" i="76"/>
  <c r="J39" i="76" s="1"/>
  <c r="I177" i="76"/>
  <c r="I38" i="76" s="1"/>
  <c r="C3" i="71"/>
  <c r="C4" i="71"/>
  <c r="G13" i="71"/>
  <c r="G14" i="71" s="1"/>
  <c r="K38" i="71"/>
  <c r="H39" i="71"/>
  <c r="D13" i="71"/>
  <c r="E13" i="71"/>
  <c r="E14" i="71" s="1"/>
  <c r="F13" i="71"/>
  <c r="F14" i="71" s="1"/>
  <c r="E32" i="71"/>
  <c r="G32" i="71"/>
  <c r="E33" i="71"/>
  <c r="G33" i="71"/>
  <c r="E27" i="71"/>
  <c r="F27" i="71"/>
  <c r="G27" i="71"/>
  <c r="H27" i="71"/>
  <c r="I27" i="71"/>
  <c r="J27" i="71"/>
  <c r="K27" i="71"/>
  <c r="E28" i="71"/>
  <c r="F28" i="71"/>
  <c r="G28" i="71"/>
  <c r="H28" i="71"/>
  <c r="I28" i="71"/>
  <c r="J28" i="71"/>
  <c r="K28" i="71"/>
  <c r="E29" i="71"/>
  <c r="F29" i="71"/>
  <c r="G29" i="71"/>
  <c r="H29" i="71"/>
  <c r="I29" i="71"/>
  <c r="J29" i="71"/>
  <c r="K29" i="71"/>
  <c r="H32" i="71"/>
  <c r="I32" i="71"/>
  <c r="J32" i="71"/>
  <c r="K32" i="71"/>
  <c r="H33" i="71"/>
  <c r="I33" i="71"/>
  <c r="J33" i="71"/>
  <c r="K33" i="71"/>
  <c r="F34" i="71"/>
  <c r="G34" i="71"/>
  <c r="H34" i="71"/>
  <c r="I34" i="71"/>
  <c r="J34" i="71"/>
  <c r="K34" i="71"/>
  <c r="E37" i="71"/>
  <c r="F37" i="71"/>
  <c r="I37" i="71"/>
  <c r="E38" i="71"/>
  <c r="F38" i="71"/>
  <c r="G38" i="71"/>
  <c r="H38" i="71"/>
  <c r="I38" i="71"/>
  <c r="E39" i="71"/>
  <c r="F39" i="71"/>
  <c r="G39" i="71"/>
  <c r="K39" i="71"/>
  <c r="E40" i="71"/>
  <c r="F40" i="71"/>
  <c r="G40" i="71"/>
  <c r="H40" i="71"/>
  <c r="E41" i="71"/>
  <c r="F41" i="71"/>
  <c r="G41" i="71"/>
  <c r="H41" i="71"/>
  <c r="C3" i="73"/>
  <c r="C4" i="73"/>
  <c r="C2" i="74"/>
  <c r="F15" i="74"/>
  <c r="G15" i="74" s="1"/>
  <c r="F16" i="74"/>
  <c r="G16" i="74" s="1"/>
  <c r="G174" i="74" s="1"/>
  <c r="G18" i="74"/>
  <c r="H18" i="74" s="1"/>
  <c r="H22" i="74" s="1"/>
  <c r="D20" i="74"/>
  <c r="E20" i="74"/>
  <c r="E38" i="74" s="1"/>
  <c r="F20" i="74"/>
  <c r="F23" i="74" s="1"/>
  <c r="D23" i="74"/>
  <c r="D27" i="74" s="1"/>
  <c r="D29" i="74" s="1"/>
  <c r="D117" i="74" s="1"/>
  <c r="G26" i="74"/>
  <c r="H26" i="74"/>
  <c r="I26" i="74" s="1"/>
  <c r="J26" i="74" s="1"/>
  <c r="K26" i="74" s="1"/>
  <c r="G33" i="74"/>
  <c r="H33" i="74" s="1"/>
  <c r="E37" i="74"/>
  <c r="F37" i="74"/>
  <c r="D38" i="74"/>
  <c r="D39" i="74"/>
  <c r="E39" i="74"/>
  <c r="F39" i="74"/>
  <c r="D40" i="74"/>
  <c r="E40" i="74"/>
  <c r="F40" i="74"/>
  <c r="C44" i="74"/>
  <c r="F44" i="74"/>
  <c r="C45" i="74"/>
  <c r="E46" i="74"/>
  <c r="E52" i="74" s="1"/>
  <c r="F46" i="74"/>
  <c r="G127" i="74" s="1"/>
  <c r="G47" i="74"/>
  <c r="E49" i="74"/>
  <c r="F49" i="74"/>
  <c r="G49" i="74"/>
  <c r="H49" i="74" s="1"/>
  <c r="I49" i="74" s="1"/>
  <c r="J49" i="74" s="1"/>
  <c r="K49" i="74" s="1"/>
  <c r="G51" i="74"/>
  <c r="G113" i="74" s="1"/>
  <c r="G55" i="74"/>
  <c r="H55" i="74" s="1"/>
  <c r="I55" i="74" s="1"/>
  <c r="J55" i="74" s="1"/>
  <c r="K55" i="74" s="1"/>
  <c r="E56" i="74"/>
  <c r="F56" i="74"/>
  <c r="G56" i="74"/>
  <c r="H56" i="74" s="1"/>
  <c r="I56" i="74" s="1"/>
  <c r="J56" i="74" s="1"/>
  <c r="K56" i="74" s="1"/>
  <c r="E58" i="74"/>
  <c r="E151" i="74" s="1"/>
  <c r="F58" i="74"/>
  <c r="G58" i="74" s="1"/>
  <c r="G85" i="74" s="1"/>
  <c r="G79" i="74"/>
  <c r="E60" i="74"/>
  <c r="E63" i="74"/>
  <c r="G64" i="74"/>
  <c r="H64" i="74" s="1"/>
  <c r="I64" i="74" s="1"/>
  <c r="J64" i="74" s="1"/>
  <c r="K64" i="74" s="1"/>
  <c r="F65" i="74"/>
  <c r="C70" i="74"/>
  <c r="C71" i="74"/>
  <c r="G82" i="74"/>
  <c r="G83" i="74" s="1"/>
  <c r="H82" i="74"/>
  <c r="H83" i="74" s="1"/>
  <c r="I82" i="74"/>
  <c r="I83" i="74" s="1"/>
  <c r="J82" i="74"/>
  <c r="J83" i="74" s="1"/>
  <c r="K82" i="74"/>
  <c r="K83" i="74" s="1"/>
  <c r="C94" i="74"/>
  <c r="F94" i="74"/>
  <c r="C95" i="74"/>
  <c r="E100" i="74"/>
  <c r="F100" i="74"/>
  <c r="G97" i="74" s="1"/>
  <c r="D102" i="74"/>
  <c r="E102" i="74"/>
  <c r="F102" i="74"/>
  <c r="G102" i="74"/>
  <c r="G99" i="74" s="1"/>
  <c r="H102" i="74"/>
  <c r="D107" i="74"/>
  <c r="D105" i="74" s="1"/>
  <c r="D106" i="74" s="1"/>
  <c r="E107" i="74"/>
  <c r="E105" i="74" s="1"/>
  <c r="E106" i="74" s="1"/>
  <c r="F107" i="74"/>
  <c r="F105" i="74" s="1"/>
  <c r="F106" i="74" s="1"/>
  <c r="G106" i="74" s="1"/>
  <c r="E113" i="74"/>
  <c r="F113" i="74"/>
  <c r="G110" i="74" s="1"/>
  <c r="G118" i="74"/>
  <c r="G88" i="74" s="1"/>
  <c r="H118" i="74"/>
  <c r="I118" i="74" s="1"/>
  <c r="J118" i="74" s="1"/>
  <c r="J88" i="74" s="1"/>
  <c r="G119" i="74"/>
  <c r="D120" i="74"/>
  <c r="F120" i="74"/>
  <c r="G116" i="74" s="1"/>
  <c r="C123" i="74"/>
  <c r="F123" i="74"/>
  <c r="C124" i="74"/>
  <c r="D136" i="74"/>
  <c r="E136" i="74"/>
  <c r="F136" i="74"/>
  <c r="G133" i="74" s="1"/>
  <c r="C140" i="74"/>
  <c r="F140" i="74"/>
  <c r="C141" i="74"/>
  <c r="D143" i="74"/>
  <c r="E143" i="74"/>
  <c r="F143" i="74"/>
  <c r="G146" i="74"/>
  <c r="H146" i="74" s="1"/>
  <c r="I146" i="74" s="1"/>
  <c r="J146" i="74" s="1"/>
  <c r="K146" i="74" s="1"/>
  <c r="E147" i="74"/>
  <c r="E148" i="74" s="1"/>
  <c r="F147" i="74"/>
  <c r="F151" i="74"/>
  <c r="G156" i="74"/>
  <c r="H156" i="74" s="1"/>
  <c r="I156" i="74"/>
  <c r="J156" i="74" s="1"/>
  <c r="K156" i="74" s="1"/>
  <c r="D157" i="74"/>
  <c r="E157" i="74"/>
  <c r="F157" i="74"/>
  <c r="D173" i="74"/>
  <c r="G173" i="74"/>
  <c r="H181" i="74"/>
  <c r="I181" i="74"/>
  <c r="J181" i="74"/>
  <c r="J182" i="74"/>
  <c r="K182" i="74" s="1"/>
  <c r="G183" i="74"/>
  <c r="H183" i="74"/>
  <c r="I183" i="74"/>
  <c r="J183" i="74"/>
  <c r="G185" i="74"/>
  <c r="H185" i="74"/>
  <c r="I185" i="74"/>
  <c r="J186" i="74"/>
  <c r="K186" i="74" s="1"/>
  <c r="G187" i="74"/>
  <c r="H187" i="74"/>
  <c r="I187" i="74"/>
  <c r="G189" i="74"/>
  <c r="H189" i="74"/>
  <c r="I189" i="74"/>
  <c r="J190" i="74"/>
  <c r="J189" i="74" s="1"/>
  <c r="K190" i="74"/>
  <c r="G191" i="74"/>
  <c r="H191" i="74"/>
  <c r="I191" i="74"/>
  <c r="J191" i="74"/>
  <c r="G193" i="74"/>
  <c r="H193" i="74"/>
  <c r="I193" i="74"/>
  <c r="J193" i="74"/>
  <c r="J194" i="74"/>
  <c r="K194" i="74" s="1"/>
  <c r="G195" i="74"/>
  <c r="H195" i="74"/>
  <c r="I195" i="74"/>
  <c r="J195" i="74"/>
  <c r="C198" i="74"/>
  <c r="F198" i="74"/>
  <c r="C199" i="74"/>
  <c r="F199" i="74"/>
  <c r="F15" i="70"/>
  <c r="F3" i="73" s="1"/>
  <c r="F16" i="70"/>
  <c r="G16" i="70" s="1"/>
  <c r="G141" i="70" s="1"/>
  <c r="D20" i="70"/>
  <c r="D23" i="70" s="1"/>
  <c r="E20" i="70"/>
  <c r="F20" i="70"/>
  <c r="G26" i="70"/>
  <c r="H26" i="70" s="1"/>
  <c r="I26" i="70" s="1"/>
  <c r="J26" i="70" s="1"/>
  <c r="K26" i="70" s="1"/>
  <c r="E37" i="70"/>
  <c r="F37" i="70"/>
  <c r="D39" i="70"/>
  <c r="E39" i="70"/>
  <c r="F39" i="70"/>
  <c r="D40" i="70"/>
  <c r="E40" i="70"/>
  <c r="F40" i="70"/>
  <c r="J41" i="70"/>
  <c r="K41" i="70" s="1"/>
  <c r="C44" i="70"/>
  <c r="C45" i="70"/>
  <c r="F45" i="70"/>
  <c r="E46" i="70"/>
  <c r="F46" i="70"/>
  <c r="E49" i="70"/>
  <c r="F49" i="70"/>
  <c r="E56" i="70"/>
  <c r="F56" i="70"/>
  <c r="E58" i="70"/>
  <c r="E60" i="70" s="1"/>
  <c r="F58" i="70"/>
  <c r="E63" i="70"/>
  <c r="E65" i="70" s="1"/>
  <c r="G64" i="70"/>
  <c r="H64" i="70" s="1"/>
  <c r="I64" i="70" s="1"/>
  <c r="J64" i="70" s="1"/>
  <c r="K64" i="70" s="1"/>
  <c r="F65" i="70"/>
  <c r="C70" i="70"/>
  <c r="C71" i="70"/>
  <c r="G82" i="70"/>
  <c r="G83" i="70" s="1"/>
  <c r="H82" i="70"/>
  <c r="H83" i="70" s="1"/>
  <c r="I82" i="70"/>
  <c r="I83" i="70"/>
  <c r="G87" i="70"/>
  <c r="C94" i="70"/>
  <c r="F94" i="70"/>
  <c r="C95" i="70"/>
  <c r="E100" i="70"/>
  <c r="F100" i="70"/>
  <c r="G97" i="70" s="1"/>
  <c r="D102" i="70"/>
  <c r="E102" i="70"/>
  <c r="F102" i="70"/>
  <c r="G102" i="70"/>
  <c r="D107" i="70"/>
  <c r="D105" i="70" s="1"/>
  <c r="D106" i="70" s="1"/>
  <c r="E107" i="70"/>
  <c r="E105" i="70" s="1"/>
  <c r="E106" i="70" s="1"/>
  <c r="F107" i="70"/>
  <c r="F105" i="70" s="1"/>
  <c r="F106" i="70" s="1"/>
  <c r="G106" i="70" s="1"/>
  <c r="E113" i="70"/>
  <c r="F113" i="70"/>
  <c r="G110" i="70" s="1"/>
  <c r="G116" i="70"/>
  <c r="G118" i="70"/>
  <c r="G88" i="70" s="1"/>
  <c r="H118" i="70"/>
  <c r="G119" i="70"/>
  <c r="G208" i="70" s="1"/>
  <c r="H119" i="70"/>
  <c r="H87" i="70" s="1"/>
  <c r="D120" i="70"/>
  <c r="E120" i="70"/>
  <c r="F120" i="70"/>
  <c r="C123" i="70"/>
  <c r="C124" i="70"/>
  <c r="G133" i="70"/>
  <c r="D136" i="70"/>
  <c r="E136" i="70"/>
  <c r="F136" i="70"/>
  <c r="C140" i="70"/>
  <c r="C141" i="70"/>
  <c r="F141" i="70"/>
  <c r="D143" i="70"/>
  <c r="E143" i="70"/>
  <c r="F143" i="70"/>
  <c r="G146" i="70"/>
  <c r="H146" i="70" s="1"/>
  <c r="I146" i="70" s="1"/>
  <c r="J146" i="70" s="1"/>
  <c r="K146" i="70" s="1"/>
  <c r="E147" i="70"/>
  <c r="F148" i="70" s="1"/>
  <c r="F153" i="70" s="1"/>
  <c r="F147" i="70"/>
  <c r="F151" i="70"/>
  <c r="G156" i="70"/>
  <c r="H156" i="70" s="1"/>
  <c r="I156" i="70" s="1"/>
  <c r="J156" i="70" s="1"/>
  <c r="K156" i="70" s="1"/>
  <c r="D157" i="70"/>
  <c r="E157" i="70"/>
  <c r="F157" i="70"/>
  <c r="D173" i="70"/>
  <c r="H37" i="70"/>
  <c r="I37" i="70"/>
  <c r="G39" i="70"/>
  <c r="G40" i="70"/>
  <c r="H40" i="70"/>
  <c r="I40" i="70"/>
  <c r="G181" i="70"/>
  <c r="H181" i="70"/>
  <c r="I181" i="70"/>
  <c r="J182" i="70"/>
  <c r="J175" i="70" s="1"/>
  <c r="J37" i="70" s="1"/>
  <c r="J98" i="70" s="1"/>
  <c r="J82" i="70" s="1"/>
  <c r="J83" i="70" s="1"/>
  <c r="G183" i="70"/>
  <c r="H183" i="70"/>
  <c r="I183" i="70"/>
  <c r="G185" i="70"/>
  <c r="H185" i="70"/>
  <c r="I185" i="70"/>
  <c r="J186" i="70"/>
  <c r="K186" i="70"/>
  <c r="K176" i="70" s="1"/>
  <c r="G187" i="70"/>
  <c r="H187" i="70"/>
  <c r="I187" i="70"/>
  <c r="G189" i="70"/>
  <c r="H189" i="70"/>
  <c r="I189" i="70"/>
  <c r="J190" i="70"/>
  <c r="J189" i="70" s="1"/>
  <c r="G191" i="70"/>
  <c r="H191" i="70"/>
  <c r="I191" i="70"/>
  <c r="G193" i="70"/>
  <c r="H193" i="70"/>
  <c r="I193" i="70"/>
  <c r="J194" i="70"/>
  <c r="K194" i="70" s="1"/>
  <c r="K178" i="70" s="1"/>
  <c r="G195" i="70"/>
  <c r="H195" i="70"/>
  <c r="I195" i="70"/>
  <c r="C198" i="70"/>
  <c r="F198" i="70"/>
  <c r="C199" i="70"/>
  <c r="H210" i="70"/>
  <c r="I210" i="70"/>
  <c r="J210" i="70"/>
  <c r="K210" i="70" s="1"/>
  <c r="C2" i="64"/>
  <c r="F14" i="64"/>
  <c r="G14" i="64" s="1"/>
  <c r="H14" i="64" s="1"/>
  <c r="I14" i="64" s="1"/>
  <c r="J14" i="64" s="1"/>
  <c r="K14" i="64" s="1"/>
  <c r="E15" i="64"/>
  <c r="E123" i="64" s="1"/>
  <c r="F15" i="64"/>
  <c r="G15" i="64" s="1"/>
  <c r="G123" i="64" s="1"/>
  <c r="G17" i="64"/>
  <c r="H17" i="64"/>
  <c r="H21" i="64" s="1"/>
  <c r="D19" i="64"/>
  <c r="D22" i="64" s="1"/>
  <c r="E19" i="64"/>
  <c r="F19" i="64"/>
  <c r="G21" i="64"/>
  <c r="E22" i="64"/>
  <c r="E31" i="64" s="1"/>
  <c r="E33" i="64" s="1"/>
  <c r="F22" i="64"/>
  <c r="I25" i="64"/>
  <c r="J25" i="64" s="1"/>
  <c r="K25" i="64" s="1"/>
  <c r="E26" i="64"/>
  <c r="E28" i="64" s="1"/>
  <c r="E116" i="64" s="1"/>
  <c r="F26" i="64"/>
  <c r="F40" i="64" s="1"/>
  <c r="F31" i="64"/>
  <c r="F33" i="64" s="1"/>
  <c r="G32" i="64"/>
  <c r="H32" i="64" s="1"/>
  <c r="I32" i="64" s="1"/>
  <c r="E36" i="64"/>
  <c r="F36" i="64"/>
  <c r="J36" i="64"/>
  <c r="E37" i="64"/>
  <c r="F37" i="64"/>
  <c r="J37" i="64"/>
  <c r="K37" i="64" s="1"/>
  <c r="D38" i="64"/>
  <c r="E38" i="64"/>
  <c r="F38" i="64"/>
  <c r="J38" i="64"/>
  <c r="K38" i="64"/>
  <c r="D39" i="64"/>
  <c r="E39" i="64"/>
  <c r="F39" i="64"/>
  <c r="J39" i="64"/>
  <c r="K39" i="64" s="1"/>
  <c r="E40" i="64"/>
  <c r="J40" i="64"/>
  <c r="C43" i="64"/>
  <c r="F43" i="64"/>
  <c r="C44" i="64"/>
  <c r="E45" i="64"/>
  <c r="F45" i="64"/>
  <c r="F51" i="64" s="1"/>
  <c r="G46" i="64"/>
  <c r="H46" i="64" s="1"/>
  <c r="E48" i="64"/>
  <c r="E51" i="64" s="1"/>
  <c r="F48" i="64"/>
  <c r="G48" i="64" s="1"/>
  <c r="H48" i="64" s="1"/>
  <c r="I48" i="64" s="1"/>
  <c r="J48" i="64" s="1"/>
  <c r="G50" i="64"/>
  <c r="G112" i="64" s="1"/>
  <c r="H50" i="64"/>
  <c r="G54" i="64"/>
  <c r="H54" i="64" s="1"/>
  <c r="I54" i="64" s="1"/>
  <c r="J54" i="64" s="1"/>
  <c r="E55" i="64"/>
  <c r="F55" i="64"/>
  <c r="F59" i="64" s="1"/>
  <c r="G55" i="64"/>
  <c r="H55" i="64" s="1"/>
  <c r="I55" i="64" s="1"/>
  <c r="J55" i="64" s="1"/>
  <c r="E57" i="64"/>
  <c r="E59" i="64" s="1"/>
  <c r="F57" i="64"/>
  <c r="G57" i="64"/>
  <c r="H57" i="64" s="1"/>
  <c r="G61" i="64"/>
  <c r="H61" i="64" s="1"/>
  <c r="E62" i="64"/>
  <c r="G63" i="64"/>
  <c r="H63" i="64"/>
  <c r="I63" i="64" s="1"/>
  <c r="J63" i="64" s="1"/>
  <c r="K63" i="64" s="1"/>
  <c r="E64" i="64"/>
  <c r="F64" i="64"/>
  <c r="C69" i="64"/>
  <c r="H69" i="64"/>
  <c r="C70" i="64"/>
  <c r="G74" i="64"/>
  <c r="H74" i="64"/>
  <c r="G81" i="64"/>
  <c r="G82" i="64" s="1"/>
  <c r="H81" i="64"/>
  <c r="H82" i="64" s="1"/>
  <c r="I81" i="64"/>
  <c r="I82" i="64" s="1"/>
  <c r="G87" i="64"/>
  <c r="C93" i="64"/>
  <c r="F93" i="64"/>
  <c r="G93" i="64"/>
  <c r="H93" i="64"/>
  <c r="I93" i="64"/>
  <c r="C94" i="64"/>
  <c r="F94" i="64"/>
  <c r="G96" i="64"/>
  <c r="E99" i="64"/>
  <c r="F99" i="64"/>
  <c r="D101" i="64"/>
  <c r="E101" i="64"/>
  <c r="F101" i="64"/>
  <c r="G101" i="64" s="1"/>
  <c r="D106" i="64"/>
  <c r="D104" i="64" s="1"/>
  <c r="D105" i="64" s="1"/>
  <c r="E106" i="64"/>
  <c r="E104" i="64" s="1"/>
  <c r="E105" i="64" s="1"/>
  <c r="F106" i="64"/>
  <c r="F104" i="64" s="1"/>
  <c r="F105" i="64" s="1"/>
  <c r="G105" i="64" s="1"/>
  <c r="E112" i="64"/>
  <c r="F112" i="64"/>
  <c r="G109" i="64" s="1"/>
  <c r="G117" i="64"/>
  <c r="H117" i="64" s="1"/>
  <c r="I117" i="64" s="1"/>
  <c r="I87" i="64" s="1"/>
  <c r="G118" i="64"/>
  <c r="D119" i="64"/>
  <c r="E119" i="64"/>
  <c r="F119" i="64"/>
  <c r="G115" i="64" s="1"/>
  <c r="C122" i="64"/>
  <c r="F122" i="64"/>
  <c r="H122" i="64"/>
  <c r="I122" i="64"/>
  <c r="J122" i="64"/>
  <c r="C123" i="64"/>
  <c r="F123" i="64"/>
  <c r="D135" i="64"/>
  <c r="E135" i="64"/>
  <c r="F135" i="64"/>
  <c r="G132" i="64" s="1"/>
  <c r="C139" i="64"/>
  <c r="F139" i="64"/>
  <c r="H139" i="64"/>
  <c r="I139" i="64"/>
  <c r="J139" i="64"/>
  <c r="C140" i="64"/>
  <c r="F140" i="64"/>
  <c r="D142" i="64"/>
  <c r="E142" i="64"/>
  <c r="F142" i="64"/>
  <c r="G145" i="64"/>
  <c r="H145" i="64" s="1"/>
  <c r="I145" i="64" s="1"/>
  <c r="J145" i="64" s="1"/>
  <c r="K145" i="64" s="1"/>
  <c r="E146" i="64"/>
  <c r="F146" i="64"/>
  <c r="F147" i="64" s="1"/>
  <c r="E147" i="64"/>
  <c r="E152" i="64" s="1"/>
  <c r="E151" i="64" s="1"/>
  <c r="E150" i="64"/>
  <c r="F150" i="64"/>
  <c r="G150" i="64"/>
  <c r="H150" i="64"/>
  <c r="G155" i="64"/>
  <c r="H155" i="64" s="1"/>
  <c r="I155" i="64" s="1"/>
  <c r="J155" i="64" s="1"/>
  <c r="K155" i="64" s="1"/>
  <c r="D156" i="64"/>
  <c r="E156" i="64"/>
  <c r="F156" i="64"/>
  <c r="C2" i="69"/>
  <c r="F14" i="69"/>
  <c r="E14" i="69" s="1"/>
  <c r="F15" i="69"/>
  <c r="G15" i="69" s="1"/>
  <c r="G17" i="69"/>
  <c r="H17" i="69" s="1"/>
  <c r="D19" i="69"/>
  <c r="E19" i="69"/>
  <c r="E22" i="69" s="1"/>
  <c r="E26" i="69" s="1"/>
  <c r="E28" i="69" s="1"/>
  <c r="E116" i="69" s="1"/>
  <c r="F19" i="69"/>
  <c r="F22" i="69" s="1"/>
  <c r="F31" i="69" s="1"/>
  <c r="F33" i="69" s="1"/>
  <c r="D22" i="69"/>
  <c r="D26" i="69" s="1"/>
  <c r="G25" i="69"/>
  <c r="H25" i="69" s="1"/>
  <c r="I25" i="69" s="1"/>
  <c r="J25" i="69" s="1"/>
  <c r="K25" i="69" s="1"/>
  <c r="F26" i="69"/>
  <c r="D31" i="69"/>
  <c r="D33" i="69" s="1"/>
  <c r="G32" i="69"/>
  <c r="H32" i="69"/>
  <c r="E36" i="69"/>
  <c r="F36" i="69"/>
  <c r="J36" i="69"/>
  <c r="D37" i="69"/>
  <c r="J37" i="69"/>
  <c r="K37" i="69"/>
  <c r="D38" i="69"/>
  <c r="E38" i="69"/>
  <c r="F38" i="69"/>
  <c r="J38" i="69"/>
  <c r="D39" i="69"/>
  <c r="E39" i="69"/>
  <c r="F39" i="69"/>
  <c r="J39" i="69"/>
  <c r="K39" i="69" s="1"/>
  <c r="J40" i="69"/>
  <c r="K40" i="69"/>
  <c r="C43" i="69"/>
  <c r="C44" i="69"/>
  <c r="E45" i="69"/>
  <c r="F45" i="69"/>
  <c r="F51" i="69" s="1"/>
  <c r="G46" i="69"/>
  <c r="H46" i="69" s="1"/>
  <c r="E48" i="69"/>
  <c r="F48" i="69"/>
  <c r="G48" i="69"/>
  <c r="H48" i="69" s="1"/>
  <c r="I48" i="69" s="1"/>
  <c r="J48" i="69" s="1"/>
  <c r="G50" i="69"/>
  <c r="H50" i="69" s="1"/>
  <c r="G54" i="69"/>
  <c r="H54" i="69"/>
  <c r="I54" i="69" s="1"/>
  <c r="J54" i="69" s="1"/>
  <c r="E55" i="69"/>
  <c r="F55" i="69"/>
  <c r="E57" i="69"/>
  <c r="F57" i="69"/>
  <c r="H78" i="69"/>
  <c r="I78" i="69"/>
  <c r="G63" i="69"/>
  <c r="H63" i="69" s="1"/>
  <c r="I63" i="69" s="1"/>
  <c r="J63" i="69" s="1"/>
  <c r="K63" i="69" s="1"/>
  <c r="E64" i="69"/>
  <c r="F64" i="69"/>
  <c r="C69" i="69"/>
  <c r="C70" i="69"/>
  <c r="G78" i="69"/>
  <c r="G81" i="69"/>
  <c r="G82" i="69" s="1"/>
  <c r="H81" i="69"/>
  <c r="I81" i="69"/>
  <c r="I82" i="69" s="1"/>
  <c r="H82" i="69"/>
  <c r="I87" i="69"/>
  <c r="C93" i="69"/>
  <c r="C94" i="69"/>
  <c r="G96" i="69"/>
  <c r="E99" i="69"/>
  <c r="F99" i="69"/>
  <c r="D101" i="69"/>
  <c r="E101" i="69"/>
  <c r="F101" i="69"/>
  <c r="G101" i="69"/>
  <c r="H101" i="69" s="1"/>
  <c r="H98" i="69" s="1"/>
  <c r="D106" i="69"/>
  <c r="D104" i="69" s="1"/>
  <c r="D105" i="69" s="1"/>
  <c r="E106" i="69"/>
  <c r="E104" i="69" s="1"/>
  <c r="E105" i="69" s="1"/>
  <c r="F106" i="69"/>
  <c r="F104" i="69" s="1"/>
  <c r="F105" i="69" s="1"/>
  <c r="G105" i="69" s="1"/>
  <c r="E112" i="69"/>
  <c r="F112" i="69"/>
  <c r="G109" i="69" s="1"/>
  <c r="G112" i="69"/>
  <c r="G117" i="69"/>
  <c r="G87" i="69" s="1"/>
  <c r="H117" i="69"/>
  <c r="I117" i="69" s="1"/>
  <c r="J117" i="69" s="1"/>
  <c r="J87" i="69" s="1"/>
  <c r="K117" i="69"/>
  <c r="K87" i="69" s="1"/>
  <c r="G118" i="69"/>
  <c r="D119" i="69"/>
  <c r="E119" i="69"/>
  <c r="F119" i="69"/>
  <c r="G115" i="69" s="1"/>
  <c r="C122" i="69"/>
  <c r="C123" i="69"/>
  <c r="D135" i="69"/>
  <c r="E135" i="69"/>
  <c r="F135" i="69"/>
  <c r="C139" i="69"/>
  <c r="F139" i="69"/>
  <c r="C140" i="69"/>
  <c r="D142" i="69"/>
  <c r="E142" i="69"/>
  <c r="F142" i="69"/>
  <c r="D156" i="69"/>
  <c r="E156" i="69"/>
  <c r="F156" i="69"/>
  <c r="C2" i="68"/>
  <c r="F14" i="68"/>
  <c r="G14" i="68" s="1"/>
  <c r="G69" i="68" s="1"/>
  <c r="F15" i="68"/>
  <c r="G15" i="68" s="1"/>
  <c r="G17" i="68"/>
  <c r="D19" i="68"/>
  <c r="E19" i="68"/>
  <c r="E22" i="68" s="1"/>
  <c r="F19" i="68"/>
  <c r="F22" i="68" s="1"/>
  <c r="F26" i="68" s="1"/>
  <c r="F28" i="68" s="1"/>
  <c r="D22" i="68"/>
  <c r="D26" i="68" s="1"/>
  <c r="G25" i="68"/>
  <c r="H25" i="68"/>
  <c r="I25" i="68" s="1"/>
  <c r="J25" i="68" s="1"/>
  <c r="K25" i="68" s="1"/>
  <c r="D31" i="68"/>
  <c r="D33" i="68" s="1"/>
  <c r="G32" i="68"/>
  <c r="G61" i="68" s="1"/>
  <c r="E36" i="68"/>
  <c r="F36" i="68"/>
  <c r="J36" i="68"/>
  <c r="D37" i="68"/>
  <c r="J37" i="68"/>
  <c r="K37" i="68" s="1"/>
  <c r="D38" i="68"/>
  <c r="E38" i="68"/>
  <c r="F38" i="68"/>
  <c r="J38" i="68"/>
  <c r="K38" i="68"/>
  <c r="D39" i="68"/>
  <c r="E39" i="68"/>
  <c r="F39" i="68"/>
  <c r="J39" i="68"/>
  <c r="K39" i="68" s="1"/>
  <c r="J40" i="68"/>
  <c r="C43" i="68"/>
  <c r="C44" i="68"/>
  <c r="E45" i="68"/>
  <c r="F45" i="68"/>
  <c r="G46" i="68"/>
  <c r="H46" i="68" s="1"/>
  <c r="E48" i="68"/>
  <c r="F48" i="68"/>
  <c r="G48" i="68" s="1"/>
  <c r="H48" i="68" s="1"/>
  <c r="I48" i="68" s="1"/>
  <c r="G50" i="68"/>
  <c r="H50" i="68"/>
  <c r="I50" i="68" s="1"/>
  <c r="G54" i="68"/>
  <c r="H54" i="68" s="1"/>
  <c r="I54" i="68" s="1"/>
  <c r="J54" i="68" s="1"/>
  <c r="E55" i="68"/>
  <c r="F55" i="68"/>
  <c r="G55" i="68" s="1"/>
  <c r="H55" i="68" s="1"/>
  <c r="I55" i="68" s="1"/>
  <c r="E57" i="68"/>
  <c r="E59" i="68" s="1"/>
  <c r="F57" i="68"/>
  <c r="G57" i="68" s="1"/>
  <c r="H57" i="68" s="1"/>
  <c r="I57" i="68" s="1"/>
  <c r="G63" i="68"/>
  <c r="H63" i="68" s="1"/>
  <c r="I63" i="68" s="1"/>
  <c r="J63" i="68" s="1"/>
  <c r="K63" i="68" s="1"/>
  <c r="E64" i="68"/>
  <c r="F64" i="68"/>
  <c r="C69" i="68"/>
  <c r="C70" i="68"/>
  <c r="G74" i="68"/>
  <c r="G78" i="68"/>
  <c r="H78" i="68"/>
  <c r="I78" i="68"/>
  <c r="G82" i="68"/>
  <c r="H82" i="68"/>
  <c r="I82" i="68"/>
  <c r="J82" i="68"/>
  <c r="K82" i="68"/>
  <c r="C2" i="67"/>
  <c r="F14" i="67"/>
  <c r="F93" i="67" s="1"/>
  <c r="F15" i="67"/>
  <c r="D19" i="67"/>
  <c r="D22" i="67" s="1"/>
  <c r="D26" i="67" s="1"/>
  <c r="E19" i="67"/>
  <c r="E22" i="67" s="1"/>
  <c r="E31" i="67" s="1"/>
  <c r="E33" i="67" s="1"/>
  <c r="F19" i="67"/>
  <c r="F22" i="67" s="1"/>
  <c r="E36" i="67"/>
  <c r="F36" i="67"/>
  <c r="D38" i="67"/>
  <c r="E38" i="67"/>
  <c r="F38" i="67"/>
  <c r="D39" i="67"/>
  <c r="E39" i="67"/>
  <c r="F39" i="67"/>
  <c r="C43" i="67"/>
  <c r="C44" i="67"/>
  <c r="E45" i="67"/>
  <c r="F45" i="67"/>
  <c r="E48" i="67"/>
  <c r="F48" i="67"/>
  <c r="E55" i="67"/>
  <c r="F55" i="67"/>
  <c r="E57" i="67"/>
  <c r="F57" i="67"/>
  <c r="E64" i="67"/>
  <c r="F64" i="67"/>
  <c r="C69" i="67"/>
  <c r="C70" i="67"/>
  <c r="C93" i="67"/>
  <c r="C94" i="67"/>
  <c r="E99" i="67"/>
  <c r="F99" i="67"/>
  <c r="D101" i="67"/>
  <c r="E101" i="67"/>
  <c r="F101" i="67"/>
  <c r="D106" i="67"/>
  <c r="D104" i="67" s="1"/>
  <c r="D105" i="67" s="1"/>
  <c r="E106" i="67"/>
  <c r="E104" i="67" s="1"/>
  <c r="E105" i="67" s="1"/>
  <c r="F106" i="67"/>
  <c r="F104" i="67" s="1"/>
  <c r="F105" i="67" s="1"/>
  <c r="G110" i="67"/>
  <c r="H110" i="67"/>
  <c r="I110" i="67"/>
  <c r="J110" i="67"/>
  <c r="K110" i="67"/>
  <c r="E112" i="67"/>
  <c r="F112" i="67"/>
  <c r="G112" i="67"/>
  <c r="H112" i="67"/>
  <c r="I112" i="67"/>
  <c r="J112" i="67"/>
  <c r="K112" i="67"/>
  <c r="D119" i="67"/>
  <c r="E119" i="67"/>
  <c r="F119" i="67"/>
  <c r="F14" i="66"/>
  <c r="E14" i="66" s="1"/>
  <c r="E43" i="66" s="1"/>
  <c r="F15" i="66"/>
  <c r="E15" i="66" s="1"/>
  <c r="D15" i="66" s="1"/>
  <c r="C43" i="66"/>
  <c r="C44" i="66"/>
  <c r="E72" i="66"/>
  <c r="F72" i="66"/>
  <c r="K185" i="74" l="1"/>
  <c r="K187" i="74"/>
  <c r="K181" i="74"/>
  <c r="K183" i="74"/>
  <c r="H218" i="78"/>
  <c r="I218" i="78" s="1"/>
  <c r="G219" i="78"/>
  <c r="G209" i="78" s="1"/>
  <c r="G25" i="78" s="1"/>
  <c r="K193" i="74"/>
  <c r="K195" i="74"/>
  <c r="D32" i="70"/>
  <c r="D34" i="70" s="1"/>
  <c r="D27" i="70"/>
  <c r="E16" i="74"/>
  <c r="E45" i="74" s="1"/>
  <c r="D27" i="76"/>
  <c r="D32" i="76"/>
  <c r="D34" i="76" s="1"/>
  <c r="F52" i="74"/>
  <c r="D37" i="67"/>
  <c r="F93" i="69"/>
  <c r="E59" i="69"/>
  <c r="G84" i="64"/>
  <c r="J187" i="70"/>
  <c r="J176" i="70"/>
  <c r="J38" i="70" s="1"/>
  <c r="E151" i="70"/>
  <c r="D38" i="70"/>
  <c r="G71" i="74"/>
  <c r="G45" i="74"/>
  <c r="E23" i="74"/>
  <c r="K179" i="76"/>
  <c r="K40" i="76" s="1"/>
  <c r="J97" i="69"/>
  <c r="J58" i="69"/>
  <c r="K190" i="70"/>
  <c r="J177" i="70"/>
  <c r="J39" i="70" s="1"/>
  <c r="E37" i="67"/>
  <c r="J48" i="68"/>
  <c r="E40" i="69"/>
  <c r="J117" i="64"/>
  <c r="J187" i="74"/>
  <c r="F148" i="74"/>
  <c r="F153" i="74" s="1"/>
  <c r="F152" i="74" s="1"/>
  <c r="G152" i="74" s="1"/>
  <c r="F45" i="74"/>
  <c r="J38" i="71"/>
  <c r="F66" i="64"/>
  <c r="J191" i="70"/>
  <c r="G152" i="70"/>
  <c r="H152" i="70" s="1"/>
  <c r="I152" i="70" s="1"/>
  <c r="F152" i="70"/>
  <c r="F141" i="74"/>
  <c r="K200" i="76"/>
  <c r="H87" i="69"/>
  <c r="F152" i="64"/>
  <c r="H208" i="70"/>
  <c r="E148" i="70"/>
  <c r="E153" i="70" s="1"/>
  <c r="E152" i="70" s="1"/>
  <c r="F124" i="74"/>
  <c r="F95" i="74"/>
  <c r="F67" i="76"/>
  <c r="J50" i="68"/>
  <c r="J185" i="74"/>
  <c r="J55" i="68"/>
  <c r="E37" i="68"/>
  <c r="F140" i="69"/>
  <c r="F122" i="69"/>
  <c r="G98" i="69"/>
  <c r="G99" i="69" s="1"/>
  <c r="E51" i="69"/>
  <c r="G126" i="64"/>
  <c r="D37" i="64"/>
  <c r="F28" i="64"/>
  <c r="F116" i="64" s="1"/>
  <c r="E52" i="70"/>
  <c r="E67" i="70" s="1"/>
  <c r="F38" i="74"/>
  <c r="I13" i="71"/>
  <c r="E51" i="68"/>
  <c r="E66" i="68" s="1"/>
  <c r="K36" i="69"/>
  <c r="K54" i="69" s="1"/>
  <c r="E31" i="69"/>
  <c r="E33" i="69" s="1"/>
  <c r="K36" i="64"/>
  <c r="K54" i="64" s="1"/>
  <c r="J97" i="64"/>
  <c r="J58" i="64"/>
  <c r="J195" i="70"/>
  <c r="J178" i="70"/>
  <c r="J40" i="70" s="1"/>
  <c r="I119" i="70"/>
  <c r="F60" i="70"/>
  <c r="D41" i="74"/>
  <c r="I39" i="71"/>
  <c r="J27" i="77"/>
  <c r="I27" i="77"/>
  <c r="H37" i="71"/>
  <c r="G37" i="71"/>
  <c r="J7" i="77"/>
  <c r="K27" i="77"/>
  <c r="H7" i="77"/>
  <c r="H13" i="77" s="1"/>
  <c r="G40" i="77"/>
  <c r="G7" i="77"/>
  <c r="G75" i="74"/>
  <c r="G62" i="74"/>
  <c r="H51" i="74"/>
  <c r="H113" i="74" s="1"/>
  <c r="I110" i="74" s="1"/>
  <c r="G105" i="74"/>
  <c r="G111" i="74" s="1"/>
  <c r="G112" i="74" s="1"/>
  <c r="G78" i="74" s="1"/>
  <c r="E66" i="69"/>
  <c r="G64" i="68"/>
  <c r="I84" i="68"/>
  <c r="I88" i="68" s="1"/>
  <c r="J57" i="68"/>
  <c r="H84" i="68"/>
  <c r="H88" i="68" s="1"/>
  <c r="G84" i="68"/>
  <c r="G88" i="68" s="1"/>
  <c r="F59" i="68"/>
  <c r="E15" i="68"/>
  <c r="E44" i="68" s="1"/>
  <c r="F51" i="68"/>
  <c r="F37" i="68"/>
  <c r="H32" i="68"/>
  <c r="K36" i="68"/>
  <c r="J58" i="68"/>
  <c r="K58" i="68" s="1"/>
  <c r="K78" i="68" s="1"/>
  <c r="G14" i="67"/>
  <c r="G43" i="67" s="1"/>
  <c r="F51" i="67"/>
  <c r="E51" i="67"/>
  <c r="E59" i="67"/>
  <c r="F59" i="67"/>
  <c r="F94" i="67"/>
  <c r="G15" i="67"/>
  <c r="E15" i="74"/>
  <c r="F199" i="70"/>
  <c r="G124" i="70"/>
  <c r="F95" i="70"/>
  <c r="F44" i="70"/>
  <c r="G15" i="70"/>
  <c r="F124" i="70"/>
  <c r="G199" i="70"/>
  <c r="G95" i="70"/>
  <c r="F140" i="70"/>
  <c r="G174" i="70"/>
  <c r="F123" i="70"/>
  <c r="G139" i="64"/>
  <c r="G122" i="64"/>
  <c r="G69" i="64"/>
  <c r="F44" i="64"/>
  <c r="E14" i="64"/>
  <c r="G140" i="64"/>
  <c r="J43" i="64"/>
  <c r="E140" i="64"/>
  <c r="J93" i="64"/>
  <c r="I43" i="64"/>
  <c r="H15" i="69"/>
  <c r="H123" i="69" s="1"/>
  <c r="G140" i="69"/>
  <c r="G94" i="69"/>
  <c r="G123" i="69"/>
  <c r="G70" i="69"/>
  <c r="G44" i="69"/>
  <c r="E139" i="69"/>
  <c r="D14" i="69"/>
  <c r="D93" i="69" s="1"/>
  <c r="E43" i="69"/>
  <c r="E93" i="69"/>
  <c r="E122" i="69"/>
  <c r="F44" i="69"/>
  <c r="E15" i="69"/>
  <c r="G14" i="69"/>
  <c r="F123" i="69"/>
  <c r="F43" i="69"/>
  <c r="F94" i="69"/>
  <c r="F43" i="66"/>
  <c r="F44" i="68"/>
  <c r="E14" i="68"/>
  <c r="D15" i="68"/>
  <c r="F43" i="68"/>
  <c r="H190" i="78"/>
  <c r="H45" i="78"/>
  <c r="I16" i="78"/>
  <c r="I96" i="78" s="1"/>
  <c r="H270" i="78"/>
  <c r="H72" i="78"/>
  <c r="C161" i="78"/>
  <c r="G160" i="78"/>
  <c r="G166" i="78" s="1"/>
  <c r="G145" i="78" s="1"/>
  <c r="G148" i="78" s="1"/>
  <c r="H240" i="78"/>
  <c r="H269" i="78"/>
  <c r="H141" i="78"/>
  <c r="H207" i="78"/>
  <c r="H239" i="78"/>
  <c r="H71" i="78"/>
  <c r="H44" i="78"/>
  <c r="I15" i="78"/>
  <c r="I95" i="78" s="1"/>
  <c r="H140" i="78"/>
  <c r="H189" i="78"/>
  <c r="H206" i="78"/>
  <c r="D140" i="78"/>
  <c r="D95" i="78"/>
  <c r="H86" i="78"/>
  <c r="H217" i="78"/>
  <c r="H219" i="78" s="1"/>
  <c r="I59" i="78"/>
  <c r="D272" i="78"/>
  <c r="D181" i="78"/>
  <c r="D186" i="78" s="1"/>
  <c r="D189" i="78"/>
  <c r="D206" i="78"/>
  <c r="G32" i="77"/>
  <c r="E41" i="78"/>
  <c r="E29" i="78"/>
  <c r="J218" i="78"/>
  <c r="K170" i="78"/>
  <c r="J279" i="78"/>
  <c r="K183" i="78"/>
  <c r="J88" i="78"/>
  <c r="H32" i="77"/>
  <c r="H40" i="77"/>
  <c r="I40" i="77" s="1"/>
  <c r="H151" i="76"/>
  <c r="H85" i="76"/>
  <c r="I58" i="76"/>
  <c r="F117" i="76"/>
  <c r="F206" i="76"/>
  <c r="K32" i="77"/>
  <c r="K7" i="77"/>
  <c r="I32" i="77"/>
  <c r="I7" i="77"/>
  <c r="J32" i="77"/>
  <c r="J156" i="76"/>
  <c r="G50" i="76"/>
  <c r="H97" i="76"/>
  <c r="E140" i="76"/>
  <c r="E123" i="76"/>
  <c r="E94" i="76"/>
  <c r="E3" i="77"/>
  <c r="E203" i="76"/>
  <c r="E44" i="76"/>
  <c r="D15" i="76"/>
  <c r="H213" i="76"/>
  <c r="H87" i="76"/>
  <c r="I119" i="76"/>
  <c r="G4" i="77"/>
  <c r="G204" i="76"/>
  <c r="G174" i="76"/>
  <c r="G71" i="76"/>
  <c r="H16" i="76"/>
  <c r="G95" i="76"/>
  <c r="G45" i="76"/>
  <c r="G124" i="76"/>
  <c r="G141" i="76"/>
  <c r="I106" i="76"/>
  <c r="D141" i="76"/>
  <c r="D124" i="76"/>
  <c r="D95" i="76"/>
  <c r="D4" i="77"/>
  <c r="D204" i="76"/>
  <c r="E32" i="76"/>
  <c r="E34" i="76" s="1"/>
  <c r="E27" i="76"/>
  <c r="J118" i="76"/>
  <c r="I88" i="76"/>
  <c r="G140" i="76"/>
  <c r="G123" i="76"/>
  <c r="G94" i="76"/>
  <c r="G3" i="77"/>
  <c r="G203" i="76"/>
  <c r="G44" i="76"/>
  <c r="H15" i="76"/>
  <c r="G173" i="76"/>
  <c r="G70" i="76"/>
  <c r="I152" i="76"/>
  <c r="H153" i="76"/>
  <c r="I102" i="76"/>
  <c r="H99" i="76"/>
  <c r="F31" i="67"/>
  <c r="F33" i="67" s="1"/>
  <c r="F26" i="67"/>
  <c r="E44" i="66"/>
  <c r="D28" i="69"/>
  <c r="D116" i="69" s="1"/>
  <c r="D40" i="69"/>
  <c r="D40" i="67"/>
  <c r="D28" i="67"/>
  <c r="D116" i="67" s="1"/>
  <c r="G21" i="68"/>
  <c r="G20" i="68"/>
  <c r="F44" i="67"/>
  <c r="F43" i="67"/>
  <c r="D31" i="67"/>
  <c r="D33" i="67" s="1"/>
  <c r="H14" i="67"/>
  <c r="J78" i="68"/>
  <c r="I46" i="68"/>
  <c r="F40" i="68"/>
  <c r="H17" i="68"/>
  <c r="G57" i="69"/>
  <c r="H94" i="69"/>
  <c r="G78" i="64"/>
  <c r="G19" i="68"/>
  <c r="H74" i="69"/>
  <c r="I32" i="69"/>
  <c r="H109" i="64"/>
  <c r="F44" i="66"/>
  <c r="F31" i="68"/>
  <c r="F33" i="68" s="1"/>
  <c r="H15" i="68"/>
  <c r="G44" i="68"/>
  <c r="G104" i="69"/>
  <c r="G110" i="69" s="1"/>
  <c r="H105" i="69"/>
  <c r="F59" i="69"/>
  <c r="F66" i="69" s="1"/>
  <c r="G55" i="69"/>
  <c r="H55" i="69" s="1"/>
  <c r="I55" i="69" s="1"/>
  <c r="J55" i="69" s="1"/>
  <c r="K55" i="69" s="1"/>
  <c r="G74" i="69"/>
  <c r="G61" i="69"/>
  <c r="F28" i="69"/>
  <c r="F116" i="69" s="1"/>
  <c r="F40" i="69"/>
  <c r="E15" i="67"/>
  <c r="E14" i="67"/>
  <c r="G94" i="67"/>
  <c r="G69" i="67"/>
  <c r="F37" i="67"/>
  <c r="G70" i="68"/>
  <c r="D28" i="68"/>
  <c r="D40" i="68"/>
  <c r="G86" i="69"/>
  <c r="H118" i="69"/>
  <c r="G111" i="69"/>
  <c r="G77" i="69" s="1"/>
  <c r="H112" i="69"/>
  <c r="I50" i="69"/>
  <c r="K38" i="69"/>
  <c r="D15" i="69"/>
  <c r="G93" i="67"/>
  <c r="E26" i="67"/>
  <c r="J78" i="69"/>
  <c r="I46" i="64"/>
  <c r="E31" i="68"/>
  <c r="E33" i="68" s="1"/>
  <c r="E26" i="68"/>
  <c r="D14" i="66"/>
  <c r="G70" i="67"/>
  <c r="E123" i="69"/>
  <c r="I50" i="64"/>
  <c r="H112" i="64"/>
  <c r="K40" i="68"/>
  <c r="H14" i="68"/>
  <c r="G43" i="68"/>
  <c r="I17" i="69"/>
  <c r="H19" i="69"/>
  <c r="H21" i="69"/>
  <c r="H20" i="69"/>
  <c r="D139" i="69"/>
  <c r="H109" i="69"/>
  <c r="E37" i="69"/>
  <c r="G86" i="64"/>
  <c r="H118" i="64"/>
  <c r="G99" i="64"/>
  <c r="D26" i="64"/>
  <c r="D31" i="64"/>
  <c r="D33" i="64" s="1"/>
  <c r="H15" i="64"/>
  <c r="G94" i="64"/>
  <c r="G44" i="64"/>
  <c r="G70" i="64"/>
  <c r="I101" i="69"/>
  <c r="I46" i="69"/>
  <c r="I57" i="64"/>
  <c r="H84" i="64"/>
  <c r="E44" i="64"/>
  <c r="D15" i="64"/>
  <c r="E94" i="64"/>
  <c r="G20" i="69"/>
  <c r="G19" i="69"/>
  <c r="I74" i="64"/>
  <c r="J32" i="64"/>
  <c r="K93" i="64"/>
  <c r="K122" i="64"/>
  <c r="K139" i="64"/>
  <c r="K43" i="64"/>
  <c r="G21" i="69"/>
  <c r="G104" i="64"/>
  <c r="G110" i="64" s="1"/>
  <c r="G111" i="64" s="1"/>
  <c r="G77" i="64" s="1"/>
  <c r="H105" i="64"/>
  <c r="I61" i="64"/>
  <c r="E66" i="64"/>
  <c r="F37" i="69"/>
  <c r="G98" i="64"/>
  <c r="G106" i="64" s="1"/>
  <c r="G30" i="64" s="1"/>
  <c r="G73" i="64" s="1"/>
  <c r="H101" i="64"/>
  <c r="H87" i="64"/>
  <c r="K69" i="64"/>
  <c r="K40" i="64"/>
  <c r="J69" i="64"/>
  <c r="H43" i="64"/>
  <c r="I69" i="64"/>
  <c r="G43" i="64"/>
  <c r="H88" i="70"/>
  <c r="I118" i="70"/>
  <c r="K187" i="70"/>
  <c r="K185" i="70"/>
  <c r="K38" i="70"/>
  <c r="K182" i="70"/>
  <c r="K175" i="70" s="1"/>
  <c r="J183" i="70"/>
  <c r="J181" i="70"/>
  <c r="I17" i="64"/>
  <c r="H20" i="64"/>
  <c r="H19" i="64"/>
  <c r="G20" i="64"/>
  <c r="G19" i="64"/>
  <c r="H106" i="70"/>
  <c r="H99" i="74"/>
  <c r="I102" i="74"/>
  <c r="E65" i="74"/>
  <c r="E67" i="74" s="1"/>
  <c r="E120" i="74"/>
  <c r="H79" i="74"/>
  <c r="H39" i="70"/>
  <c r="I39" i="70"/>
  <c r="K40" i="70"/>
  <c r="H38" i="70"/>
  <c r="I38" i="70"/>
  <c r="I33" i="74"/>
  <c r="H75" i="74"/>
  <c r="H62" i="74"/>
  <c r="K195" i="70"/>
  <c r="K193" i="70"/>
  <c r="H47" i="74"/>
  <c r="G99" i="70"/>
  <c r="H102" i="70"/>
  <c r="G58" i="70"/>
  <c r="G4" i="73"/>
  <c r="G45" i="70"/>
  <c r="G4" i="71"/>
  <c r="H16" i="70"/>
  <c r="G71" i="70"/>
  <c r="E153" i="74"/>
  <c r="E152" i="74" s="1"/>
  <c r="J193" i="70"/>
  <c r="J185" i="70"/>
  <c r="F23" i="70"/>
  <c r="F38" i="70"/>
  <c r="G3" i="73"/>
  <c r="G3" i="71"/>
  <c r="G44" i="70"/>
  <c r="F52" i="70"/>
  <c r="G127" i="70"/>
  <c r="E23" i="70"/>
  <c r="E38" i="70"/>
  <c r="K189" i="74"/>
  <c r="K191" i="74"/>
  <c r="F27" i="74"/>
  <c r="F32" i="74"/>
  <c r="F34" i="74" s="1"/>
  <c r="G70" i="74"/>
  <c r="H15" i="74"/>
  <c r="G198" i="74"/>
  <c r="G94" i="74"/>
  <c r="G123" i="74"/>
  <c r="G140" i="74"/>
  <c r="G44" i="74"/>
  <c r="G87" i="74"/>
  <c r="H119" i="74"/>
  <c r="H106" i="74"/>
  <c r="E34" i="71"/>
  <c r="K118" i="74"/>
  <c r="K88" i="74" s="1"/>
  <c r="I88" i="74"/>
  <c r="H58" i="74"/>
  <c r="G151" i="74"/>
  <c r="J39" i="71"/>
  <c r="F4" i="73"/>
  <c r="E16" i="70"/>
  <c r="F4" i="71"/>
  <c r="H88" i="74"/>
  <c r="H21" i="74"/>
  <c r="H20" i="74"/>
  <c r="I18" i="74"/>
  <c r="K37" i="71"/>
  <c r="G100" i="74"/>
  <c r="G20" i="74"/>
  <c r="G22" i="74"/>
  <c r="G21" i="74"/>
  <c r="F33" i="71"/>
  <c r="J37" i="71"/>
  <c r="G95" i="74"/>
  <c r="G124" i="74"/>
  <c r="G141" i="74"/>
  <c r="H16" i="74"/>
  <c r="G199" i="74"/>
  <c r="H13" i="71"/>
  <c r="H14" i="71" s="1"/>
  <c r="H110" i="74"/>
  <c r="F32" i="71"/>
  <c r="E15" i="70"/>
  <c r="F60" i="74"/>
  <c r="F67" i="74" s="1"/>
  <c r="F3" i="71"/>
  <c r="D32" i="74"/>
  <c r="D34" i="74" s="1"/>
  <c r="G107" i="74" l="1"/>
  <c r="G31" i="74" s="1"/>
  <c r="G74" i="74" s="1"/>
  <c r="H152" i="74"/>
  <c r="G153" i="74"/>
  <c r="G49" i="69"/>
  <c r="H96" i="69"/>
  <c r="H99" i="69" s="1"/>
  <c r="J87" i="64"/>
  <c r="K117" i="64"/>
  <c r="K87" i="64" s="1"/>
  <c r="D41" i="76"/>
  <c r="D29" i="76"/>
  <c r="H22" i="64"/>
  <c r="G106" i="69"/>
  <c r="G30" i="69" s="1"/>
  <c r="G73" i="69" s="1"/>
  <c r="H140" i="69"/>
  <c r="I15" i="69"/>
  <c r="F67" i="70"/>
  <c r="I87" i="70"/>
  <c r="J119" i="70"/>
  <c r="I208" i="70"/>
  <c r="K48" i="64"/>
  <c r="E32" i="74"/>
  <c r="E34" i="74" s="1"/>
  <c r="E27" i="74"/>
  <c r="K48" i="69"/>
  <c r="K55" i="64"/>
  <c r="D29" i="70"/>
  <c r="D41" i="70"/>
  <c r="E124" i="74"/>
  <c r="I14" i="71"/>
  <c r="K177" i="70"/>
  <c r="K39" i="70" s="1"/>
  <c r="K191" i="70"/>
  <c r="K189" i="70"/>
  <c r="F151" i="64"/>
  <c r="G151" i="64" s="1"/>
  <c r="E141" i="74"/>
  <c r="H70" i="69"/>
  <c r="K58" i="64"/>
  <c r="K58" i="69"/>
  <c r="K78" i="69" s="1"/>
  <c r="E95" i="74"/>
  <c r="E199" i="74"/>
  <c r="D16" i="74"/>
  <c r="H44" i="69"/>
  <c r="K48" i="68"/>
  <c r="K97" i="64"/>
  <c r="K81" i="64" s="1"/>
  <c r="K82" i="64" s="1"/>
  <c r="J81" i="64"/>
  <c r="J82" i="64" s="1"/>
  <c r="K97" i="69"/>
  <c r="K81" i="69" s="1"/>
  <c r="K82" i="69" s="1"/>
  <c r="J81" i="69"/>
  <c r="J82" i="69" s="1"/>
  <c r="J37" i="77"/>
  <c r="G13" i="77"/>
  <c r="G14" i="77" s="1"/>
  <c r="H37" i="77"/>
  <c r="G37" i="77"/>
  <c r="H27" i="77"/>
  <c r="G27" i="77"/>
  <c r="J40" i="77"/>
  <c r="K40" i="77" s="1"/>
  <c r="I11" i="77"/>
  <c r="I51" i="74"/>
  <c r="I113" i="74" s="1"/>
  <c r="G51" i="70"/>
  <c r="K55" i="68"/>
  <c r="K50" i="68"/>
  <c r="K54" i="68"/>
  <c r="I32" i="68"/>
  <c r="H74" i="68"/>
  <c r="K57" i="68"/>
  <c r="K84" i="68" s="1"/>
  <c r="K88" i="68" s="1"/>
  <c r="J84" i="68"/>
  <c r="J88" i="68" s="1"/>
  <c r="F66" i="68"/>
  <c r="H61" i="68"/>
  <c r="H15" i="67"/>
  <c r="I15" i="67" s="1"/>
  <c r="G44" i="67"/>
  <c r="E66" i="67"/>
  <c r="F66" i="67"/>
  <c r="E44" i="74"/>
  <c r="E140" i="74"/>
  <c r="E123" i="74"/>
  <c r="E198" i="74"/>
  <c r="E94" i="74"/>
  <c r="D15" i="74"/>
  <c r="G70" i="70"/>
  <c r="G173" i="70"/>
  <c r="G123" i="70"/>
  <c r="G94" i="70"/>
  <c r="G198" i="70"/>
  <c r="H15" i="70"/>
  <c r="G140" i="70"/>
  <c r="D14" i="64"/>
  <c r="E122" i="64"/>
  <c r="E139" i="64"/>
  <c r="E93" i="64"/>
  <c r="E43" i="64"/>
  <c r="D122" i="69"/>
  <c r="G69" i="69"/>
  <c r="G139" i="69"/>
  <c r="G43" i="69"/>
  <c r="G93" i="69"/>
  <c r="H14" i="69"/>
  <c r="G122" i="69"/>
  <c r="E140" i="69"/>
  <c r="E94" i="69"/>
  <c r="E44" i="69"/>
  <c r="E43" i="68"/>
  <c r="D14" i="68"/>
  <c r="J16" i="78"/>
  <c r="J96" i="78" s="1"/>
  <c r="I240" i="78"/>
  <c r="I45" i="78"/>
  <c r="I72" i="78"/>
  <c r="I190" i="78"/>
  <c r="I270" i="78"/>
  <c r="I141" i="78"/>
  <c r="I207" i="78"/>
  <c r="G146" i="78"/>
  <c r="H143" i="78" s="1"/>
  <c r="C162" i="78"/>
  <c r="H160" i="78"/>
  <c r="H166" i="78" s="1"/>
  <c r="H145" i="78" s="1"/>
  <c r="H148" i="78" s="1"/>
  <c r="I206" i="78"/>
  <c r="J15" i="78"/>
  <c r="J95" i="78" s="1"/>
  <c r="I239" i="78"/>
  <c r="I71" i="78"/>
  <c r="I44" i="78"/>
  <c r="I269" i="78"/>
  <c r="I140" i="78"/>
  <c r="I189" i="78"/>
  <c r="J59" i="78"/>
  <c r="I86" i="78"/>
  <c r="I217" i="78"/>
  <c r="I219" i="78" s="1"/>
  <c r="D274" i="78"/>
  <c r="D277" i="78"/>
  <c r="K279" i="78"/>
  <c r="K88" i="78"/>
  <c r="K218" i="78"/>
  <c r="E181" i="78"/>
  <c r="E186" i="78" s="1"/>
  <c r="E272" i="78"/>
  <c r="F208" i="76"/>
  <c r="F211" i="76"/>
  <c r="J102" i="76"/>
  <c r="I99" i="76"/>
  <c r="E41" i="76"/>
  <c r="E29" i="76"/>
  <c r="J106" i="76"/>
  <c r="K156" i="76"/>
  <c r="I213" i="76"/>
  <c r="I87" i="76"/>
  <c r="J119" i="76"/>
  <c r="I85" i="76"/>
  <c r="J58" i="76"/>
  <c r="I151" i="76"/>
  <c r="I153" i="76" s="1"/>
  <c r="J88" i="76"/>
  <c r="K118" i="76"/>
  <c r="K88" i="76" s="1"/>
  <c r="J152" i="76"/>
  <c r="H100" i="76"/>
  <c r="I37" i="77"/>
  <c r="H173" i="76"/>
  <c r="H3" i="77"/>
  <c r="H203" i="76"/>
  <c r="H44" i="76"/>
  <c r="I15" i="76"/>
  <c r="H123" i="76"/>
  <c r="H140" i="76"/>
  <c r="H94" i="76"/>
  <c r="H70" i="76"/>
  <c r="D203" i="76"/>
  <c r="D3" i="77"/>
  <c r="D123" i="76"/>
  <c r="D140" i="76"/>
  <c r="D94" i="76"/>
  <c r="H71" i="76"/>
  <c r="H4" i="77"/>
  <c r="H204" i="76"/>
  <c r="H45" i="76"/>
  <c r="H174" i="76"/>
  <c r="I16" i="76"/>
  <c r="H124" i="76"/>
  <c r="H141" i="76"/>
  <c r="H95" i="76"/>
  <c r="K37" i="77"/>
  <c r="J17" i="64"/>
  <c r="I20" i="64"/>
  <c r="I19" i="64"/>
  <c r="I21" i="64"/>
  <c r="D141" i="74"/>
  <c r="D124" i="74"/>
  <c r="D95" i="74"/>
  <c r="D199" i="74"/>
  <c r="I99" i="74"/>
  <c r="J102" i="74"/>
  <c r="H78" i="64"/>
  <c r="G84" i="69"/>
  <c r="H57" i="69"/>
  <c r="I15" i="64"/>
  <c r="H70" i="64"/>
  <c r="H94" i="64"/>
  <c r="H44" i="64"/>
  <c r="H123" i="64"/>
  <c r="H140" i="64"/>
  <c r="E28" i="68"/>
  <c r="E40" i="68"/>
  <c r="J18" i="74"/>
  <c r="I21" i="74"/>
  <c r="I20" i="74"/>
  <c r="I22" i="74"/>
  <c r="H98" i="64"/>
  <c r="I101" i="64"/>
  <c r="H104" i="64"/>
  <c r="H110" i="64" s="1"/>
  <c r="H111" i="64" s="1"/>
  <c r="H77" i="64" s="1"/>
  <c r="I105" i="64"/>
  <c r="J74" i="64"/>
  <c r="K32" i="64"/>
  <c r="K74" i="64" s="1"/>
  <c r="I84" i="64"/>
  <c r="J57" i="64"/>
  <c r="I150" i="64"/>
  <c r="H18" i="69"/>
  <c r="H22" i="69"/>
  <c r="I109" i="64"/>
  <c r="I88" i="70"/>
  <c r="J118" i="70"/>
  <c r="J61" i="64"/>
  <c r="H20" i="68"/>
  <c r="H19" i="68"/>
  <c r="I17" i="68"/>
  <c r="H21" i="68"/>
  <c r="H19" i="74"/>
  <c r="H23" i="74"/>
  <c r="I106" i="70"/>
  <c r="I20" i="69"/>
  <c r="I21" i="69"/>
  <c r="J17" i="69"/>
  <c r="I19" i="69"/>
  <c r="J50" i="64"/>
  <c r="I112" i="64"/>
  <c r="I112" i="69"/>
  <c r="J50" i="69"/>
  <c r="H104" i="69"/>
  <c r="I105" i="69"/>
  <c r="J46" i="68"/>
  <c r="E4" i="73"/>
  <c r="E4" i="71"/>
  <c r="D16" i="70"/>
  <c r="E95" i="70"/>
  <c r="E124" i="70"/>
  <c r="E141" i="70"/>
  <c r="E45" i="70"/>
  <c r="E199" i="70"/>
  <c r="I106" i="74"/>
  <c r="H105" i="74"/>
  <c r="H111" i="74" s="1"/>
  <c r="H112" i="74" s="1"/>
  <c r="H78" i="74" s="1"/>
  <c r="H95" i="74"/>
  <c r="I16" i="74"/>
  <c r="H45" i="74"/>
  <c r="H174" i="74"/>
  <c r="H71" i="74"/>
  <c r="H199" i="74"/>
  <c r="H124" i="74"/>
  <c r="H141" i="74"/>
  <c r="H151" i="74"/>
  <c r="I58" i="74"/>
  <c r="H85" i="74"/>
  <c r="H87" i="74"/>
  <c r="I119" i="74"/>
  <c r="H94" i="74"/>
  <c r="H123" i="74"/>
  <c r="H140" i="74"/>
  <c r="H70" i="74"/>
  <c r="I15" i="74"/>
  <c r="H44" i="74"/>
  <c r="H198" i="74"/>
  <c r="H173" i="74"/>
  <c r="I62" i="74"/>
  <c r="J152" i="70"/>
  <c r="G18" i="64"/>
  <c r="G22" i="64"/>
  <c r="G18" i="69"/>
  <c r="G22" i="69"/>
  <c r="J46" i="69"/>
  <c r="H49" i="69"/>
  <c r="I96" i="69"/>
  <c r="E40" i="67"/>
  <c r="E28" i="67"/>
  <c r="E116" i="67" s="1"/>
  <c r="I109" i="69"/>
  <c r="J32" i="69"/>
  <c r="I74" i="69"/>
  <c r="G85" i="70"/>
  <c r="G151" i="70"/>
  <c r="H58" i="70"/>
  <c r="E27" i="70"/>
  <c r="E32" i="70"/>
  <c r="E34" i="70" s="1"/>
  <c r="F27" i="70"/>
  <c r="F32" i="70"/>
  <c r="F34" i="70" s="1"/>
  <c r="H4" i="73"/>
  <c r="I16" i="70"/>
  <c r="H45" i="70"/>
  <c r="H199" i="70"/>
  <c r="H4" i="71"/>
  <c r="H141" i="70"/>
  <c r="H71" i="70"/>
  <c r="H95" i="70"/>
  <c r="H174" i="70"/>
  <c r="H124" i="70"/>
  <c r="H99" i="70"/>
  <c r="I102" i="70"/>
  <c r="I79" i="74"/>
  <c r="K183" i="70"/>
  <c r="K181" i="70"/>
  <c r="K37" i="70"/>
  <c r="K98" i="70" s="1"/>
  <c r="K82" i="70" s="1"/>
  <c r="K83" i="70" s="1"/>
  <c r="I98" i="69"/>
  <c r="J101" i="69"/>
  <c r="D40" i="64"/>
  <c r="D28" i="64"/>
  <c r="D116" i="64" s="1"/>
  <c r="H43" i="68"/>
  <c r="I14" i="68"/>
  <c r="H69" i="68"/>
  <c r="H61" i="69"/>
  <c r="I14" i="67"/>
  <c r="H43" i="67"/>
  <c r="H93" i="67"/>
  <c r="H69" i="67"/>
  <c r="H153" i="74"/>
  <c r="I152" i="74"/>
  <c r="G100" i="70"/>
  <c r="I75" i="74"/>
  <c r="J33" i="74"/>
  <c r="G49" i="64"/>
  <c r="H96" i="64"/>
  <c r="D140" i="69"/>
  <c r="D123" i="69"/>
  <c r="D94" i="69"/>
  <c r="H86" i="69"/>
  <c r="I118" i="69"/>
  <c r="E93" i="67"/>
  <c r="E43" i="67"/>
  <c r="D14" i="67"/>
  <c r="D93" i="67" s="1"/>
  <c r="F40" i="67"/>
  <c r="F28" i="67"/>
  <c r="F116" i="67" s="1"/>
  <c r="G19" i="74"/>
  <c r="G23" i="74"/>
  <c r="E3" i="73"/>
  <c r="E3" i="71"/>
  <c r="E94" i="70"/>
  <c r="E123" i="70"/>
  <c r="D15" i="70"/>
  <c r="E44" i="70"/>
  <c r="E140" i="70"/>
  <c r="E198" i="70"/>
  <c r="G50" i="74"/>
  <c r="H97" i="74"/>
  <c r="H100" i="74" s="1"/>
  <c r="F41" i="74"/>
  <c r="F29" i="74"/>
  <c r="F117" i="74" s="1"/>
  <c r="I47" i="74"/>
  <c r="H18" i="64"/>
  <c r="D123" i="64"/>
  <c r="D140" i="64"/>
  <c r="D94" i="64"/>
  <c r="H86" i="64"/>
  <c r="I118" i="64"/>
  <c r="J46" i="64"/>
  <c r="E94" i="67"/>
  <c r="E44" i="67"/>
  <c r="D15" i="67"/>
  <c r="D94" i="67" s="1"/>
  <c r="H44" i="68"/>
  <c r="H70" i="68"/>
  <c r="I15" i="68"/>
  <c r="G22" i="68"/>
  <c r="G18" i="68"/>
  <c r="J15" i="69"/>
  <c r="I140" i="69"/>
  <c r="I94" i="69"/>
  <c r="I123" i="69"/>
  <c r="I44" i="69"/>
  <c r="I70" i="69"/>
  <c r="G37" i="78" l="1"/>
  <c r="G37" i="79"/>
  <c r="G37" i="76"/>
  <c r="G55" i="76" s="1"/>
  <c r="G33" i="78"/>
  <c r="G152" i="64"/>
  <c r="H151" i="64"/>
  <c r="D218" i="70"/>
  <c r="D201" i="70"/>
  <c r="D117" i="70"/>
  <c r="J11" i="77"/>
  <c r="K11" i="77" s="1"/>
  <c r="E41" i="74"/>
  <c r="E29" i="74"/>
  <c r="E117" i="74" s="1"/>
  <c r="K13" i="71"/>
  <c r="J13" i="71"/>
  <c r="J14" i="71" s="1"/>
  <c r="J87" i="70"/>
  <c r="J208" i="70"/>
  <c r="K119" i="70"/>
  <c r="H94" i="67"/>
  <c r="H44" i="67"/>
  <c r="D206" i="76"/>
  <c r="D117" i="76"/>
  <c r="H70" i="67"/>
  <c r="I99" i="69"/>
  <c r="H99" i="64"/>
  <c r="H14" i="77"/>
  <c r="H37" i="76" s="1"/>
  <c r="J51" i="74"/>
  <c r="J113" i="74" s="1"/>
  <c r="G18" i="70"/>
  <c r="G20" i="70" s="1"/>
  <c r="I74" i="68"/>
  <c r="J32" i="68"/>
  <c r="I61" i="68"/>
  <c r="H64" i="68"/>
  <c r="G66" i="67"/>
  <c r="G47" i="70"/>
  <c r="H47" i="70" s="1"/>
  <c r="G49" i="70"/>
  <c r="H49" i="70" s="1"/>
  <c r="I49" i="70" s="1"/>
  <c r="J49" i="70" s="1"/>
  <c r="K49" i="70" s="1"/>
  <c r="G33" i="70"/>
  <c r="G209" i="70" s="1"/>
  <c r="G59" i="70"/>
  <c r="G55" i="70"/>
  <c r="H55" i="70" s="1"/>
  <c r="I55" i="70" s="1"/>
  <c r="J55" i="70" s="1"/>
  <c r="K55" i="70" s="1"/>
  <c r="G56" i="70"/>
  <c r="H56" i="70" s="1"/>
  <c r="I56" i="70" s="1"/>
  <c r="J56" i="70" s="1"/>
  <c r="K56" i="70" s="1"/>
  <c r="D94" i="74"/>
  <c r="D123" i="74"/>
  <c r="D140" i="74"/>
  <c r="D198" i="74"/>
  <c r="H173" i="70"/>
  <c r="H70" i="70"/>
  <c r="H123" i="70"/>
  <c r="H94" i="70"/>
  <c r="H198" i="70"/>
  <c r="H140" i="70"/>
  <c r="H44" i="70"/>
  <c r="I15" i="70"/>
  <c r="H3" i="71"/>
  <c r="H3" i="73"/>
  <c r="D122" i="64"/>
  <c r="D139" i="64"/>
  <c r="D93" i="64"/>
  <c r="I14" i="69"/>
  <c r="H69" i="69"/>
  <c r="H139" i="69"/>
  <c r="H43" i="69"/>
  <c r="H122" i="69"/>
  <c r="H93" i="69"/>
  <c r="G51" i="78"/>
  <c r="J189" i="78"/>
  <c r="J72" i="78"/>
  <c r="J71" i="78"/>
  <c r="J141" i="78"/>
  <c r="J207" i="78"/>
  <c r="J45" i="78"/>
  <c r="J190" i="78"/>
  <c r="J140" i="78"/>
  <c r="J160" i="78" s="1"/>
  <c r="J240" i="78"/>
  <c r="J44" i="78"/>
  <c r="J270" i="78"/>
  <c r="K16" i="78"/>
  <c r="K96" i="78" s="1"/>
  <c r="J269" i="78"/>
  <c r="C163" i="78"/>
  <c r="I160" i="78"/>
  <c r="I166" i="78" s="1"/>
  <c r="I145" i="78" s="1"/>
  <c r="I148" i="78" s="1"/>
  <c r="K15" i="78"/>
  <c r="K95" i="78" s="1"/>
  <c r="J206" i="78"/>
  <c r="H146" i="78"/>
  <c r="J239" i="78"/>
  <c r="K59" i="78"/>
  <c r="J86" i="78"/>
  <c r="J217" i="78"/>
  <c r="J219" i="78" s="1"/>
  <c r="E274" i="78"/>
  <c r="E277" i="78"/>
  <c r="I4" i="77"/>
  <c r="J16" i="76"/>
  <c r="I204" i="76"/>
  <c r="I174" i="76"/>
  <c r="I71" i="76"/>
  <c r="I124" i="76"/>
  <c r="I45" i="76"/>
  <c r="I141" i="76"/>
  <c r="I95" i="76"/>
  <c r="E206" i="76"/>
  <c r="E117" i="76"/>
  <c r="K152" i="76"/>
  <c r="K102" i="76"/>
  <c r="J213" i="76"/>
  <c r="J87" i="76"/>
  <c r="K119" i="76"/>
  <c r="J151" i="76"/>
  <c r="J153" i="76" s="1"/>
  <c r="J85" i="76"/>
  <c r="K58" i="76"/>
  <c r="I3" i="77"/>
  <c r="I203" i="76"/>
  <c r="I123" i="76"/>
  <c r="I44" i="76"/>
  <c r="I173" i="76"/>
  <c r="I140" i="76"/>
  <c r="I94" i="76"/>
  <c r="I70" i="76"/>
  <c r="J15" i="76"/>
  <c r="I97" i="76"/>
  <c r="I100" i="76" s="1"/>
  <c r="H50" i="76"/>
  <c r="K106" i="76"/>
  <c r="G47" i="68"/>
  <c r="G53" i="68"/>
  <c r="G54" i="74"/>
  <c r="G48" i="74"/>
  <c r="G26" i="68"/>
  <c r="G31" i="68"/>
  <c r="G33" i="68" s="1"/>
  <c r="K46" i="64"/>
  <c r="J47" i="74"/>
  <c r="D3" i="71"/>
  <c r="D3" i="73"/>
  <c r="D94" i="70"/>
  <c r="D198" i="70"/>
  <c r="D140" i="70"/>
  <c r="D123" i="70"/>
  <c r="J75" i="74"/>
  <c r="K33" i="74"/>
  <c r="J96" i="69"/>
  <c r="I49" i="69"/>
  <c r="J109" i="69"/>
  <c r="J106" i="70"/>
  <c r="H18" i="68"/>
  <c r="H22" i="68"/>
  <c r="I57" i="69"/>
  <c r="H84" i="69"/>
  <c r="I94" i="67"/>
  <c r="J15" i="67"/>
  <c r="I44" i="67"/>
  <c r="I70" i="67"/>
  <c r="K79" i="74"/>
  <c r="J79" i="74"/>
  <c r="K46" i="69"/>
  <c r="H106" i="64"/>
  <c r="H30" i="64" s="1"/>
  <c r="H73" i="64" s="1"/>
  <c r="J15" i="68"/>
  <c r="I70" i="68"/>
  <c r="I44" i="68"/>
  <c r="K101" i="69"/>
  <c r="K98" i="69" s="1"/>
  <c r="J98" i="69"/>
  <c r="K152" i="70"/>
  <c r="I98" i="64"/>
  <c r="J101" i="64"/>
  <c r="H50" i="74"/>
  <c r="I97" i="74"/>
  <c r="I100" i="74" s="1"/>
  <c r="H97" i="70"/>
  <c r="H100" i="70" s="1"/>
  <c r="G50" i="70"/>
  <c r="I69" i="67"/>
  <c r="J14" i="67"/>
  <c r="I43" i="67"/>
  <c r="I93" i="67"/>
  <c r="I61" i="69"/>
  <c r="E29" i="70"/>
  <c r="E218" i="70" s="1"/>
  <c r="F219" i="70" s="1"/>
  <c r="E41" i="70"/>
  <c r="J62" i="74"/>
  <c r="J109" i="64"/>
  <c r="K61" i="64"/>
  <c r="H51" i="70"/>
  <c r="G113" i="70"/>
  <c r="J150" i="64"/>
  <c r="J84" i="64"/>
  <c r="K57" i="64"/>
  <c r="I19" i="74"/>
  <c r="I23" i="74"/>
  <c r="I78" i="64"/>
  <c r="J110" i="74"/>
  <c r="J44" i="69"/>
  <c r="K15" i="69"/>
  <c r="J94" i="69"/>
  <c r="J123" i="69"/>
  <c r="J140" i="69"/>
  <c r="J70" i="69"/>
  <c r="I96" i="64"/>
  <c r="H49" i="64"/>
  <c r="I99" i="70"/>
  <c r="J102" i="70"/>
  <c r="G31" i="69"/>
  <c r="G33" i="69" s="1"/>
  <c r="I94" i="74"/>
  <c r="I123" i="74"/>
  <c r="J15" i="74"/>
  <c r="I44" i="74"/>
  <c r="I173" i="74"/>
  <c r="I70" i="74"/>
  <c r="I198" i="74"/>
  <c r="I140" i="74"/>
  <c r="J58" i="74"/>
  <c r="I85" i="74"/>
  <c r="I151" i="74"/>
  <c r="I71" i="74"/>
  <c r="J16" i="74"/>
  <c r="I45" i="74"/>
  <c r="I174" i="74"/>
  <c r="I95" i="74"/>
  <c r="I199" i="74"/>
  <c r="I124" i="74"/>
  <c r="I141" i="74"/>
  <c r="K46" i="68"/>
  <c r="K50" i="64"/>
  <c r="K112" i="64" s="1"/>
  <c r="J112" i="64"/>
  <c r="K118" i="70"/>
  <c r="K88" i="70" s="1"/>
  <c r="J88" i="70"/>
  <c r="J99" i="74"/>
  <c r="K102" i="74"/>
  <c r="K99" i="74" s="1"/>
  <c r="I18" i="64"/>
  <c r="I22" i="64"/>
  <c r="F29" i="70"/>
  <c r="F218" i="70" s="1"/>
  <c r="F41" i="70"/>
  <c r="I87" i="74"/>
  <c r="J119" i="74"/>
  <c r="J14" i="68"/>
  <c r="I43" i="68"/>
  <c r="I69" i="68"/>
  <c r="I58" i="70"/>
  <c r="H85" i="70"/>
  <c r="H151" i="70"/>
  <c r="G53" i="69"/>
  <c r="G47" i="69"/>
  <c r="D4" i="73"/>
  <c r="D4" i="71"/>
  <c r="D95" i="70"/>
  <c r="D124" i="70"/>
  <c r="D141" i="70"/>
  <c r="D199" i="70"/>
  <c r="I104" i="69"/>
  <c r="I110" i="69" s="1"/>
  <c r="I111" i="69" s="1"/>
  <c r="I77" i="69" s="1"/>
  <c r="J105" i="69"/>
  <c r="I22" i="69"/>
  <c r="I18" i="69"/>
  <c r="K18" i="74"/>
  <c r="J22" i="74"/>
  <c r="J20" i="74"/>
  <c r="J21" i="74"/>
  <c r="I86" i="64"/>
  <c r="J118" i="64"/>
  <c r="K32" i="69"/>
  <c r="K74" i="69" s="1"/>
  <c r="J74" i="69"/>
  <c r="G32" i="74"/>
  <c r="G34" i="74" s="1"/>
  <c r="I86" i="69"/>
  <c r="J118" i="69"/>
  <c r="I153" i="74"/>
  <c r="J152" i="74"/>
  <c r="J16" i="70"/>
  <c r="I4" i="71"/>
  <c r="I95" i="70"/>
  <c r="I45" i="70"/>
  <c r="I199" i="70"/>
  <c r="I71" i="70"/>
  <c r="I174" i="70"/>
  <c r="I124" i="70"/>
  <c r="I4" i="73"/>
  <c r="I141" i="70"/>
  <c r="G153" i="70"/>
  <c r="G31" i="64"/>
  <c r="G33" i="64" s="1"/>
  <c r="H110" i="69"/>
  <c r="H111" i="69" s="1"/>
  <c r="H77" i="69" s="1"/>
  <c r="H106" i="69"/>
  <c r="H30" i="69" s="1"/>
  <c r="H73" i="69" s="1"/>
  <c r="J21" i="69"/>
  <c r="K17" i="69"/>
  <c r="J19" i="69"/>
  <c r="J20" i="69"/>
  <c r="J15" i="64"/>
  <c r="I70" i="64"/>
  <c r="I94" i="64"/>
  <c r="I123" i="64"/>
  <c r="I140" i="64"/>
  <c r="I44" i="64"/>
  <c r="J21" i="64"/>
  <c r="K17" i="64"/>
  <c r="J19" i="64"/>
  <c r="J20" i="64"/>
  <c r="G53" i="64"/>
  <c r="G47" i="64"/>
  <c r="I105" i="74"/>
  <c r="I111" i="74" s="1"/>
  <c r="I112" i="74" s="1"/>
  <c r="I78" i="74" s="1"/>
  <c r="J106" i="74"/>
  <c r="J112" i="69"/>
  <c r="K50" i="69"/>
  <c r="K112" i="69" s="1"/>
  <c r="J17" i="68"/>
  <c r="I20" i="68"/>
  <c r="I19" i="68"/>
  <c r="I21" i="68"/>
  <c r="I104" i="64"/>
  <c r="I110" i="64" s="1"/>
  <c r="I111" i="64" s="1"/>
  <c r="I77" i="64" s="1"/>
  <c r="J105" i="64"/>
  <c r="H107" i="74"/>
  <c r="H31" i="74" s="1"/>
  <c r="H74" i="74" s="1"/>
  <c r="G202" i="70" l="1"/>
  <c r="G205" i="70" s="1"/>
  <c r="K14" i="71"/>
  <c r="D211" i="76"/>
  <c r="D208" i="76"/>
  <c r="K208" i="70"/>
  <c r="K87" i="70"/>
  <c r="H31" i="69"/>
  <c r="H33" i="69" s="1"/>
  <c r="D203" i="70"/>
  <c r="D206" i="70"/>
  <c r="E219" i="70"/>
  <c r="H152" i="64"/>
  <c r="I151" i="64"/>
  <c r="G60" i="79"/>
  <c r="G80" i="79" s="1"/>
  <c r="H37" i="78"/>
  <c r="H107" i="78" s="1"/>
  <c r="G49" i="76"/>
  <c r="G56" i="76"/>
  <c r="G59" i="76"/>
  <c r="G79" i="76" s="1"/>
  <c r="G33" i="76"/>
  <c r="G214" i="76" s="1"/>
  <c r="G207" i="76" s="1"/>
  <c r="G210" i="76" s="1"/>
  <c r="G51" i="76"/>
  <c r="G113" i="76" s="1"/>
  <c r="H110" i="76" s="1"/>
  <c r="G18" i="76"/>
  <c r="G20" i="76" s="1"/>
  <c r="G19" i="76" s="1"/>
  <c r="G47" i="76"/>
  <c r="G18" i="78"/>
  <c r="G21" i="78" s="1"/>
  <c r="G107" i="78"/>
  <c r="G56" i="78"/>
  <c r="G49" i="78"/>
  <c r="G57" i="78"/>
  <c r="H37" i="79"/>
  <c r="G50" i="79"/>
  <c r="G18" i="79"/>
  <c r="G52" i="78"/>
  <c r="G177" i="78" s="1"/>
  <c r="G134" i="78"/>
  <c r="G33" i="79"/>
  <c r="G76" i="79" s="1"/>
  <c r="G56" i="79"/>
  <c r="G49" i="79"/>
  <c r="G57" i="79"/>
  <c r="G52" i="79"/>
  <c r="G177" i="79" s="1"/>
  <c r="H174" i="79" s="1"/>
  <c r="G134" i="79"/>
  <c r="G60" i="78"/>
  <c r="G50" i="78"/>
  <c r="H33" i="70"/>
  <c r="H209" i="70" s="1"/>
  <c r="H214" i="70" s="1"/>
  <c r="K51" i="74"/>
  <c r="K113" i="74" s="1"/>
  <c r="K75" i="74"/>
  <c r="H18" i="70"/>
  <c r="H22" i="70" s="1"/>
  <c r="G21" i="70"/>
  <c r="G105" i="70"/>
  <c r="G111" i="70" s="1"/>
  <c r="G112" i="70" s="1"/>
  <c r="G78" i="70" s="1"/>
  <c r="G22" i="70"/>
  <c r="J61" i="68"/>
  <c r="I64" i="68"/>
  <c r="K32" i="68"/>
  <c r="K74" i="68" s="1"/>
  <c r="J74" i="68"/>
  <c r="G75" i="70"/>
  <c r="G62" i="70"/>
  <c r="H59" i="70"/>
  <c r="G79" i="70"/>
  <c r="I3" i="71"/>
  <c r="I70" i="70"/>
  <c r="I44" i="70"/>
  <c r="I94" i="70"/>
  <c r="I3" i="73"/>
  <c r="I123" i="70"/>
  <c r="I198" i="70"/>
  <c r="I140" i="70"/>
  <c r="J15" i="70"/>
  <c r="I173" i="70"/>
  <c r="J14" i="69"/>
  <c r="I122" i="69"/>
  <c r="I69" i="69"/>
  <c r="I93" i="69"/>
  <c r="I139" i="69"/>
  <c r="I43" i="69"/>
  <c r="K270" i="78"/>
  <c r="K190" i="78"/>
  <c r="C164" i="78"/>
  <c r="K207" i="78"/>
  <c r="K72" i="78"/>
  <c r="K141" i="78"/>
  <c r="K45" i="78"/>
  <c r="K240" i="78"/>
  <c r="K269" i="78"/>
  <c r="K239" i="78"/>
  <c r="K44" i="78"/>
  <c r="K140" i="78"/>
  <c r="C165" i="78" s="1"/>
  <c r="K71" i="78"/>
  <c r="K189" i="78"/>
  <c r="K206" i="78"/>
  <c r="I143" i="78"/>
  <c r="I146" i="78" s="1"/>
  <c r="H51" i="78"/>
  <c r="K86" i="78"/>
  <c r="K217" i="78"/>
  <c r="K219" i="78" s="1"/>
  <c r="G280" i="78"/>
  <c r="G273" i="78" s="1"/>
  <c r="G76" i="78"/>
  <c r="G63" i="78"/>
  <c r="E208" i="76"/>
  <c r="E211" i="76"/>
  <c r="K85" i="76"/>
  <c r="K151" i="76"/>
  <c r="J204" i="76"/>
  <c r="J45" i="76"/>
  <c r="J141" i="76"/>
  <c r="J124" i="76"/>
  <c r="J95" i="76"/>
  <c r="J174" i="76"/>
  <c r="K16" i="76"/>
  <c r="J4" i="77"/>
  <c r="J71" i="76"/>
  <c r="K153" i="76"/>
  <c r="J3" i="77"/>
  <c r="J203" i="76"/>
  <c r="J44" i="76"/>
  <c r="J70" i="76"/>
  <c r="J173" i="76"/>
  <c r="J140" i="76"/>
  <c r="J94" i="76"/>
  <c r="J123" i="76"/>
  <c r="K15" i="76"/>
  <c r="K213" i="76"/>
  <c r="K87" i="76"/>
  <c r="J97" i="76"/>
  <c r="I50" i="76"/>
  <c r="K109" i="69"/>
  <c r="J61" i="69"/>
  <c r="J105" i="74"/>
  <c r="J111" i="74" s="1"/>
  <c r="J112" i="74" s="1"/>
  <c r="J78" i="74" s="1"/>
  <c r="K106" i="74"/>
  <c r="K105" i="74" s="1"/>
  <c r="K111" i="74" s="1"/>
  <c r="K109" i="64"/>
  <c r="K152" i="74"/>
  <c r="J58" i="70"/>
  <c r="I85" i="70"/>
  <c r="I151" i="70"/>
  <c r="I153" i="70" s="1"/>
  <c r="K111" i="64"/>
  <c r="K77" i="64" s="1"/>
  <c r="J99" i="70"/>
  <c r="K102" i="70"/>
  <c r="K99" i="70" s="1"/>
  <c r="J97" i="74"/>
  <c r="J100" i="74" s="1"/>
  <c r="I50" i="74"/>
  <c r="J98" i="64"/>
  <c r="K101" i="64"/>
  <c r="K98" i="64" s="1"/>
  <c r="K15" i="68"/>
  <c r="J44" i="68"/>
  <c r="J70" i="68"/>
  <c r="K15" i="67"/>
  <c r="J94" i="67"/>
  <c r="J44" i="67"/>
  <c r="J70" i="67"/>
  <c r="H47" i="64"/>
  <c r="G75" i="64"/>
  <c r="K22" i="74"/>
  <c r="K20" i="74"/>
  <c r="K21" i="74"/>
  <c r="F117" i="70"/>
  <c r="F201" i="70"/>
  <c r="F206" i="70" s="1"/>
  <c r="J71" i="74"/>
  <c r="J95" i="74"/>
  <c r="J124" i="74"/>
  <c r="J141" i="74"/>
  <c r="K16" i="74"/>
  <c r="J199" i="74"/>
  <c r="J45" i="74"/>
  <c r="J174" i="74"/>
  <c r="K14" i="67"/>
  <c r="J69" i="67"/>
  <c r="J43" i="67"/>
  <c r="J93" i="67"/>
  <c r="I106" i="64"/>
  <c r="I30" i="64" s="1"/>
  <c r="I73" i="64" s="1"/>
  <c r="G27" i="68"/>
  <c r="G28" i="68" s="1"/>
  <c r="G72" i="68" s="1"/>
  <c r="J4" i="71"/>
  <c r="J4" i="73"/>
  <c r="J95" i="70"/>
  <c r="J45" i="70"/>
  <c r="J124" i="70"/>
  <c r="J174" i="70"/>
  <c r="J199" i="70"/>
  <c r="J71" i="70"/>
  <c r="J141" i="70"/>
  <c r="K16" i="70"/>
  <c r="J23" i="74"/>
  <c r="J19" i="74"/>
  <c r="K84" i="64"/>
  <c r="K150" i="64"/>
  <c r="K106" i="70"/>
  <c r="I18" i="68"/>
  <c r="I22" i="68"/>
  <c r="G76" i="64"/>
  <c r="H53" i="64"/>
  <c r="J22" i="69"/>
  <c r="J18" i="69"/>
  <c r="J86" i="69"/>
  <c r="K118" i="69"/>
  <c r="K86" i="69" s="1"/>
  <c r="J86" i="64"/>
  <c r="K118" i="64"/>
  <c r="K86" i="64" s="1"/>
  <c r="K78" i="64"/>
  <c r="J78" i="64"/>
  <c r="H110" i="70"/>
  <c r="K62" i="74"/>
  <c r="H48" i="74"/>
  <c r="G76" i="74"/>
  <c r="J87" i="74"/>
  <c r="K119" i="74"/>
  <c r="K87" i="74" s="1"/>
  <c r="I47" i="70"/>
  <c r="K21" i="69"/>
  <c r="K19" i="69"/>
  <c r="K20" i="69"/>
  <c r="I31" i="69"/>
  <c r="I33" i="69" s="1"/>
  <c r="J173" i="74"/>
  <c r="J70" i="74"/>
  <c r="K15" i="74"/>
  <c r="J94" i="74"/>
  <c r="J44" i="74"/>
  <c r="J198" i="74"/>
  <c r="J123" i="74"/>
  <c r="J140" i="74"/>
  <c r="K44" i="69"/>
  <c r="K140" i="69"/>
  <c r="K94" i="69"/>
  <c r="K123" i="69"/>
  <c r="K70" i="69"/>
  <c r="I51" i="70"/>
  <c r="H113" i="70"/>
  <c r="J57" i="69"/>
  <c r="I84" i="69"/>
  <c r="J99" i="69"/>
  <c r="K47" i="74"/>
  <c r="H54" i="74"/>
  <c r="G77" i="74"/>
  <c r="J70" i="64"/>
  <c r="J94" i="64"/>
  <c r="J123" i="64"/>
  <c r="J140" i="64"/>
  <c r="K15" i="64"/>
  <c r="J44" i="64"/>
  <c r="K17" i="68"/>
  <c r="J21" i="68"/>
  <c r="J20" i="68"/>
  <c r="J19" i="68"/>
  <c r="H153" i="70"/>
  <c r="I107" i="74"/>
  <c r="I31" i="74" s="1"/>
  <c r="I74" i="74" s="1"/>
  <c r="J104" i="69"/>
  <c r="J110" i="69" s="1"/>
  <c r="J111" i="69" s="1"/>
  <c r="J77" i="69" s="1"/>
  <c r="K105" i="69"/>
  <c r="K104" i="69" s="1"/>
  <c r="K110" i="69" s="1"/>
  <c r="K111" i="69" s="1"/>
  <c r="K77" i="69" s="1"/>
  <c r="H47" i="69"/>
  <c r="G75" i="69"/>
  <c r="I99" i="64"/>
  <c r="E117" i="70"/>
  <c r="E201" i="70"/>
  <c r="E206" i="70" s="1"/>
  <c r="H50" i="70"/>
  <c r="I97" i="70"/>
  <c r="I100" i="70" s="1"/>
  <c r="K110" i="74"/>
  <c r="H31" i="68"/>
  <c r="H33" i="68" s="1"/>
  <c r="H26" i="68"/>
  <c r="G59" i="68"/>
  <c r="H53" i="68"/>
  <c r="G76" i="68"/>
  <c r="K21" i="64"/>
  <c r="K19" i="64"/>
  <c r="K20" i="64"/>
  <c r="K14" i="68"/>
  <c r="J69" i="68"/>
  <c r="J43" i="68"/>
  <c r="J104" i="64"/>
  <c r="J110" i="64" s="1"/>
  <c r="J111" i="64" s="1"/>
  <c r="J77" i="64" s="1"/>
  <c r="K105" i="64"/>
  <c r="K104" i="64" s="1"/>
  <c r="K110" i="64" s="1"/>
  <c r="J22" i="64"/>
  <c r="J18" i="64"/>
  <c r="G19" i="70"/>
  <c r="H53" i="69"/>
  <c r="G76" i="69"/>
  <c r="H32" i="74"/>
  <c r="H34" i="74" s="1"/>
  <c r="J85" i="74"/>
  <c r="K58" i="74"/>
  <c r="J151" i="74"/>
  <c r="J153" i="74" s="1"/>
  <c r="I106" i="69"/>
  <c r="I30" i="69" s="1"/>
  <c r="I73" i="69" s="1"/>
  <c r="H31" i="64"/>
  <c r="H33" i="64" s="1"/>
  <c r="G75" i="68"/>
  <c r="H47" i="68"/>
  <c r="K106" i="64" l="1"/>
  <c r="K30" i="64" s="1"/>
  <c r="K73" i="64" s="1"/>
  <c r="J106" i="64"/>
  <c r="J30" i="64" s="1"/>
  <c r="J73" i="64" s="1"/>
  <c r="I152" i="64"/>
  <c r="J151" i="64"/>
  <c r="G169" i="79"/>
  <c r="G175" i="79" s="1"/>
  <c r="G176" i="79" s="1"/>
  <c r="G79" i="79" s="1"/>
  <c r="H60" i="79"/>
  <c r="H80" i="79" s="1"/>
  <c r="H60" i="78"/>
  <c r="H80" i="78" s="1"/>
  <c r="H33" i="78"/>
  <c r="H280" i="78" s="1"/>
  <c r="H273" i="78" s="1"/>
  <c r="H57" i="78"/>
  <c r="H49" i="78"/>
  <c r="H50" i="78"/>
  <c r="H134" i="78"/>
  <c r="H56" i="78"/>
  <c r="G22" i="76"/>
  <c r="H49" i="79"/>
  <c r="G62" i="76"/>
  <c r="H18" i="76"/>
  <c r="H20" i="76" s="1"/>
  <c r="H19" i="76" s="1"/>
  <c r="G21" i="76"/>
  <c r="H18" i="78"/>
  <c r="H20" i="78" s="1"/>
  <c r="G20" i="78"/>
  <c r="G19" i="78" s="1"/>
  <c r="G101" i="78"/>
  <c r="G47" i="78" s="1"/>
  <c r="G169" i="78"/>
  <c r="G175" i="78" s="1"/>
  <c r="G176" i="78" s="1"/>
  <c r="G79" i="78" s="1"/>
  <c r="G105" i="76"/>
  <c r="G107" i="76" s="1"/>
  <c r="G31" i="76" s="1"/>
  <c r="G74" i="76" s="1"/>
  <c r="G22" i="78"/>
  <c r="G20" i="79"/>
  <c r="G19" i="79" s="1"/>
  <c r="G22" i="79"/>
  <c r="G21" i="79"/>
  <c r="G75" i="76"/>
  <c r="H33" i="79"/>
  <c r="H76" i="79" s="1"/>
  <c r="H57" i="79"/>
  <c r="H50" i="79"/>
  <c r="H56" i="79"/>
  <c r="H18" i="79"/>
  <c r="H134" i="79"/>
  <c r="H33" i="76"/>
  <c r="H75" i="76" s="1"/>
  <c r="H49" i="76"/>
  <c r="H56" i="76"/>
  <c r="H55" i="76"/>
  <c r="H59" i="76"/>
  <c r="H79" i="76" s="1"/>
  <c r="H47" i="76"/>
  <c r="H52" i="78"/>
  <c r="H177" i="78" s="1"/>
  <c r="H51" i="76"/>
  <c r="H113" i="76" s="1"/>
  <c r="I110" i="76" s="1"/>
  <c r="G80" i="78"/>
  <c r="G63" i="79"/>
  <c r="G280" i="79"/>
  <c r="G273" i="79" s="1"/>
  <c r="G276" i="79" s="1"/>
  <c r="H52" i="79"/>
  <c r="H177" i="79" s="1"/>
  <c r="I174" i="79" s="1"/>
  <c r="H202" i="70"/>
  <c r="H205" i="70" s="1"/>
  <c r="H62" i="70"/>
  <c r="I33" i="70"/>
  <c r="I209" i="70" s="1"/>
  <c r="I214" i="70" s="1"/>
  <c r="H75" i="70"/>
  <c r="G214" i="70"/>
  <c r="G215" i="70" s="1"/>
  <c r="H105" i="70"/>
  <c r="H111" i="70" s="1"/>
  <c r="H112" i="70" s="1"/>
  <c r="H78" i="70" s="1"/>
  <c r="H21" i="70"/>
  <c r="H20" i="70"/>
  <c r="H19" i="70" s="1"/>
  <c r="I18" i="70"/>
  <c r="I21" i="70" s="1"/>
  <c r="G23" i="70"/>
  <c r="G107" i="70"/>
  <c r="G31" i="70" s="1"/>
  <c r="G74" i="70" s="1"/>
  <c r="K112" i="74"/>
  <c r="K78" i="74" s="1"/>
  <c r="K61" i="68"/>
  <c r="K64" i="68" s="1"/>
  <c r="J64" i="68"/>
  <c r="I59" i="70"/>
  <c r="H79" i="70"/>
  <c r="J94" i="70"/>
  <c r="K15" i="70"/>
  <c r="J70" i="70"/>
  <c r="J44" i="70"/>
  <c r="J3" i="73"/>
  <c r="J123" i="70"/>
  <c r="J140" i="70"/>
  <c r="J198" i="70"/>
  <c r="J3" i="71"/>
  <c r="J173" i="70"/>
  <c r="J43" i="69"/>
  <c r="J122" i="69"/>
  <c r="J93" i="69"/>
  <c r="J139" i="69"/>
  <c r="J69" i="69"/>
  <c r="K14" i="69"/>
  <c r="K160" i="78"/>
  <c r="J143" i="78"/>
  <c r="I51" i="78"/>
  <c r="H174" i="78"/>
  <c r="G276" i="78"/>
  <c r="G48" i="76"/>
  <c r="G54" i="76"/>
  <c r="K203" i="76"/>
  <c r="K140" i="76"/>
  <c r="K123" i="76"/>
  <c r="K94" i="76"/>
  <c r="K173" i="76"/>
  <c r="K70" i="76"/>
  <c r="K3" i="77"/>
  <c r="K44" i="76"/>
  <c r="K204" i="76"/>
  <c r="K174" i="76"/>
  <c r="K4" i="77"/>
  <c r="K124" i="76"/>
  <c r="K45" i="76"/>
  <c r="K141" i="76"/>
  <c r="K95" i="76"/>
  <c r="K71" i="76"/>
  <c r="I47" i="68"/>
  <c r="H75" i="68"/>
  <c r="F203" i="70"/>
  <c r="I47" i="69"/>
  <c r="H75" i="69"/>
  <c r="J107" i="74"/>
  <c r="J31" i="74" s="1"/>
  <c r="J74" i="74" s="1"/>
  <c r="K97" i="74"/>
  <c r="K100" i="74" s="1"/>
  <c r="K50" i="74" s="1"/>
  <c r="J50" i="74"/>
  <c r="K61" i="69"/>
  <c r="J106" i="69"/>
  <c r="J30" i="69" s="1"/>
  <c r="J73" i="69" s="1"/>
  <c r="K107" i="74"/>
  <c r="K31" i="74" s="1"/>
  <c r="K74" i="74" s="1"/>
  <c r="I113" i="70"/>
  <c r="J51" i="70"/>
  <c r="K93" i="67"/>
  <c r="K43" i="67"/>
  <c r="K69" i="67"/>
  <c r="K44" i="67"/>
  <c r="K70" i="67"/>
  <c r="K94" i="67"/>
  <c r="K151" i="74"/>
  <c r="K85" i="74"/>
  <c r="H27" i="68"/>
  <c r="H28" i="68" s="1"/>
  <c r="H72" i="68" s="1"/>
  <c r="K43" i="68"/>
  <c r="K69" i="68"/>
  <c r="K21" i="68"/>
  <c r="K19" i="68"/>
  <c r="K20" i="68"/>
  <c r="K94" i="74"/>
  <c r="K123" i="74"/>
  <c r="K140" i="74"/>
  <c r="K70" i="74"/>
  <c r="K198" i="74"/>
  <c r="K173" i="74"/>
  <c r="K44" i="74"/>
  <c r="K199" i="74"/>
  <c r="K95" i="74"/>
  <c r="K124" i="74"/>
  <c r="K141" i="74"/>
  <c r="K45" i="74"/>
  <c r="K174" i="74"/>
  <c r="K71" i="74"/>
  <c r="H77" i="74"/>
  <c r="I54" i="74"/>
  <c r="I48" i="74"/>
  <c r="H76" i="74"/>
  <c r="I31" i="68"/>
  <c r="I33" i="68" s="1"/>
  <c r="I26" i="68"/>
  <c r="K70" i="64"/>
  <c r="K44" i="64"/>
  <c r="K123" i="64"/>
  <c r="K140" i="64"/>
  <c r="K94" i="64"/>
  <c r="K23" i="74"/>
  <c r="K19" i="74"/>
  <c r="I53" i="69"/>
  <c r="H76" i="69"/>
  <c r="I50" i="70"/>
  <c r="J97" i="70"/>
  <c r="J100" i="70" s="1"/>
  <c r="G79" i="68"/>
  <c r="G90" i="68" s="1"/>
  <c r="G45" i="68" s="1"/>
  <c r="G51" i="68" s="1"/>
  <c r="G66" i="68" s="1"/>
  <c r="H76" i="64"/>
  <c r="I53" i="64"/>
  <c r="K153" i="74"/>
  <c r="J96" i="64"/>
  <c r="J99" i="64" s="1"/>
  <c r="I49" i="64"/>
  <c r="K4" i="71"/>
  <c r="K4" i="73"/>
  <c r="K71" i="70"/>
  <c r="K95" i="70"/>
  <c r="K45" i="70"/>
  <c r="K124" i="70"/>
  <c r="K174" i="70"/>
  <c r="K199" i="70"/>
  <c r="K141" i="70"/>
  <c r="J31" i="64"/>
  <c r="J33" i="64" s="1"/>
  <c r="K96" i="69"/>
  <c r="K99" i="69" s="1"/>
  <c r="K49" i="69" s="1"/>
  <c r="J49" i="69"/>
  <c r="K106" i="69"/>
  <c r="K30" i="69" s="1"/>
  <c r="K73" i="69" s="1"/>
  <c r="H76" i="68"/>
  <c r="H59" i="68"/>
  <c r="I53" i="68"/>
  <c r="J22" i="68"/>
  <c r="J18" i="68"/>
  <c r="I32" i="74"/>
  <c r="I34" i="74" s="1"/>
  <c r="K18" i="69"/>
  <c r="K22" i="69"/>
  <c r="I31" i="64"/>
  <c r="I33" i="64" s="1"/>
  <c r="I47" i="64"/>
  <c r="H75" i="64"/>
  <c r="K58" i="70"/>
  <c r="J85" i="70"/>
  <c r="J151" i="70"/>
  <c r="J153" i="70" s="1"/>
  <c r="G48" i="70"/>
  <c r="G54" i="70"/>
  <c r="K22" i="64"/>
  <c r="K18" i="64"/>
  <c r="I110" i="70"/>
  <c r="E203" i="70"/>
  <c r="K57" i="69"/>
  <c r="K84" i="69" s="1"/>
  <c r="J84" i="69"/>
  <c r="J47" i="70"/>
  <c r="K44" i="68"/>
  <c r="K70" i="68"/>
  <c r="K151" i="64" l="1"/>
  <c r="K152" i="64" s="1"/>
  <c r="J152" i="64"/>
  <c r="J31" i="69"/>
  <c r="J33" i="69" s="1"/>
  <c r="G171" i="79"/>
  <c r="G31" i="79" s="1"/>
  <c r="G75" i="79" s="1"/>
  <c r="H22" i="79"/>
  <c r="H76" i="78"/>
  <c r="H63" i="78"/>
  <c r="G23" i="76"/>
  <c r="G27" i="76" s="1"/>
  <c r="G28" i="76" s="1"/>
  <c r="G29" i="76" s="1"/>
  <c r="H169" i="79"/>
  <c r="H171" i="79" s="1"/>
  <c r="H31" i="79" s="1"/>
  <c r="H75" i="79" s="1"/>
  <c r="H22" i="76"/>
  <c r="H21" i="76"/>
  <c r="H169" i="78"/>
  <c r="H175" i="78" s="1"/>
  <c r="H176" i="78" s="1"/>
  <c r="H79" i="78" s="1"/>
  <c r="G111" i="76"/>
  <c r="G112" i="76" s="1"/>
  <c r="G78" i="76" s="1"/>
  <c r="G100" i="78"/>
  <c r="H105" i="76"/>
  <c r="H111" i="76" s="1"/>
  <c r="H112" i="76" s="1"/>
  <c r="H78" i="76" s="1"/>
  <c r="G171" i="78"/>
  <c r="G31" i="78" s="1"/>
  <c r="G75" i="78" s="1"/>
  <c r="H99" i="78"/>
  <c r="H101" i="78" s="1"/>
  <c r="G103" i="78"/>
  <c r="H21" i="79"/>
  <c r="H20" i="79"/>
  <c r="H19" i="79" s="1"/>
  <c r="G23" i="79"/>
  <c r="G27" i="79" s="1"/>
  <c r="G28" i="79" s="1"/>
  <c r="G29" i="79" s="1"/>
  <c r="G23" i="78"/>
  <c r="G27" i="78" s="1"/>
  <c r="H21" i="78"/>
  <c r="H22" i="78"/>
  <c r="H63" i="79"/>
  <c r="H280" i="79"/>
  <c r="H273" i="79" s="1"/>
  <c r="H276" i="79" s="1"/>
  <c r="H214" i="76"/>
  <c r="H207" i="76" s="1"/>
  <c r="H210" i="76" s="1"/>
  <c r="H62" i="76"/>
  <c r="J33" i="70"/>
  <c r="J209" i="70" s="1"/>
  <c r="J214" i="70" s="1"/>
  <c r="I75" i="70"/>
  <c r="I202" i="70"/>
  <c r="I62" i="70"/>
  <c r="H213" i="70"/>
  <c r="H215" i="70" s="1"/>
  <c r="G216" i="70"/>
  <c r="I22" i="70"/>
  <c r="I20" i="70"/>
  <c r="I19" i="70" s="1"/>
  <c r="J18" i="70"/>
  <c r="J20" i="70" s="1"/>
  <c r="H107" i="70"/>
  <c r="H31" i="70" s="1"/>
  <c r="H74" i="70" s="1"/>
  <c r="H23" i="70"/>
  <c r="I105" i="70"/>
  <c r="I107" i="70" s="1"/>
  <c r="I31" i="70" s="1"/>
  <c r="I74" i="70" s="1"/>
  <c r="G32" i="70"/>
  <c r="G34" i="70" s="1"/>
  <c r="J32" i="74"/>
  <c r="J34" i="74" s="1"/>
  <c r="J59" i="70"/>
  <c r="I79" i="70"/>
  <c r="H79" i="68"/>
  <c r="H90" i="68" s="1"/>
  <c r="H45" i="68" s="1"/>
  <c r="H51" i="68" s="1"/>
  <c r="H66" i="68" s="1"/>
  <c r="K198" i="70"/>
  <c r="K3" i="73"/>
  <c r="K3" i="71"/>
  <c r="K140" i="70"/>
  <c r="K173" i="70"/>
  <c r="K94" i="70"/>
  <c r="K70" i="70"/>
  <c r="K44" i="70"/>
  <c r="K123" i="70"/>
  <c r="K69" i="69"/>
  <c r="K93" i="69"/>
  <c r="K122" i="69"/>
  <c r="K43" i="69"/>
  <c r="K139" i="69"/>
  <c r="G55" i="79"/>
  <c r="G121" i="78"/>
  <c r="G122" i="78" s="1"/>
  <c r="G113" i="78"/>
  <c r="H276" i="78"/>
  <c r="I174" i="78"/>
  <c r="G55" i="78"/>
  <c r="H19" i="78"/>
  <c r="G77" i="76"/>
  <c r="H54" i="76"/>
  <c r="H48" i="76"/>
  <c r="G76" i="76"/>
  <c r="J53" i="68"/>
  <c r="I76" i="68"/>
  <c r="I59" i="68"/>
  <c r="K47" i="70"/>
  <c r="J47" i="64"/>
  <c r="I75" i="64"/>
  <c r="J47" i="69"/>
  <c r="I75" i="69"/>
  <c r="H48" i="70"/>
  <c r="G76" i="70"/>
  <c r="K96" i="64"/>
  <c r="K99" i="64" s="1"/>
  <c r="K49" i="64" s="1"/>
  <c r="J49" i="64"/>
  <c r="K32" i="74"/>
  <c r="K34" i="74" s="1"/>
  <c r="I27" i="68"/>
  <c r="I28" i="68" s="1"/>
  <c r="I72" i="68" s="1"/>
  <c r="K22" i="68"/>
  <c r="K18" i="68"/>
  <c r="K31" i="69"/>
  <c r="K33" i="69" s="1"/>
  <c r="K31" i="64"/>
  <c r="K33" i="64" s="1"/>
  <c r="I76" i="64"/>
  <c r="J53" i="64"/>
  <c r="J50" i="70"/>
  <c r="K97" i="70"/>
  <c r="K100" i="70" s="1"/>
  <c r="K50" i="70" s="1"/>
  <c r="J113" i="70"/>
  <c r="K51" i="70"/>
  <c r="K113" i="70" s="1"/>
  <c r="J47" i="68"/>
  <c r="I75" i="68"/>
  <c r="J48" i="74"/>
  <c r="I76" i="74"/>
  <c r="J110" i="70"/>
  <c r="I77" i="74"/>
  <c r="J54" i="74"/>
  <c r="K85" i="70"/>
  <c r="K151" i="70"/>
  <c r="K153" i="70" s="1"/>
  <c r="H54" i="70"/>
  <c r="G77" i="70"/>
  <c r="J31" i="68"/>
  <c r="J33" i="68" s="1"/>
  <c r="J26" i="68"/>
  <c r="I76" i="69"/>
  <c r="J53" i="69"/>
  <c r="G77" i="79" l="1"/>
  <c r="H175" i="79"/>
  <c r="H176" i="79" s="1"/>
  <c r="H79" i="79" s="1"/>
  <c r="H107" i="76"/>
  <c r="H31" i="76" s="1"/>
  <c r="H74" i="76" s="1"/>
  <c r="G32" i="76"/>
  <c r="G34" i="76" s="1"/>
  <c r="G32" i="79"/>
  <c r="G34" i="79" s="1"/>
  <c r="H171" i="78"/>
  <c r="H31" i="78" s="1"/>
  <c r="H75" i="78" s="1"/>
  <c r="H23" i="76"/>
  <c r="G32" i="78"/>
  <c r="G34" i="78" s="1"/>
  <c r="H55" i="79"/>
  <c r="H78" i="79" s="1"/>
  <c r="H23" i="79"/>
  <c r="H32" i="79" s="1"/>
  <c r="H34" i="79" s="1"/>
  <c r="H23" i="78"/>
  <c r="J75" i="70"/>
  <c r="K33" i="70"/>
  <c r="K209" i="70" s="1"/>
  <c r="K214" i="70" s="1"/>
  <c r="J62" i="70"/>
  <c r="J202" i="70"/>
  <c r="I205" i="70"/>
  <c r="I213" i="70"/>
  <c r="I215" i="70" s="1"/>
  <c r="H216" i="70"/>
  <c r="I23" i="70"/>
  <c r="I32" i="70" s="1"/>
  <c r="I34" i="70" s="1"/>
  <c r="J21" i="70"/>
  <c r="J22" i="70"/>
  <c r="K18" i="70"/>
  <c r="K20" i="70" s="1"/>
  <c r="J105" i="70"/>
  <c r="J111" i="70" s="1"/>
  <c r="J112" i="70" s="1"/>
  <c r="J78" i="70" s="1"/>
  <c r="H32" i="70"/>
  <c r="H34" i="70" s="1"/>
  <c r="I111" i="70"/>
  <c r="I112" i="70" s="1"/>
  <c r="I78" i="70" s="1"/>
  <c r="K59" i="70"/>
  <c r="K79" i="70" s="1"/>
  <c r="J79" i="70"/>
  <c r="I79" i="68"/>
  <c r="I90" i="68" s="1"/>
  <c r="I45" i="68" s="1"/>
  <c r="I51" i="68" s="1"/>
  <c r="I66" i="68" s="1"/>
  <c r="G78" i="79"/>
  <c r="G126" i="78"/>
  <c r="H47" i="78"/>
  <c r="H103" i="78"/>
  <c r="D229" i="79"/>
  <c r="G181" i="79"/>
  <c r="G182" i="79" s="1"/>
  <c r="G272" i="79"/>
  <c r="G74" i="79"/>
  <c r="G112" i="78"/>
  <c r="G48" i="78"/>
  <c r="G77" i="78" s="1"/>
  <c r="H111" i="78"/>
  <c r="G78" i="78"/>
  <c r="H55" i="78"/>
  <c r="G28" i="78"/>
  <c r="G29" i="78" s="1"/>
  <c r="H76" i="76"/>
  <c r="H77" i="76"/>
  <c r="G206" i="76"/>
  <c r="G73" i="76"/>
  <c r="G80" i="76" s="1"/>
  <c r="G117" i="76"/>
  <c r="G120" i="76" s="1"/>
  <c r="D163" i="76"/>
  <c r="K54" i="74"/>
  <c r="J77" i="74"/>
  <c r="K47" i="64"/>
  <c r="K75" i="64" s="1"/>
  <c r="J75" i="64"/>
  <c r="K53" i="69"/>
  <c r="J76" i="69"/>
  <c r="I48" i="70"/>
  <c r="H76" i="70"/>
  <c r="K31" i="68"/>
  <c r="K33" i="68" s="1"/>
  <c r="K26" i="68"/>
  <c r="I54" i="70"/>
  <c r="H77" i="70"/>
  <c r="K47" i="68"/>
  <c r="K75" i="68" s="1"/>
  <c r="J75" i="68"/>
  <c r="K47" i="69"/>
  <c r="K75" i="69" s="1"/>
  <c r="J75" i="69"/>
  <c r="K48" i="74"/>
  <c r="K76" i="74" s="1"/>
  <c r="J76" i="74"/>
  <c r="J76" i="64"/>
  <c r="K53" i="64"/>
  <c r="K110" i="70"/>
  <c r="J19" i="70"/>
  <c r="K53" i="68"/>
  <c r="J76" i="68"/>
  <c r="J59" i="68"/>
  <c r="J27" i="68"/>
  <c r="J28" i="68" s="1"/>
  <c r="J72" i="68" s="1"/>
  <c r="H32" i="76" l="1"/>
  <c r="H34" i="76" s="1"/>
  <c r="H32" i="78"/>
  <c r="H34" i="78" s="1"/>
  <c r="K75" i="70"/>
  <c r="K62" i="70"/>
  <c r="J205" i="70"/>
  <c r="K202" i="70"/>
  <c r="J213" i="70"/>
  <c r="J215" i="70" s="1"/>
  <c r="I216" i="70"/>
  <c r="J23" i="70"/>
  <c r="J107" i="70"/>
  <c r="J31" i="70" s="1"/>
  <c r="J74" i="70" s="1"/>
  <c r="K105" i="70"/>
  <c r="K111" i="70" s="1"/>
  <c r="K112" i="70" s="1"/>
  <c r="K78" i="70" s="1"/>
  <c r="K21" i="70"/>
  <c r="K22" i="70"/>
  <c r="J79" i="68"/>
  <c r="J90" i="68" s="1"/>
  <c r="J45" i="68" s="1"/>
  <c r="J51" i="68" s="1"/>
  <c r="J66" i="68" s="1"/>
  <c r="G81" i="79"/>
  <c r="H126" i="78"/>
  <c r="G123" i="78"/>
  <c r="H121" i="78"/>
  <c r="H122" i="78" s="1"/>
  <c r="H113" i="78"/>
  <c r="G89" i="79"/>
  <c r="G277" i="79"/>
  <c r="G274" i="79"/>
  <c r="D229" i="78"/>
  <c r="G181" i="78"/>
  <c r="G182" i="78" s="1"/>
  <c r="G272" i="78"/>
  <c r="G74" i="78"/>
  <c r="H78" i="78"/>
  <c r="G211" i="76"/>
  <c r="G208" i="76"/>
  <c r="G63" i="76"/>
  <c r="G65" i="76" s="1"/>
  <c r="H116" i="76"/>
  <c r="G129" i="76"/>
  <c r="G130" i="76" s="1"/>
  <c r="G134" i="76" s="1"/>
  <c r="G136" i="76" s="1"/>
  <c r="J54" i="70"/>
  <c r="I77" i="70"/>
  <c r="J48" i="70"/>
  <c r="I76" i="70"/>
  <c r="K76" i="64"/>
  <c r="K77" i="74"/>
  <c r="K76" i="68"/>
  <c r="K59" i="68"/>
  <c r="K76" i="69"/>
  <c r="K19" i="70"/>
  <c r="K27" i="68"/>
  <c r="K28" i="68" s="1"/>
  <c r="K72" i="68" s="1"/>
  <c r="H77" i="79" l="1"/>
  <c r="K205" i="70"/>
  <c r="J216" i="70"/>
  <c r="K213" i="70"/>
  <c r="K215" i="70" s="1"/>
  <c r="K216" i="70" s="1"/>
  <c r="J32" i="70"/>
  <c r="J34" i="70" s="1"/>
  <c r="K107" i="70"/>
  <c r="K31" i="70" s="1"/>
  <c r="K74" i="70" s="1"/>
  <c r="K23" i="70"/>
  <c r="K79" i="68"/>
  <c r="K90" i="68" s="1"/>
  <c r="K45" i="68" s="1"/>
  <c r="K51" i="68" s="1"/>
  <c r="K66" i="68" s="1"/>
  <c r="G195" i="79"/>
  <c r="G196" i="79" s="1"/>
  <c r="G200" i="79" s="1"/>
  <c r="G202" i="79" s="1"/>
  <c r="G203" i="79" s="1"/>
  <c r="G124" i="78"/>
  <c r="G127" i="78" s="1"/>
  <c r="G81" i="78"/>
  <c r="I111" i="78"/>
  <c r="H48" i="78"/>
  <c r="H77" i="78" s="1"/>
  <c r="H112" i="78"/>
  <c r="G184" i="79"/>
  <c r="G277" i="78"/>
  <c r="G274" i="78"/>
  <c r="H133" i="76"/>
  <c r="G57" i="76"/>
  <c r="G137" i="76"/>
  <c r="K48" i="70"/>
  <c r="K76" i="70" s="1"/>
  <c r="J76" i="70"/>
  <c r="J77" i="70"/>
  <c r="K54" i="70"/>
  <c r="K32" i="70" l="1"/>
  <c r="K34" i="70" s="1"/>
  <c r="G58" i="79"/>
  <c r="G137" i="79" s="1"/>
  <c r="H199" i="79"/>
  <c r="H123" i="78"/>
  <c r="H180" i="79"/>
  <c r="G64" i="79"/>
  <c r="G66" i="79" s="1"/>
  <c r="G89" i="78"/>
  <c r="G195" i="78" s="1"/>
  <c r="G196" i="78" s="1"/>
  <c r="G200" i="78" s="1"/>
  <c r="G202" i="78" s="1"/>
  <c r="G203" i="78" s="1"/>
  <c r="G184" i="78"/>
  <c r="G147" i="76"/>
  <c r="H148" i="76" s="1"/>
  <c r="H143" i="76" s="1"/>
  <c r="H25" i="76" s="1"/>
  <c r="G86" i="76"/>
  <c r="G89" i="76" s="1"/>
  <c r="G91" i="76" s="1"/>
  <c r="G46" i="76" s="1"/>
  <c r="G60" i="76"/>
  <c r="K77" i="70"/>
  <c r="G61" i="79" l="1"/>
  <c r="G87" i="79"/>
  <c r="G90" i="79" s="1"/>
  <c r="G92" i="79" s="1"/>
  <c r="G46" i="79" s="1"/>
  <c r="H193" i="79" s="1"/>
  <c r="G213" i="79"/>
  <c r="H214" i="79" s="1"/>
  <c r="H209" i="79" s="1"/>
  <c r="H25" i="79" s="1"/>
  <c r="H124" i="78"/>
  <c r="H127" i="78" s="1"/>
  <c r="H199" i="78"/>
  <c r="G58" i="78"/>
  <c r="G64" i="78"/>
  <c r="G66" i="78" s="1"/>
  <c r="H180" i="78"/>
  <c r="G52" i="76"/>
  <c r="G67" i="76" s="1"/>
  <c r="H127" i="76"/>
  <c r="H157" i="76"/>
  <c r="H24" i="76" s="1"/>
  <c r="H27" i="76" s="1"/>
  <c r="G53" i="79" l="1"/>
  <c r="G68" i="79" s="1"/>
  <c r="G133" i="79"/>
  <c r="G136" i="79" s="1"/>
  <c r="G129" i="79" s="1"/>
  <c r="H223" i="79"/>
  <c r="H24" i="79" s="1"/>
  <c r="H27" i="79" s="1"/>
  <c r="H28" i="79" s="1"/>
  <c r="H29" i="79" s="1"/>
  <c r="G61" i="78"/>
  <c r="G137" i="78"/>
  <c r="G87" i="78"/>
  <c r="G90" i="78" s="1"/>
  <c r="G92" i="78" s="1"/>
  <c r="G46" i="78" s="1"/>
  <c r="G133" i="78" s="1"/>
  <c r="G213" i="78"/>
  <c r="H214" i="78" s="1"/>
  <c r="H209" i="78" s="1"/>
  <c r="H25" i="78" s="1"/>
  <c r="H28" i="76"/>
  <c r="H29" i="76" s="1"/>
  <c r="G130" i="79" l="1"/>
  <c r="H193" i="78"/>
  <c r="H223" i="78"/>
  <c r="H24" i="78" s="1"/>
  <c r="H27" i="78" s="1"/>
  <c r="H28" i="78" s="1"/>
  <c r="H29" i="78" s="1"/>
  <c r="G53" i="78"/>
  <c r="G68" i="78" s="1"/>
  <c r="H74" i="79"/>
  <c r="H81" i="79" s="1"/>
  <c r="H181" i="79"/>
  <c r="H182" i="79" s="1"/>
  <c r="H272" i="79"/>
  <c r="H117" i="76"/>
  <c r="H120" i="76" s="1"/>
  <c r="H206" i="76"/>
  <c r="H73" i="76"/>
  <c r="H80" i="76" s="1"/>
  <c r="G130" i="78" l="1"/>
  <c r="G136" i="78"/>
  <c r="G129" i="78" s="1"/>
  <c r="H277" i="79"/>
  <c r="H274" i="79"/>
  <c r="H89" i="79"/>
  <c r="H195" i="79" s="1"/>
  <c r="H196" i="79" s="1"/>
  <c r="H200" i="79" s="1"/>
  <c r="H202" i="79" s="1"/>
  <c r="H181" i="78"/>
  <c r="H272" i="78"/>
  <c r="H74" i="78"/>
  <c r="H81" i="78" s="1"/>
  <c r="H129" i="76"/>
  <c r="H130" i="76" s="1"/>
  <c r="H134" i="76" s="1"/>
  <c r="H136" i="76" s="1"/>
  <c r="H211" i="76"/>
  <c r="H208" i="76"/>
  <c r="I116" i="76"/>
  <c r="H63" i="76"/>
  <c r="H65" i="76" s="1"/>
  <c r="H184" i="79" l="1"/>
  <c r="H203" i="79"/>
  <c r="I199" i="79"/>
  <c r="H58" i="79"/>
  <c r="H137" i="79" s="1"/>
  <c r="H182" i="78"/>
  <c r="H89" i="78" s="1"/>
  <c r="H195" i="78" s="1"/>
  <c r="H196" i="78" s="1"/>
  <c r="H200" i="78" s="1"/>
  <c r="H202" i="78" s="1"/>
  <c r="H277" i="78"/>
  <c r="H274" i="78"/>
  <c r="H137" i="76"/>
  <c r="H57" i="76"/>
  <c r="I133" i="76"/>
  <c r="H213" i="79" l="1"/>
  <c r="I214" i="79" s="1"/>
  <c r="I209" i="79" s="1"/>
  <c r="I25" i="79" s="1"/>
  <c r="H87" i="79"/>
  <c r="H90" i="79" s="1"/>
  <c r="H92" i="79" s="1"/>
  <c r="H46" i="79" s="1"/>
  <c r="H61" i="79"/>
  <c r="I180" i="79"/>
  <c r="H64" i="79"/>
  <c r="H66" i="79" s="1"/>
  <c r="H184" i="78"/>
  <c r="H203" i="78"/>
  <c r="I199" i="78"/>
  <c r="H58" i="78"/>
  <c r="H137" i="78" s="1"/>
  <c r="H86" i="76"/>
  <c r="H89" i="76" s="1"/>
  <c r="H91" i="76" s="1"/>
  <c r="H46" i="76" s="1"/>
  <c r="H147" i="76"/>
  <c r="I148" i="76" s="1"/>
  <c r="I143" i="76" s="1"/>
  <c r="I25" i="76" s="1"/>
  <c r="H60" i="76"/>
  <c r="H133" i="79" l="1"/>
  <c r="I193" i="79"/>
  <c r="H53" i="79"/>
  <c r="H68" i="79" s="1"/>
  <c r="I223" i="79"/>
  <c r="I24" i="79" s="1"/>
  <c r="H64" i="78"/>
  <c r="H66" i="78" s="1"/>
  <c r="I180" i="78"/>
  <c r="H213" i="78"/>
  <c r="I214" i="78" s="1"/>
  <c r="I209" i="78" s="1"/>
  <c r="I25" i="78" s="1"/>
  <c r="H87" i="78"/>
  <c r="H90" i="78" s="1"/>
  <c r="H92" i="78" s="1"/>
  <c r="H46" i="78" s="1"/>
  <c r="H133" i="78" s="1"/>
  <c r="H61" i="78"/>
  <c r="I127" i="76"/>
  <c r="H52" i="76"/>
  <c r="H67" i="76" s="1"/>
  <c r="I157" i="76"/>
  <c r="I24" i="76" s="1"/>
  <c r="H136" i="79" l="1"/>
  <c r="H129" i="79" s="1"/>
  <c r="H130" i="79"/>
  <c r="H136" i="78"/>
  <c r="H129" i="78" s="1"/>
  <c r="H130" i="78"/>
  <c r="I193" i="78"/>
  <c r="H53" i="78"/>
  <c r="H68" i="78" s="1"/>
  <c r="I223" i="78"/>
  <c r="I24" i="78" s="1"/>
  <c r="I99" i="78" l="1"/>
  <c r="H100" i="78"/>
  <c r="H66" i="67" l="1"/>
  <c r="I66" i="67" l="1"/>
  <c r="J66" i="67" l="1"/>
  <c r="K66" i="67" l="1"/>
  <c r="G26" i="69"/>
  <c r="G27" i="69" s="1"/>
  <c r="G28" i="69" s="1"/>
  <c r="H26" i="69"/>
  <c r="I26" i="69"/>
  <c r="J26" i="69"/>
  <c r="J27" i="69" s="1"/>
  <c r="J28" i="69" s="1"/>
  <c r="K26" i="69"/>
  <c r="K27" i="69" s="1"/>
  <c r="K28" i="69" s="1"/>
  <c r="H27" i="69"/>
  <c r="H28" i="69" s="1"/>
  <c r="I27" i="69"/>
  <c r="I28" i="69" s="1"/>
  <c r="I116" i="69" l="1"/>
  <c r="I72" i="69"/>
  <c r="I79" i="69" s="1"/>
  <c r="H116" i="69"/>
  <c r="H72" i="69"/>
  <c r="H79" i="69" s="1"/>
  <c r="K72" i="69"/>
  <c r="K79" i="69" s="1"/>
  <c r="K116" i="69"/>
  <c r="G116" i="69"/>
  <c r="G119" i="69" s="1"/>
  <c r="G72" i="69"/>
  <c r="G79" i="69" s="1"/>
  <c r="J72" i="69"/>
  <c r="J79" i="69" s="1"/>
  <c r="J116" i="69"/>
  <c r="G135" i="69" l="1"/>
  <c r="G62" i="69"/>
  <c r="G64" i="69" s="1"/>
  <c r="H115" i="69"/>
  <c r="H119" i="69" s="1"/>
  <c r="H62" i="69" l="1"/>
  <c r="H64" i="69" s="1"/>
  <c r="I115" i="69"/>
  <c r="I119" i="69" s="1"/>
  <c r="G136" i="69"/>
  <c r="G59" i="69" l="1"/>
  <c r="G88" i="69"/>
  <c r="G90" i="69" s="1"/>
  <c r="G45" i="69" s="1"/>
  <c r="I62" i="69"/>
  <c r="I64" i="69" s="1"/>
  <c r="J115" i="69"/>
  <c r="J119" i="69" s="1"/>
  <c r="J62" i="69" l="1"/>
  <c r="J64" i="69" s="1"/>
  <c r="K115" i="69"/>
  <c r="K119" i="69" s="1"/>
  <c r="K62" i="69" s="1"/>
  <c r="K64" i="69" s="1"/>
  <c r="H135" i="69"/>
  <c r="G51" i="69"/>
  <c r="G66" i="69" s="1"/>
  <c r="H136" i="69" l="1"/>
  <c r="H88" i="69" l="1"/>
  <c r="H90" i="69" s="1"/>
  <c r="H45" i="69" s="1"/>
  <c r="H59" i="69"/>
  <c r="H51" i="69" l="1"/>
  <c r="H66" i="69" s="1"/>
  <c r="I135" i="69"/>
  <c r="I136" i="69" l="1"/>
  <c r="I88" i="69" l="1"/>
  <c r="I90" i="69" s="1"/>
  <c r="I45" i="69" s="1"/>
  <c r="I59" i="69"/>
  <c r="I51" i="69" l="1"/>
  <c r="I66" i="69" s="1"/>
  <c r="J135" i="69"/>
  <c r="J136" i="69" l="1"/>
  <c r="J88" i="69" l="1"/>
  <c r="J90" i="69" s="1"/>
  <c r="J45" i="69" s="1"/>
  <c r="J59" i="69"/>
  <c r="J51" i="69" l="1"/>
  <c r="J66" i="69" s="1"/>
  <c r="K135" i="69"/>
  <c r="K136" i="69" l="1"/>
  <c r="K88" i="69" l="1"/>
  <c r="K90" i="69" s="1"/>
  <c r="K45" i="69" s="1"/>
  <c r="K51" i="69" s="1"/>
  <c r="K59" i="69"/>
  <c r="K66" i="69" l="1"/>
  <c r="I12" i="77"/>
  <c r="J12" i="77" s="1"/>
  <c r="K12" i="77" l="1"/>
  <c r="K13" i="77" s="1"/>
  <c r="J13" i="77"/>
  <c r="I13" i="77"/>
  <c r="I14" i="77" s="1"/>
  <c r="I37" i="76" s="1"/>
  <c r="I37" i="78" l="1"/>
  <c r="I37" i="79"/>
  <c r="J14" i="77"/>
  <c r="J37" i="76" s="1"/>
  <c r="K14" i="77"/>
  <c r="K37" i="76" s="1"/>
  <c r="K37" i="78" l="1"/>
  <c r="K107" i="78" s="1"/>
  <c r="K37" i="79"/>
  <c r="I33" i="76"/>
  <c r="I55" i="76"/>
  <c r="I59" i="76"/>
  <c r="I49" i="76"/>
  <c r="J49" i="76" s="1"/>
  <c r="I18" i="76"/>
  <c r="I56" i="76"/>
  <c r="I47" i="76"/>
  <c r="I51" i="76"/>
  <c r="J37" i="78"/>
  <c r="J98" i="76"/>
  <c r="J37" i="79"/>
  <c r="I18" i="79"/>
  <c r="I49" i="79"/>
  <c r="I52" i="79"/>
  <c r="I56" i="79"/>
  <c r="I60" i="79"/>
  <c r="I134" i="79"/>
  <c r="I50" i="79"/>
  <c r="I33" i="79"/>
  <c r="I57" i="79"/>
  <c r="I49" i="78"/>
  <c r="I52" i="78"/>
  <c r="I56" i="78"/>
  <c r="I60" i="78"/>
  <c r="I50" i="78"/>
  <c r="I57" i="78"/>
  <c r="I18" i="78"/>
  <c r="I33" i="78"/>
  <c r="I134" i="78"/>
  <c r="I107" i="78"/>
  <c r="J144" i="79" l="1"/>
  <c r="J134" i="78"/>
  <c r="K134" i="78" s="1"/>
  <c r="J57" i="79"/>
  <c r="K57" i="79" s="1"/>
  <c r="J57" i="78"/>
  <c r="K57" i="78" s="1"/>
  <c r="K49" i="76"/>
  <c r="J56" i="78"/>
  <c r="K56" i="78" s="1"/>
  <c r="J50" i="79"/>
  <c r="K50" i="79" s="1"/>
  <c r="J49" i="78"/>
  <c r="J18" i="79"/>
  <c r="I21" i="79"/>
  <c r="I169" i="79"/>
  <c r="I22" i="79"/>
  <c r="I20" i="79"/>
  <c r="J59" i="76"/>
  <c r="I79" i="76"/>
  <c r="K98" i="76"/>
  <c r="J82" i="76"/>
  <c r="J83" i="76" s="1"/>
  <c r="J99" i="76"/>
  <c r="J100" i="76" s="1"/>
  <c r="J55" i="76"/>
  <c r="K55" i="76" s="1"/>
  <c r="I20" i="76"/>
  <c r="J18" i="76"/>
  <c r="I21" i="76"/>
  <c r="I22" i="76"/>
  <c r="I105" i="76"/>
  <c r="I280" i="79"/>
  <c r="I273" i="79" s="1"/>
  <c r="I63" i="79"/>
  <c r="I76" i="79"/>
  <c r="J33" i="79"/>
  <c r="J144" i="78"/>
  <c r="J107" i="78"/>
  <c r="J33" i="76"/>
  <c r="I75" i="76"/>
  <c r="I214" i="76"/>
  <c r="I207" i="76" s="1"/>
  <c r="I62" i="76"/>
  <c r="J134" i="79"/>
  <c r="K134" i="79" s="1"/>
  <c r="J60" i="78"/>
  <c r="I80" i="78"/>
  <c r="I80" i="79"/>
  <c r="J60" i="79"/>
  <c r="J51" i="76"/>
  <c r="I113" i="76"/>
  <c r="I21" i="78"/>
  <c r="I22" i="78"/>
  <c r="I20" i="78"/>
  <c r="J18" i="78"/>
  <c r="I101" i="78"/>
  <c r="I169" i="78"/>
  <c r="J56" i="79"/>
  <c r="K56" i="79" s="1"/>
  <c r="J47" i="76"/>
  <c r="J49" i="79"/>
  <c r="J33" i="78"/>
  <c r="I63" i="78"/>
  <c r="I76" i="78"/>
  <c r="I280" i="78"/>
  <c r="I273" i="78" s="1"/>
  <c r="J50" i="78"/>
  <c r="K50" i="78" s="1"/>
  <c r="J52" i="78"/>
  <c r="I177" i="78"/>
  <c r="I177" i="79"/>
  <c r="J52" i="79"/>
  <c r="J56" i="76"/>
  <c r="K56" i="76" s="1"/>
  <c r="J83" i="79" l="1"/>
  <c r="J84" i="79" s="1"/>
  <c r="K144" i="79"/>
  <c r="K33" i="79"/>
  <c r="J280" i="79"/>
  <c r="J273" i="79" s="1"/>
  <c r="J76" i="79"/>
  <c r="I23" i="76"/>
  <c r="I19" i="76"/>
  <c r="I23" i="79"/>
  <c r="I19" i="79"/>
  <c r="I47" i="78"/>
  <c r="I100" i="78"/>
  <c r="J99" i="78"/>
  <c r="J101" i="78" s="1"/>
  <c r="I103" i="78"/>
  <c r="J62" i="76"/>
  <c r="J63" i="79"/>
  <c r="K97" i="76"/>
  <c r="J50" i="76"/>
  <c r="I175" i="79"/>
  <c r="I176" i="79" s="1"/>
  <c r="I79" i="79" s="1"/>
  <c r="I171" i="79"/>
  <c r="I31" i="79" s="1"/>
  <c r="I75" i="79" s="1"/>
  <c r="I171" i="78"/>
  <c r="I31" i="78" s="1"/>
  <c r="I75" i="78" s="1"/>
  <c r="I175" i="78"/>
  <c r="I176" i="78" s="1"/>
  <c r="I79" i="78" s="1"/>
  <c r="K18" i="78"/>
  <c r="M18" i="78" s="1"/>
  <c r="J21" i="78"/>
  <c r="J22" i="78"/>
  <c r="J20" i="78"/>
  <c r="J169" i="78"/>
  <c r="J175" i="78" s="1"/>
  <c r="I210" i="76"/>
  <c r="I276" i="79"/>
  <c r="K51" i="76"/>
  <c r="K113" i="76" s="1"/>
  <c r="J113" i="76"/>
  <c r="I19" i="78"/>
  <c r="I23" i="78"/>
  <c r="J80" i="78"/>
  <c r="K60" i="78"/>
  <c r="K80" i="78" s="1"/>
  <c r="I107" i="76"/>
  <c r="I31" i="76" s="1"/>
  <c r="I74" i="76" s="1"/>
  <c r="I111" i="76"/>
  <c r="I112" i="76" s="1"/>
  <c r="I78" i="76" s="1"/>
  <c r="J20" i="79"/>
  <c r="K18" i="79"/>
  <c r="J21" i="79"/>
  <c r="J169" i="79"/>
  <c r="J22" i="79"/>
  <c r="J63" i="78"/>
  <c r="J174" i="78"/>
  <c r="K33" i="76"/>
  <c r="J75" i="76"/>
  <c r="J214" i="76"/>
  <c r="J207" i="76" s="1"/>
  <c r="K82" i="76"/>
  <c r="K83" i="76" s="1"/>
  <c r="K99" i="76"/>
  <c r="I276" i="78"/>
  <c r="J177" i="79"/>
  <c r="K52" i="79"/>
  <c r="K177" i="79" s="1"/>
  <c r="J174" i="79"/>
  <c r="K52" i="78"/>
  <c r="K177" i="78" s="1"/>
  <c r="J177" i="78"/>
  <c r="J80" i="79"/>
  <c r="K60" i="79"/>
  <c r="K80" i="79" s="1"/>
  <c r="K33" i="78"/>
  <c r="J76" i="78"/>
  <c r="J280" i="78"/>
  <c r="J273" i="78" s="1"/>
  <c r="K49" i="79"/>
  <c r="K47" i="76"/>
  <c r="J110" i="76"/>
  <c r="J83" i="78"/>
  <c r="J84" i="78" s="1"/>
  <c r="J164" i="78"/>
  <c r="J166" i="78" s="1"/>
  <c r="J145" i="78" s="1"/>
  <c r="J146" i="78" s="1"/>
  <c r="K144" i="78"/>
  <c r="K164" i="78"/>
  <c r="J22" i="76"/>
  <c r="J105" i="76"/>
  <c r="J111" i="76" s="1"/>
  <c r="J20" i="76"/>
  <c r="K18" i="76"/>
  <c r="J21" i="76"/>
  <c r="K59" i="76"/>
  <c r="K79" i="76" s="1"/>
  <c r="J79" i="76"/>
  <c r="K49" i="78"/>
  <c r="J171" i="79" l="1"/>
  <c r="J31" i="79" s="1"/>
  <c r="J75" i="79" s="1"/>
  <c r="K83" i="79"/>
  <c r="K84" i="79" s="1"/>
  <c r="I55" i="79"/>
  <c r="I78" i="79" s="1"/>
  <c r="J276" i="79"/>
  <c r="J210" i="76"/>
  <c r="I32" i="78"/>
  <c r="I34" i="78" s="1"/>
  <c r="I27" i="78"/>
  <c r="K62" i="76"/>
  <c r="J47" i="78"/>
  <c r="J121" i="78" s="1"/>
  <c r="J122" i="78" s="1"/>
  <c r="K99" i="78"/>
  <c r="K101" i="78" s="1"/>
  <c r="K103" i="78" s="1"/>
  <c r="J100" i="78"/>
  <c r="I32" i="79"/>
  <c r="I34" i="79" s="1"/>
  <c r="I27" i="79"/>
  <c r="J23" i="76"/>
  <c r="J19" i="76"/>
  <c r="I55" i="78"/>
  <c r="I113" i="78"/>
  <c r="K174" i="79"/>
  <c r="K75" i="76"/>
  <c r="K214" i="76"/>
  <c r="K207" i="76" s="1"/>
  <c r="K20" i="79"/>
  <c r="K21" i="79"/>
  <c r="K169" i="79"/>
  <c r="K22" i="79"/>
  <c r="J112" i="76"/>
  <c r="J78" i="76" s="1"/>
  <c r="K110" i="76"/>
  <c r="I54" i="76"/>
  <c r="I48" i="76"/>
  <c r="K76" i="78"/>
  <c r="K280" i="78"/>
  <c r="K273" i="78" s="1"/>
  <c r="J51" i="78"/>
  <c r="K143" i="78"/>
  <c r="J23" i="79"/>
  <c r="J19" i="79"/>
  <c r="J19" i="78"/>
  <c r="J23" i="78"/>
  <c r="I27" i="76"/>
  <c r="I32" i="76"/>
  <c r="I34" i="76" s="1"/>
  <c r="K22" i="76"/>
  <c r="K105" i="76"/>
  <c r="K111" i="76" s="1"/>
  <c r="K20" i="76"/>
  <c r="K21" i="76"/>
  <c r="J276" i="78"/>
  <c r="J107" i="76"/>
  <c r="J31" i="76" s="1"/>
  <c r="J74" i="76" s="1"/>
  <c r="K100" i="76"/>
  <c r="K50" i="76" s="1"/>
  <c r="J103" i="78"/>
  <c r="J175" i="79"/>
  <c r="J176" i="79" s="1"/>
  <c r="J79" i="79" s="1"/>
  <c r="K83" i="78"/>
  <c r="K84" i="78" s="1"/>
  <c r="K165" i="78"/>
  <c r="K166" i="78" s="1"/>
  <c r="K145" i="78" s="1"/>
  <c r="J176" i="78"/>
  <c r="J79" i="78" s="1"/>
  <c r="K174" i="78"/>
  <c r="K63" i="79"/>
  <c r="I121" i="78"/>
  <c r="I122" i="78" s="1"/>
  <c r="J148" i="78"/>
  <c r="J171" i="78"/>
  <c r="J31" i="78" s="1"/>
  <c r="J75" i="78" s="1"/>
  <c r="K63" i="78"/>
  <c r="K21" i="78"/>
  <c r="K22" i="78"/>
  <c r="K20" i="78"/>
  <c r="K169" i="78"/>
  <c r="K175" i="78" s="1"/>
  <c r="K280" i="79"/>
  <c r="K273" i="79" s="1"/>
  <c r="K76" i="79"/>
  <c r="K148" i="79" l="1"/>
  <c r="J146" i="79"/>
  <c r="J148" i="79"/>
  <c r="J55" i="79"/>
  <c r="J78" i="79" s="1"/>
  <c r="I77" i="79"/>
  <c r="K276" i="79"/>
  <c r="K176" i="78"/>
  <c r="K79" i="78" s="1"/>
  <c r="K112" i="76"/>
  <c r="K78" i="76" s="1"/>
  <c r="K107" i="76"/>
  <c r="K31" i="76" s="1"/>
  <c r="K74" i="76" s="1"/>
  <c r="K148" i="78"/>
  <c r="K171" i="78"/>
  <c r="K31" i="78" s="1"/>
  <c r="K75" i="78" s="1"/>
  <c r="K146" i="78"/>
  <c r="K51" i="78" s="1"/>
  <c r="K175" i="79"/>
  <c r="K176" i="79" s="1"/>
  <c r="K79" i="79" s="1"/>
  <c r="I28" i="76"/>
  <c r="I29" i="76" s="1"/>
  <c r="J55" i="78"/>
  <c r="I78" i="78"/>
  <c r="I126" i="78"/>
  <c r="I28" i="78"/>
  <c r="I29" i="78" s="1"/>
  <c r="J32" i="78"/>
  <c r="J34" i="78" s="1"/>
  <c r="K23" i="79"/>
  <c r="K19" i="79"/>
  <c r="K276" i="78"/>
  <c r="J48" i="76"/>
  <c r="I76" i="76"/>
  <c r="K210" i="76"/>
  <c r="J54" i="76"/>
  <c r="I77" i="76"/>
  <c r="J32" i="76"/>
  <c r="J34" i="76" s="1"/>
  <c r="I48" i="78"/>
  <c r="J111" i="78"/>
  <c r="J113" i="78" s="1"/>
  <c r="I112" i="78"/>
  <c r="K19" i="76"/>
  <c r="K23" i="76"/>
  <c r="I28" i="79"/>
  <c r="I29" i="79" s="1"/>
  <c r="K23" i="78"/>
  <c r="M23" i="78" s="1"/>
  <c r="K19" i="78"/>
  <c r="K47" i="78"/>
  <c r="K121" i="78" s="1"/>
  <c r="K122" i="78" s="1"/>
  <c r="K100" i="78"/>
  <c r="J32" i="79"/>
  <c r="J34" i="79" s="1"/>
  <c r="K171" i="79" l="1"/>
  <c r="K31" i="79" s="1"/>
  <c r="K75" i="79" s="1"/>
  <c r="K143" i="79"/>
  <c r="K146" i="79" s="1"/>
  <c r="K51" i="79" s="1"/>
  <c r="J51" i="79"/>
  <c r="K55" i="79"/>
  <c r="K78" i="79" s="1"/>
  <c r="J48" i="78"/>
  <c r="J123" i="78" s="1"/>
  <c r="J124" i="78" s="1"/>
  <c r="J112" i="78"/>
  <c r="K111" i="78"/>
  <c r="K113" i="78" s="1"/>
  <c r="K32" i="78"/>
  <c r="M32" i="78" s="1"/>
  <c r="I272" i="79"/>
  <c r="I74" i="79"/>
  <c r="I81" i="79" s="1"/>
  <c r="I181" i="79"/>
  <c r="I182" i="79" s="1"/>
  <c r="K48" i="76"/>
  <c r="K76" i="76" s="1"/>
  <c r="J76" i="76"/>
  <c r="K55" i="78"/>
  <c r="K126" i="78" s="1"/>
  <c r="J78" i="78"/>
  <c r="I74" i="78"/>
  <c r="I181" i="78"/>
  <c r="I272" i="78"/>
  <c r="I117" i="76"/>
  <c r="I120" i="76" s="1"/>
  <c r="I73" i="76"/>
  <c r="I80" i="76" s="1"/>
  <c r="I206" i="76"/>
  <c r="K32" i="76"/>
  <c r="K34" i="76" s="1"/>
  <c r="J77" i="76"/>
  <c r="K54" i="76"/>
  <c r="I123" i="78"/>
  <c r="I124" i="78" s="1"/>
  <c r="I127" i="78" s="1"/>
  <c r="I77" i="78"/>
  <c r="J126" i="78"/>
  <c r="I89" i="79" l="1"/>
  <c r="I195" i="79" s="1"/>
  <c r="I196" i="79" s="1"/>
  <c r="I200" i="79" s="1"/>
  <c r="I202" i="79" s="1"/>
  <c r="K32" i="79"/>
  <c r="K34" i="79" s="1"/>
  <c r="K77" i="79"/>
  <c r="J77" i="79"/>
  <c r="I81" i="78"/>
  <c r="K48" i="78"/>
  <c r="K77" i="78" s="1"/>
  <c r="K112" i="78"/>
  <c r="I277" i="79"/>
  <c r="I274" i="79"/>
  <c r="I211" i="76"/>
  <c r="I208" i="76"/>
  <c r="K34" i="78"/>
  <c r="J77" i="78"/>
  <c r="I129" i="76"/>
  <c r="I130" i="76" s="1"/>
  <c r="I134" i="76" s="1"/>
  <c r="I136" i="76" s="1"/>
  <c r="J116" i="76"/>
  <c r="I63" i="76"/>
  <c r="I65" i="76" s="1"/>
  <c r="K78" i="78"/>
  <c r="J127" i="78"/>
  <c r="I277" i="78"/>
  <c r="I274" i="78"/>
  <c r="K77" i="76"/>
  <c r="I182" i="78"/>
  <c r="I89" i="78" s="1"/>
  <c r="I184" i="79" l="1"/>
  <c r="I195" i="78"/>
  <c r="I196" i="78" s="1"/>
  <c r="I200" i="78" s="1"/>
  <c r="I202" i="78" s="1"/>
  <c r="I203" i="78" s="1"/>
  <c r="K123" i="78"/>
  <c r="K124" i="78" s="1"/>
  <c r="K127" i="78" s="1"/>
  <c r="J133" i="76"/>
  <c r="I137" i="76"/>
  <c r="I57" i="76"/>
  <c r="I58" i="79"/>
  <c r="J199" i="79"/>
  <c r="I203" i="79"/>
  <c r="I184" i="78"/>
  <c r="I64" i="79" l="1"/>
  <c r="I66" i="79" s="1"/>
  <c r="J180" i="79"/>
  <c r="I58" i="78"/>
  <c r="I87" i="78" s="1"/>
  <c r="I90" i="78" s="1"/>
  <c r="I92" i="78" s="1"/>
  <c r="I46" i="78" s="1"/>
  <c r="J199" i="78"/>
  <c r="I87" i="79"/>
  <c r="I90" i="79" s="1"/>
  <c r="I92" i="79" s="1"/>
  <c r="I46" i="79" s="1"/>
  <c r="I213" i="79"/>
  <c r="J214" i="79" s="1"/>
  <c r="J209" i="79" s="1"/>
  <c r="J25" i="79" s="1"/>
  <c r="I137" i="79"/>
  <c r="I61" i="79"/>
  <c r="I64" i="78"/>
  <c r="I66" i="78" s="1"/>
  <c r="J180" i="78"/>
  <c r="I147" i="76"/>
  <c r="J148" i="76" s="1"/>
  <c r="J143" i="76" s="1"/>
  <c r="J25" i="76" s="1"/>
  <c r="I86" i="76"/>
  <c r="I89" i="76" s="1"/>
  <c r="I91" i="76" s="1"/>
  <c r="I46" i="76" s="1"/>
  <c r="I60" i="76"/>
  <c r="I61" i="78" l="1"/>
  <c r="I213" i="78"/>
  <c r="J214" i="78" s="1"/>
  <c r="J209" i="78" s="1"/>
  <c r="J25" i="78" s="1"/>
  <c r="I137" i="78"/>
  <c r="I133" i="79"/>
  <c r="I130" i="79" s="1"/>
  <c r="I53" i="79"/>
  <c r="I68" i="79" s="1"/>
  <c r="J193" i="79"/>
  <c r="J223" i="79"/>
  <c r="J24" i="79" s="1"/>
  <c r="J27" i="79" s="1"/>
  <c r="J127" i="76"/>
  <c r="I52" i="76"/>
  <c r="I67" i="76" s="1"/>
  <c r="J157" i="76"/>
  <c r="J24" i="76" s="1"/>
  <c r="J27" i="76" s="1"/>
  <c r="I53" i="78"/>
  <c r="J193" i="78"/>
  <c r="I133" i="78"/>
  <c r="J223" i="78"/>
  <c r="J24" i="78" s="1"/>
  <c r="J27" i="78" l="1"/>
  <c r="J28" i="78" s="1"/>
  <c r="J29" i="78" s="1"/>
  <c r="I68" i="78"/>
  <c r="I130" i="78"/>
  <c r="I136" i="79"/>
  <c r="I129" i="79" s="1"/>
  <c r="I136" i="78"/>
  <c r="I129" i="78" s="1"/>
  <c r="J28" i="79"/>
  <c r="J29" i="79" s="1"/>
  <c r="J28" i="76"/>
  <c r="J29" i="76" s="1"/>
  <c r="J117" i="76" l="1"/>
  <c r="J120" i="76" s="1"/>
  <c r="J73" i="76"/>
  <c r="J80" i="76" s="1"/>
  <c r="J206" i="76"/>
  <c r="J181" i="79"/>
  <c r="J182" i="79" s="1"/>
  <c r="J272" i="79"/>
  <c r="J74" i="79"/>
  <c r="J81" i="79" s="1"/>
  <c r="J74" i="78"/>
  <c r="J81" i="78" s="1"/>
  <c r="J272" i="78"/>
  <c r="J181" i="78"/>
  <c r="J89" i="79" l="1"/>
  <c r="J195" i="79" s="1"/>
  <c r="J196" i="79" s="1"/>
  <c r="J200" i="79" s="1"/>
  <c r="J202" i="79" s="1"/>
  <c r="J211" i="76"/>
  <c r="J208" i="76"/>
  <c r="J277" i="78"/>
  <c r="J274" i="78"/>
  <c r="J274" i="79"/>
  <c r="J277" i="79"/>
  <c r="J129" i="76"/>
  <c r="J130" i="76" s="1"/>
  <c r="J134" i="76" s="1"/>
  <c r="J136" i="76" s="1"/>
  <c r="J182" i="78"/>
  <c r="J89" i="78" s="1"/>
  <c r="J195" i="78" s="1"/>
  <c r="J196" i="78" s="1"/>
  <c r="J200" i="78" s="1"/>
  <c r="J202" i="78" s="1"/>
  <c r="K116" i="76"/>
  <c r="J63" i="76"/>
  <c r="J65" i="76" s="1"/>
  <c r="J184" i="79" l="1"/>
  <c r="J64" i="79" s="1"/>
  <c r="J66" i="79" s="1"/>
  <c r="J184" i="78"/>
  <c r="J64" i="78" s="1"/>
  <c r="J66" i="78" s="1"/>
  <c r="J58" i="78"/>
  <c r="K199" i="78"/>
  <c r="J203" i="78"/>
  <c r="J58" i="79"/>
  <c r="K199" i="79"/>
  <c r="J203" i="79"/>
  <c r="K133" i="76"/>
  <c r="J137" i="76"/>
  <c r="J57" i="76"/>
  <c r="K180" i="79" l="1"/>
  <c r="K180" i="78"/>
  <c r="J87" i="79"/>
  <c r="J90" i="79" s="1"/>
  <c r="J92" i="79" s="1"/>
  <c r="J46" i="79" s="1"/>
  <c r="J213" i="79"/>
  <c r="K214" i="79" s="1"/>
  <c r="K209" i="79" s="1"/>
  <c r="K25" i="79" s="1"/>
  <c r="J61" i="79"/>
  <c r="J137" i="79"/>
  <c r="J86" i="76"/>
  <c r="J89" i="76" s="1"/>
  <c r="J91" i="76" s="1"/>
  <c r="J46" i="76" s="1"/>
  <c r="J147" i="76"/>
  <c r="K148" i="76" s="1"/>
  <c r="K143" i="76" s="1"/>
  <c r="K25" i="76" s="1"/>
  <c r="J60" i="76"/>
  <c r="J87" i="78"/>
  <c r="J90" i="78" s="1"/>
  <c r="J92" i="78" s="1"/>
  <c r="J46" i="78" s="1"/>
  <c r="J213" i="78"/>
  <c r="K214" i="78" s="1"/>
  <c r="K209" i="78" s="1"/>
  <c r="K25" i="78" s="1"/>
  <c r="J61" i="78"/>
  <c r="J137" i="78"/>
  <c r="K127" i="76" l="1"/>
  <c r="J52" i="76"/>
  <c r="J67" i="76" s="1"/>
  <c r="K157" i="76"/>
  <c r="K24" i="76" s="1"/>
  <c r="K27" i="76" s="1"/>
  <c r="K223" i="79"/>
  <c r="K24" i="79" s="1"/>
  <c r="K27" i="79" s="1"/>
  <c r="J53" i="79"/>
  <c r="J68" i="79" s="1"/>
  <c r="K193" i="79"/>
  <c r="J133" i="79"/>
  <c r="J136" i="79" s="1"/>
  <c r="J129" i="79" s="1"/>
  <c r="J53" i="78"/>
  <c r="J68" i="78" s="1"/>
  <c r="K193" i="78"/>
  <c r="K223" i="78"/>
  <c r="K24" i="78" s="1"/>
  <c r="K27" i="78" s="1"/>
  <c r="J133" i="78"/>
  <c r="J136" i="78" s="1"/>
  <c r="J129" i="78" s="1"/>
  <c r="J130" i="79" l="1"/>
  <c r="K28" i="79"/>
  <c r="K29" i="79" s="1"/>
  <c r="K28" i="76"/>
  <c r="K29" i="76" s="1"/>
  <c r="K28" i="78"/>
  <c r="K29" i="78" s="1"/>
  <c r="M29" i="78" s="1"/>
  <c r="J130" i="78"/>
  <c r="K74" i="78" l="1"/>
  <c r="K81" i="78" s="1"/>
  <c r="K272" i="78"/>
  <c r="K181" i="78"/>
  <c r="K117" i="76"/>
  <c r="K120" i="76" s="1"/>
  <c r="K63" i="76" s="1"/>
  <c r="K65" i="76" s="1"/>
  <c r="K73" i="76"/>
  <c r="K80" i="76" s="1"/>
  <c r="K206" i="76"/>
  <c r="K74" i="79"/>
  <c r="K81" i="79" s="1"/>
  <c r="K181" i="79"/>
  <c r="K182" i="79" s="1"/>
  <c r="K272" i="79"/>
  <c r="K89" i="79" l="1"/>
  <c r="K195" i="79" s="1"/>
  <c r="K196" i="79" s="1"/>
  <c r="K200" i="79" s="1"/>
  <c r="K202" i="79" s="1"/>
  <c r="K277" i="78"/>
  <c r="K274" i="78"/>
  <c r="K274" i="79"/>
  <c r="K277" i="79"/>
  <c r="K211" i="76"/>
  <c r="K208" i="76"/>
  <c r="K129" i="76"/>
  <c r="K130" i="76" s="1"/>
  <c r="K134" i="76" s="1"/>
  <c r="K136" i="76" s="1"/>
  <c r="K182" i="78"/>
  <c r="K89" i="78" s="1"/>
  <c r="K195" i="78" s="1"/>
  <c r="K196" i="78" s="1"/>
  <c r="K200" i="78" s="1"/>
  <c r="K202" i="78" s="1"/>
  <c r="K184" i="79" l="1"/>
  <c r="K64" i="79" s="1"/>
  <c r="K66" i="79" s="1"/>
  <c r="K184" i="78"/>
  <c r="K64" i="78" s="1"/>
  <c r="K66" i="78" s="1"/>
  <c r="K58" i="79"/>
  <c r="K203" i="79"/>
  <c r="K58" i="78"/>
  <c r="K203" i="78"/>
  <c r="K57" i="76"/>
  <c r="K137" i="76"/>
  <c r="K87" i="78" l="1"/>
  <c r="K90" i="78" s="1"/>
  <c r="K92" i="78" s="1"/>
  <c r="K46" i="78" s="1"/>
  <c r="K213" i="78"/>
  <c r="K61" i="78"/>
  <c r="K137" i="78"/>
  <c r="K86" i="76"/>
  <c r="K89" i="76" s="1"/>
  <c r="K91" i="76" s="1"/>
  <c r="K46" i="76" s="1"/>
  <c r="K52" i="76" s="1"/>
  <c r="K147" i="76"/>
  <c r="K60" i="76"/>
  <c r="K87" i="79"/>
  <c r="K90" i="79" s="1"/>
  <c r="K92" i="79" s="1"/>
  <c r="K46" i="79" s="1"/>
  <c r="K213" i="79"/>
  <c r="K61" i="79"/>
  <c r="K137" i="79"/>
  <c r="K67" i="76" l="1"/>
  <c r="K53" i="79"/>
  <c r="K68" i="79" s="1"/>
  <c r="K133" i="79"/>
  <c r="K130" i="79" s="1"/>
  <c r="K53" i="78"/>
  <c r="K68" i="78" s="1"/>
  <c r="K133" i="78"/>
  <c r="K130" i="78" s="1"/>
  <c r="K136" i="78" l="1"/>
  <c r="K129" i="78" s="1"/>
  <c r="K136" i="79"/>
  <c r="K129" i="79" s="1"/>
  <c r="H59" i="86"/>
  <c r="I59" i="86"/>
  <c r="J59" i="86"/>
  <c r="K59" i="86"/>
  <c r="L59" i="86"/>
  <c r="H147" i="86"/>
  <c r="H142" i="86" s="1"/>
  <c r="H24" i="86" s="1"/>
  <c r="I147" i="86"/>
  <c r="I142" i="86" s="1"/>
  <c r="I24" i="86" s="1"/>
  <c r="J147" i="86"/>
  <c r="J142" i="86" s="1"/>
  <c r="J24" i="86" s="1"/>
  <c r="K147" i="86"/>
  <c r="K142" i="86" s="1"/>
  <c r="K24" i="86" s="1"/>
  <c r="L147" i="86"/>
  <c r="L142" i="86" s="1"/>
  <c r="L24" i="86" s="1"/>
  <c r="H156" i="86"/>
  <c r="H23" i="86" s="1"/>
  <c r="I156" i="86"/>
  <c r="I23" i="86" s="1"/>
  <c r="J156" i="86"/>
  <c r="J23" i="86" s="1"/>
  <c r="K156" i="86"/>
  <c r="K23" i="86" s="1"/>
  <c r="L156" i="86"/>
  <c r="L23" i="86" s="1"/>
  <c r="L26" i="86" l="1"/>
  <c r="L27" i="86" s="1"/>
  <c r="L28" i="86" s="1"/>
  <c r="K26" i="86"/>
  <c r="J26" i="86"/>
  <c r="J27" i="86" s="1"/>
  <c r="J28" i="86" s="1"/>
  <c r="H26" i="86"/>
  <c r="K27" i="86"/>
  <c r="K28" i="86" s="1"/>
  <c r="I26" i="86"/>
  <c r="H27" i="86" l="1"/>
  <c r="H28" i="86"/>
  <c r="K162" i="86"/>
  <c r="K116" i="86"/>
  <c r="K72" i="86"/>
  <c r="K79" i="86" s="1"/>
  <c r="J116" i="86"/>
  <c r="J72" i="86"/>
  <c r="J79" i="86" s="1"/>
  <c r="J162" i="86"/>
  <c r="I27" i="86"/>
  <c r="I28" i="86" s="1"/>
  <c r="L162" i="86"/>
  <c r="L116" i="86"/>
  <c r="L72" i="86"/>
  <c r="L79" i="86" s="1"/>
  <c r="H116" i="86" l="1"/>
  <c r="H119" i="86" s="1"/>
  <c r="H72" i="86"/>
  <c r="H79" i="86" s="1"/>
  <c r="H128" i="86" s="1"/>
  <c r="H129" i="86" s="1"/>
  <c r="H133" i="86" s="1"/>
  <c r="H135" i="86" s="1"/>
  <c r="I132" i="86" s="1"/>
  <c r="I135" i="86" s="1"/>
  <c r="H162" i="86"/>
  <c r="I72" i="86"/>
  <c r="I79" i="86" s="1"/>
  <c r="I116" i="86"/>
  <c r="I162" i="86"/>
  <c r="J128" i="86"/>
  <c r="K128" i="86"/>
  <c r="L128" i="86"/>
  <c r="J167" i="86"/>
  <c r="J164" i="86"/>
  <c r="J179" i="86"/>
  <c r="L179" i="86"/>
  <c r="L167" i="86"/>
  <c r="L164" i="86"/>
  <c r="K167" i="86"/>
  <c r="K164" i="86"/>
  <c r="K179" i="86"/>
  <c r="L180" i="86" l="1"/>
  <c r="H56" i="86"/>
  <c r="H136" i="86"/>
  <c r="H164" i="86"/>
  <c r="H167" i="86"/>
  <c r="H179" i="86"/>
  <c r="H180" i="86" s="1"/>
  <c r="I115" i="86"/>
  <c r="I119" i="86" s="1"/>
  <c r="H62" i="86"/>
  <c r="H64" i="86" s="1"/>
  <c r="I136" i="86"/>
  <c r="I56" i="86"/>
  <c r="J132" i="86"/>
  <c r="J135" i="86" s="1"/>
  <c r="K180" i="86"/>
  <c r="H85" i="86"/>
  <c r="H88" i="86" s="1"/>
  <c r="H90" i="86" s="1"/>
  <c r="H45" i="86" s="1"/>
  <c r="H146" i="86"/>
  <c r="I167" i="86"/>
  <c r="I164" i="86"/>
  <c r="I179" i="86"/>
  <c r="I128" i="86"/>
  <c r="I62" i="86" l="1"/>
  <c r="I64" i="86" s="1"/>
  <c r="J115" i="86"/>
  <c r="J119" i="86" s="1"/>
  <c r="I180" i="86"/>
  <c r="J62" i="86"/>
  <c r="J64" i="86" s="1"/>
  <c r="K115" i="86"/>
  <c r="K119" i="86" s="1"/>
  <c r="J180" i="86"/>
  <c r="K132" i="86"/>
  <c r="K135" i="86" s="1"/>
  <c r="J136" i="86"/>
  <c r="J56" i="86"/>
  <c r="H51" i="86"/>
  <c r="H66" i="86" s="1"/>
  <c r="I126" i="86"/>
  <c r="I129" i="86" s="1"/>
  <c r="I133" i="86" s="1"/>
  <c r="I85" i="86"/>
  <c r="I88" i="86" s="1"/>
  <c r="I90" i="86" s="1"/>
  <c r="I45" i="86" s="1"/>
  <c r="I146" i="86"/>
  <c r="J146" i="86" l="1"/>
  <c r="J85" i="86"/>
  <c r="J88" i="86" s="1"/>
  <c r="J90" i="86" s="1"/>
  <c r="J45" i="86" s="1"/>
  <c r="K56" i="86"/>
  <c r="L132" i="86"/>
  <c r="L135" i="86" s="1"/>
  <c r="K136" i="86"/>
  <c r="K62" i="86"/>
  <c r="K64" i="86" s="1"/>
  <c r="L115" i="86"/>
  <c r="L119" i="86" s="1"/>
  <c r="L62" i="86" s="1"/>
  <c r="L64" i="86" s="1"/>
  <c r="I51" i="86"/>
  <c r="I66" i="86" s="1"/>
  <c r="J126" i="86"/>
  <c r="J129" i="86" s="1"/>
  <c r="J133" i="86" s="1"/>
  <c r="L136" i="86" l="1"/>
  <c r="L56" i="86"/>
  <c r="K146" i="86"/>
  <c r="K85" i="86"/>
  <c r="K88" i="86" s="1"/>
  <c r="K90" i="86" s="1"/>
  <c r="K45" i="86" s="1"/>
  <c r="J51" i="86"/>
  <c r="J66" i="86" s="1"/>
  <c r="K126" i="86"/>
  <c r="K129" i="86" s="1"/>
  <c r="K133" i="86" s="1"/>
  <c r="K51" i="86" l="1"/>
  <c r="K66" i="86" s="1"/>
  <c r="L126" i="86"/>
  <c r="L129" i="86" s="1"/>
  <c r="L133" i="86" s="1"/>
  <c r="L146" i="86"/>
  <c r="L85" i="86"/>
  <c r="L88" i="86" s="1"/>
  <c r="L90" i="86" s="1"/>
  <c r="L45" i="86" s="1"/>
  <c r="L51" i="86" s="1"/>
  <c r="L66" i="86" s="1"/>
  <c r="H23" i="84"/>
  <c r="I23" i="84"/>
  <c r="J23" i="84"/>
  <c r="K23" i="84"/>
  <c r="L23" i="84"/>
  <c r="H24" i="84"/>
  <c r="I24" i="84"/>
  <c r="J24" i="84"/>
  <c r="K24" i="84"/>
  <c r="L24" i="84"/>
  <c r="H26" i="84"/>
  <c r="I26" i="84"/>
  <c r="J26" i="84"/>
  <c r="K26" i="84"/>
  <c r="L26" i="84"/>
  <c r="H27" i="84"/>
  <c r="I27" i="84"/>
  <c r="J27" i="84"/>
  <c r="K27" i="84"/>
  <c r="L27" i="84"/>
  <c r="H28" i="84"/>
  <c r="I28" i="84"/>
  <c r="J28" i="84"/>
  <c r="K28" i="84"/>
  <c r="L28" i="84"/>
  <c r="H45" i="84"/>
  <c r="I45" i="84"/>
  <c r="J45" i="84"/>
  <c r="K45" i="84"/>
  <c r="L45" i="84"/>
  <c r="H51" i="84"/>
  <c r="I51" i="84"/>
  <c r="J51" i="84"/>
  <c r="K51" i="84"/>
  <c r="L51" i="84"/>
  <c r="H56" i="84"/>
  <c r="I56" i="84"/>
  <c r="J56" i="84"/>
  <c r="K56" i="84"/>
  <c r="L56" i="84"/>
  <c r="H59" i="84"/>
  <c r="I59" i="84"/>
  <c r="J59" i="84"/>
  <c r="K59" i="84"/>
  <c r="L59" i="84"/>
  <c r="H62" i="84"/>
  <c r="I62" i="84"/>
  <c r="J62" i="84"/>
  <c r="K62" i="84"/>
  <c r="L62" i="84"/>
  <c r="H64" i="84"/>
  <c r="I64" i="84"/>
  <c r="J64" i="84"/>
  <c r="K64" i="84"/>
  <c r="L64" i="84"/>
  <c r="H66" i="84"/>
  <c r="I66" i="84"/>
  <c r="J66" i="84"/>
  <c r="K66" i="84"/>
  <c r="L66" i="84"/>
  <c r="H72" i="84"/>
  <c r="I72" i="84"/>
  <c r="J72" i="84"/>
  <c r="K72" i="84"/>
  <c r="L72" i="84"/>
  <c r="H79" i="84"/>
  <c r="I79" i="84"/>
  <c r="J79" i="84"/>
  <c r="K79" i="84"/>
  <c r="L79" i="84"/>
  <c r="H85" i="84"/>
  <c r="I85" i="84"/>
  <c r="J85" i="84"/>
  <c r="K85" i="84"/>
  <c r="L85" i="84"/>
  <c r="H87" i="84"/>
  <c r="I87" i="84"/>
  <c r="J87" i="84"/>
  <c r="K87" i="84"/>
  <c r="L87" i="84"/>
  <c r="H88" i="84"/>
  <c r="I88" i="84"/>
  <c r="J88" i="84"/>
  <c r="K88" i="84"/>
  <c r="L88" i="84"/>
  <c r="H90" i="84"/>
  <c r="I90" i="84"/>
  <c r="J90" i="84"/>
  <c r="K90" i="84"/>
  <c r="L90" i="84"/>
  <c r="I115" i="84"/>
  <c r="J115" i="84"/>
  <c r="K115" i="84"/>
  <c r="L115" i="84"/>
  <c r="H116" i="84"/>
  <c r="I116" i="84"/>
  <c r="J116" i="84"/>
  <c r="K116" i="84"/>
  <c r="L116" i="84"/>
  <c r="H117" i="84"/>
  <c r="I117" i="84"/>
  <c r="J117" i="84"/>
  <c r="K117" i="84"/>
  <c r="L117" i="84"/>
  <c r="H119" i="84"/>
  <c r="I119" i="84"/>
  <c r="J119" i="84"/>
  <c r="K119" i="84"/>
  <c r="L119" i="84"/>
  <c r="I126" i="84"/>
  <c r="J126" i="84"/>
  <c r="K126" i="84"/>
  <c r="L126" i="84"/>
  <c r="H128" i="84"/>
  <c r="I128" i="84"/>
  <c r="J128" i="84"/>
  <c r="K128" i="84"/>
  <c r="L128" i="84"/>
  <c r="H129" i="84"/>
  <c r="I129" i="84"/>
  <c r="J129" i="84"/>
  <c r="K129" i="84"/>
  <c r="L129" i="84"/>
  <c r="I132" i="84"/>
  <c r="J132" i="84"/>
  <c r="K132" i="84"/>
  <c r="L132" i="84"/>
  <c r="H133" i="84"/>
  <c r="I133" i="84"/>
  <c r="J133" i="84"/>
  <c r="K133" i="84"/>
  <c r="L133" i="84"/>
  <c r="H135" i="84"/>
  <c r="I135" i="84"/>
  <c r="J135" i="84"/>
  <c r="K135" i="84"/>
  <c r="L135" i="84"/>
  <c r="H136" i="84"/>
  <c r="I136" i="84"/>
  <c r="J136" i="84"/>
  <c r="K136" i="84"/>
  <c r="L136" i="84"/>
  <c r="H142" i="84"/>
  <c r="I142" i="84"/>
  <c r="J142" i="84"/>
  <c r="K142" i="84"/>
  <c r="L142" i="84"/>
  <c r="H146" i="84"/>
  <c r="I146" i="84"/>
  <c r="J146" i="84"/>
  <c r="K146" i="84"/>
  <c r="L146" i="84"/>
  <c r="H147" i="84"/>
  <c r="I147" i="84"/>
  <c r="J147" i="84"/>
  <c r="K147" i="84"/>
  <c r="L147" i="84"/>
  <c r="H156" i="84"/>
  <c r="I156" i="84"/>
  <c r="J156" i="84"/>
  <c r="K156" i="84"/>
  <c r="L156" i="84"/>
  <c r="H162" i="84"/>
  <c r="I162" i="84"/>
  <c r="J162" i="84"/>
  <c r="K162" i="84"/>
  <c r="L162" i="84"/>
  <c r="I163" i="84"/>
  <c r="J163" i="84"/>
  <c r="K163" i="84"/>
  <c r="L163" i="84"/>
  <c r="H164" i="84"/>
  <c r="I164" i="84"/>
  <c r="J164" i="84"/>
  <c r="K164" i="84"/>
  <c r="L164" i="84"/>
  <c r="I166" i="84"/>
  <c r="J166" i="84"/>
  <c r="K166" i="84"/>
  <c r="L166" i="84"/>
  <c r="H167" i="84"/>
  <c r="I167" i="84"/>
  <c r="J167" i="84"/>
  <c r="K167" i="84"/>
  <c r="L167" i="84"/>
  <c r="I171" i="84"/>
  <c r="J171" i="84"/>
  <c r="K171" i="84"/>
  <c r="L171" i="84"/>
  <c r="I172" i="84"/>
  <c r="J172" i="84"/>
  <c r="K172" i="84"/>
  <c r="L172" i="84"/>
  <c r="J174" i="84"/>
  <c r="K174" i="84"/>
  <c r="L174" i="84"/>
  <c r="I175" i="84"/>
  <c r="J175" i="84"/>
  <c r="K175" i="84"/>
  <c r="L175" i="84"/>
  <c r="I176" i="84"/>
  <c r="J176" i="84"/>
  <c r="K176" i="84"/>
  <c r="L176" i="84"/>
  <c r="I177" i="84"/>
  <c r="J177" i="84"/>
  <c r="K177" i="84"/>
  <c r="L177" i="84"/>
  <c r="G24" i="74"/>
  <c r="H24" i="74"/>
  <c r="I24" i="74"/>
  <c r="J24" i="74"/>
  <c r="K24" i="74"/>
  <c r="G25" i="74"/>
  <c r="H25" i="74"/>
  <c r="I25" i="74"/>
  <c r="J25" i="74"/>
  <c r="K25" i="74"/>
  <c r="G27" i="74"/>
  <c r="H27" i="74"/>
  <c r="I27" i="74"/>
  <c r="J27" i="74"/>
  <c r="K27" i="74"/>
  <c r="G28" i="74"/>
  <c r="H28" i="74"/>
  <c r="I28" i="74"/>
  <c r="J28" i="74"/>
  <c r="K28" i="74"/>
  <c r="G29" i="74"/>
  <c r="H29" i="74"/>
  <c r="I29" i="74"/>
  <c r="J29" i="74"/>
  <c r="K29" i="74"/>
  <c r="G46" i="74"/>
  <c r="H46" i="74"/>
  <c r="I46" i="74"/>
  <c r="J46" i="74"/>
  <c r="K46" i="74"/>
  <c r="G52" i="74"/>
  <c r="H52" i="74"/>
  <c r="I52" i="74"/>
  <c r="J52" i="74"/>
  <c r="K52" i="74"/>
  <c r="G57" i="74"/>
  <c r="H57" i="74"/>
  <c r="I57" i="74"/>
  <c r="J57" i="74"/>
  <c r="K57" i="74"/>
  <c r="G60" i="74"/>
  <c r="H60" i="74"/>
  <c r="I60" i="74"/>
  <c r="J60" i="74"/>
  <c r="K60" i="74"/>
  <c r="G63" i="74"/>
  <c r="H63" i="74"/>
  <c r="I63" i="74"/>
  <c r="J63" i="74"/>
  <c r="K63" i="74"/>
  <c r="G65" i="74"/>
  <c r="H65" i="74"/>
  <c r="I65" i="74"/>
  <c r="J65" i="74"/>
  <c r="K65" i="74"/>
  <c r="G67" i="74"/>
  <c r="H67" i="74"/>
  <c r="I67" i="74"/>
  <c r="J67" i="74"/>
  <c r="K67" i="74"/>
  <c r="G73" i="74"/>
  <c r="H73" i="74"/>
  <c r="I73" i="74"/>
  <c r="J73" i="74"/>
  <c r="K73" i="74"/>
  <c r="G80" i="74"/>
  <c r="H80" i="74"/>
  <c r="I80" i="74"/>
  <c r="J80" i="74"/>
  <c r="K80" i="74"/>
  <c r="G86" i="74"/>
  <c r="H86" i="74"/>
  <c r="I86" i="74"/>
  <c r="J86" i="74"/>
  <c r="K86" i="74"/>
  <c r="G89" i="74"/>
  <c r="H89" i="74"/>
  <c r="I89" i="74"/>
  <c r="J89" i="74"/>
  <c r="K89" i="74"/>
  <c r="G91" i="74"/>
  <c r="H91" i="74"/>
  <c r="I91" i="74"/>
  <c r="J91" i="74"/>
  <c r="K91" i="74"/>
  <c r="H116" i="74"/>
  <c r="I116" i="74"/>
  <c r="J116" i="74"/>
  <c r="K116" i="74"/>
  <c r="G117" i="74"/>
  <c r="H117" i="74"/>
  <c r="I117" i="74"/>
  <c r="J117" i="74"/>
  <c r="K117" i="74"/>
  <c r="G120" i="74"/>
  <c r="H120" i="74"/>
  <c r="I120" i="74"/>
  <c r="J120" i="74"/>
  <c r="K120" i="74"/>
  <c r="H127" i="74"/>
  <c r="I127" i="74"/>
  <c r="J127" i="74"/>
  <c r="K127" i="74"/>
  <c r="G129" i="74"/>
  <c r="H129" i="74"/>
  <c r="I129" i="74"/>
  <c r="J129" i="74"/>
  <c r="K129" i="74"/>
  <c r="G130" i="74"/>
  <c r="H130" i="74"/>
  <c r="I130" i="74"/>
  <c r="J130" i="74"/>
  <c r="K130" i="74"/>
  <c r="H133" i="74"/>
  <c r="I133" i="74"/>
  <c r="J133" i="74"/>
  <c r="K133" i="74"/>
  <c r="G134" i="74"/>
  <c r="H134" i="74"/>
  <c r="I134" i="74"/>
  <c r="J134" i="74"/>
  <c r="K134" i="74"/>
  <c r="G136" i="74"/>
  <c r="H136" i="74"/>
  <c r="I136" i="74"/>
  <c r="J136" i="74"/>
  <c r="K136" i="74"/>
  <c r="G137" i="74"/>
  <c r="H137" i="74"/>
  <c r="I137" i="74"/>
  <c r="J137" i="74"/>
  <c r="K137" i="74"/>
  <c r="G143" i="74"/>
  <c r="H143" i="74"/>
  <c r="I143" i="74"/>
  <c r="J143" i="74"/>
  <c r="K143" i="74"/>
  <c r="G147" i="74"/>
  <c r="H147" i="74"/>
  <c r="I147" i="74"/>
  <c r="J147" i="74"/>
  <c r="K147" i="74"/>
  <c r="G148" i="74"/>
  <c r="H148" i="74"/>
  <c r="I148" i="74"/>
  <c r="J148" i="74"/>
  <c r="K148" i="74"/>
  <c r="G157" i="74"/>
  <c r="H157" i="74"/>
  <c r="I157" i="74"/>
  <c r="J157" i="74"/>
  <c r="K157" i="74"/>
  <c r="G24" i="70"/>
  <c r="H24" i="70"/>
  <c r="I24" i="70"/>
  <c r="J24" i="70"/>
  <c r="K24" i="70"/>
  <c r="G25" i="70"/>
  <c r="H25" i="70"/>
  <c r="I25" i="70"/>
  <c r="J25" i="70"/>
  <c r="K25" i="70"/>
  <c r="G27" i="70"/>
  <c r="H27" i="70"/>
  <c r="I27" i="70"/>
  <c r="J27" i="70"/>
  <c r="K27" i="70"/>
  <c r="G28" i="70"/>
  <c r="H28" i="70"/>
  <c r="I28" i="70"/>
  <c r="J28" i="70"/>
  <c r="K28" i="70"/>
  <c r="G29" i="70"/>
  <c r="H29" i="70"/>
  <c r="I29" i="70"/>
  <c r="J29" i="70"/>
  <c r="K29" i="70"/>
  <c r="G46" i="70"/>
  <c r="H46" i="70"/>
  <c r="I46" i="70"/>
  <c r="J46" i="70"/>
  <c r="K46" i="70"/>
  <c r="G52" i="70"/>
  <c r="H52" i="70"/>
  <c r="I52" i="70"/>
  <c r="J52" i="70"/>
  <c r="K52" i="70"/>
  <c r="G57" i="70"/>
  <c r="H57" i="70"/>
  <c r="I57" i="70"/>
  <c r="J57" i="70"/>
  <c r="K57" i="70"/>
  <c r="G60" i="70"/>
  <c r="H60" i="70"/>
  <c r="I60" i="70"/>
  <c r="J60" i="70"/>
  <c r="K60" i="70"/>
  <c r="G63" i="70"/>
  <c r="H63" i="70"/>
  <c r="I63" i="70"/>
  <c r="J63" i="70"/>
  <c r="K63" i="70"/>
  <c r="G65" i="70"/>
  <c r="H65" i="70"/>
  <c r="I65" i="70"/>
  <c r="J65" i="70"/>
  <c r="K65" i="70"/>
  <c r="G67" i="70"/>
  <c r="H67" i="70"/>
  <c r="I67" i="70"/>
  <c r="J67" i="70"/>
  <c r="K67" i="70"/>
  <c r="G73" i="70"/>
  <c r="H73" i="70"/>
  <c r="I73" i="70"/>
  <c r="J73" i="70"/>
  <c r="K73" i="70"/>
  <c r="G80" i="70"/>
  <c r="H80" i="70"/>
  <c r="I80" i="70"/>
  <c r="J80" i="70"/>
  <c r="K80" i="70"/>
  <c r="G86" i="70"/>
  <c r="H86" i="70"/>
  <c r="I86" i="70"/>
  <c r="J86" i="70"/>
  <c r="K86" i="70"/>
  <c r="G89" i="70"/>
  <c r="H89" i="70"/>
  <c r="I89" i="70"/>
  <c r="J89" i="70"/>
  <c r="K89" i="70"/>
  <c r="G91" i="70"/>
  <c r="H91" i="70"/>
  <c r="I91" i="70"/>
  <c r="J91" i="70"/>
  <c r="K91" i="70"/>
  <c r="H116" i="70"/>
  <c r="I116" i="70"/>
  <c r="J116" i="70"/>
  <c r="K116" i="70"/>
  <c r="G117" i="70"/>
  <c r="H117" i="70"/>
  <c r="I117" i="70"/>
  <c r="J117" i="70"/>
  <c r="K117" i="70"/>
  <c r="G120" i="70"/>
  <c r="H120" i="70"/>
  <c r="I120" i="70"/>
  <c r="J120" i="70"/>
  <c r="K120" i="70"/>
  <c r="H127" i="70"/>
  <c r="I127" i="70"/>
  <c r="J127" i="70"/>
  <c r="K127" i="70"/>
  <c r="G129" i="70"/>
  <c r="H129" i="70"/>
  <c r="I129" i="70"/>
  <c r="J129" i="70"/>
  <c r="K129" i="70"/>
  <c r="G130" i="70"/>
  <c r="H130" i="70"/>
  <c r="I130" i="70"/>
  <c r="J130" i="70"/>
  <c r="K130" i="70"/>
  <c r="H133" i="70"/>
  <c r="I133" i="70"/>
  <c r="J133" i="70"/>
  <c r="K133" i="70"/>
  <c r="G134" i="70"/>
  <c r="H134" i="70"/>
  <c r="I134" i="70"/>
  <c r="J134" i="70"/>
  <c r="K134" i="70"/>
  <c r="G136" i="70"/>
  <c r="H136" i="70"/>
  <c r="I136" i="70"/>
  <c r="J136" i="70"/>
  <c r="K136" i="70"/>
  <c r="G137" i="70"/>
  <c r="H137" i="70"/>
  <c r="I137" i="70"/>
  <c r="J137" i="70"/>
  <c r="K137" i="70"/>
  <c r="G143" i="70"/>
  <c r="H143" i="70"/>
  <c r="I143" i="70"/>
  <c r="J143" i="70"/>
  <c r="K143" i="70"/>
  <c r="G147" i="70"/>
  <c r="H147" i="70"/>
  <c r="I147" i="70"/>
  <c r="J147" i="70"/>
  <c r="K147" i="70"/>
  <c r="G148" i="70"/>
  <c r="H148" i="70"/>
  <c r="I148" i="70"/>
  <c r="J148" i="70"/>
  <c r="K148" i="70"/>
  <c r="G157" i="70"/>
  <c r="H157" i="70"/>
  <c r="I157" i="70"/>
  <c r="J157" i="70"/>
  <c r="K157" i="70"/>
  <c r="D163" i="70"/>
  <c r="G201" i="70"/>
  <c r="H201" i="70"/>
  <c r="I201" i="70"/>
  <c r="J201" i="70"/>
  <c r="K201" i="70"/>
  <c r="G203" i="70"/>
  <c r="H203" i="70"/>
  <c r="I203" i="70"/>
  <c r="J203" i="70"/>
  <c r="K203" i="70"/>
  <c r="G206" i="70"/>
  <c r="H206" i="70"/>
  <c r="I206" i="70"/>
  <c r="J206" i="70"/>
  <c r="K206" i="70"/>
  <c r="G218" i="70"/>
  <c r="H218" i="70"/>
  <c r="I218" i="70"/>
  <c r="J218" i="70"/>
  <c r="K218" i="70"/>
  <c r="G219" i="70"/>
  <c r="H219" i="70"/>
  <c r="I219" i="70"/>
  <c r="J219" i="70"/>
  <c r="K219" i="70"/>
  <c r="G23" i="83"/>
  <c r="H23" i="83"/>
  <c r="I23" i="83"/>
  <c r="J23" i="83"/>
  <c r="K23" i="83"/>
  <c r="G24" i="83"/>
  <c r="H24" i="83"/>
  <c r="I24" i="83"/>
  <c r="J24" i="83"/>
  <c r="K24" i="83"/>
  <c r="G26" i="83"/>
  <c r="H26" i="83"/>
  <c r="I26" i="83"/>
  <c r="J26" i="83"/>
  <c r="K26" i="83"/>
  <c r="G27" i="83"/>
  <c r="H27" i="83"/>
  <c r="I27" i="83"/>
  <c r="J27" i="83"/>
  <c r="K27" i="83"/>
  <c r="G28" i="83"/>
  <c r="H28" i="83"/>
  <c r="I28" i="83"/>
  <c r="J28" i="83"/>
  <c r="K28" i="83"/>
  <c r="G45" i="83"/>
  <c r="H45" i="83"/>
  <c r="I45" i="83"/>
  <c r="J45" i="83"/>
  <c r="K45" i="83"/>
  <c r="G51" i="83"/>
  <c r="H51" i="83"/>
  <c r="I51" i="83"/>
  <c r="J51" i="83"/>
  <c r="K51" i="83"/>
  <c r="G56" i="83"/>
  <c r="H56" i="83"/>
  <c r="I56" i="83"/>
  <c r="J56" i="83"/>
  <c r="K56" i="83"/>
  <c r="G59" i="83"/>
  <c r="H59" i="83"/>
  <c r="I59" i="83"/>
  <c r="J59" i="83"/>
  <c r="K59" i="83"/>
  <c r="G62" i="83"/>
  <c r="H62" i="83"/>
  <c r="I62" i="83"/>
  <c r="J62" i="83"/>
  <c r="K62" i="83"/>
  <c r="G64" i="83"/>
  <c r="H64" i="83"/>
  <c r="I64" i="83"/>
  <c r="J64" i="83"/>
  <c r="K64" i="83"/>
  <c r="G66" i="83"/>
  <c r="H66" i="83"/>
  <c r="I66" i="83"/>
  <c r="J66" i="83"/>
  <c r="K66" i="83"/>
  <c r="G72" i="83"/>
  <c r="H72" i="83"/>
  <c r="I72" i="83"/>
  <c r="J72" i="83"/>
  <c r="K72" i="83"/>
  <c r="G79" i="83"/>
  <c r="H79" i="83"/>
  <c r="I79" i="83"/>
  <c r="J79" i="83"/>
  <c r="K79" i="83"/>
  <c r="G85" i="83"/>
  <c r="H85" i="83"/>
  <c r="I85" i="83"/>
  <c r="J85" i="83"/>
  <c r="K85" i="83"/>
  <c r="G88" i="83"/>
  <c r="H88" i="83"/>
  <c r="I88" i="83"/>
  <c r="J88" i="83"/>
  <c r="K88" i="83"/>
  <c r="G90" i="83"/>
  <c r="H90" i="83"/>
  <c r="I90" i="83"/>
  <c r="J90" i="83"/>
  <c r="K90" i="83"/>
  <c r="H115" i="83"/>
  <c r="I115" i="83"/>
  <c r="J115" i="83"/>
  <c r="K115" i="83"/>
  <c r="G116" i="83"/>
  <c r="H116" i="83"/>
  <c r="I116" i="83"/>
  <c r="J116" i="83"/>
  <c r="K116" i="83"/>
  <c r="G119" i="83"/>
  <c r="H119" i="83"/>
  <c r="I119" i="83"/>
  <c r="J119" i="83"/>
  <c r="K119" i="83"/>
  <c r="H126" i="83"/>
  <c r="I126" i="83"/>
  <c r="J126" i="83"/>
  <c r="K126" i="83"/>
  <c r="G128" i="83"/>
  <c r="H128" i="83"/>
  <c r="I128" i="83"/>
  <c r="J128" i="83"/>
  <c r="K128" i="83"/>
  <c r="G129" i="83"/>
  <c r="H129" i="83"/>
  <c r="I129" i="83"/>
  <c r="J129" i="83"/>
  <c r="K129" i="83"/>
  <c r="H132" i="83"/>
  <c r="I132" i="83"/>
  <c r="J132" i="83"/>
  <c r="K132" i="83"/>
  <c r="G133" i="83"/>
  <c r="H133" i="83"/>
  <c r="I133" i="83"/>
  <c r="J133" i="83"/>
  <c r="K133" i="83"/>
  <c r="G135" i="83"/>
  <c r="H135" i="83"/>
  <c r="I135" i="83"/>
  <c r="J135" i="83"/>
  <c r="K135" i="83"/>
  <c r="G136" i="83"/>
  <c r="H136" i="83"/>
  <c r="I136" i="83"/>
  <c r="J136" i="83"/>
  <c r="K136" i="83"/>
  <c r="G142" i="83"/>
  <c r="H142" i="83"/>
  <c r="I142" i="83"/>
  <c r="J142" i="83"/>
  <c r="K142" i="83"/>
  <c r="G146" i="83"/>
  <c r="H146" i="83"/>
  <c r="I146" i="83"/>
  <c r="J146" i="83"/>
  <c r="K146" i="83"/>
  <c r="G147" i="83"/>
  <c r="H147" i="83"/>
  <c r="I147" i="83"/>
  <c r="J147" i="83"/>
  <c r="K147" i="83"/>
  <c r="G156" i="83"/>
  <c r="H156" i="83"/>
  <c r="I156" i="83"/>
  <c r="J156" i="83"/>
  <c r="K156" i="83"/>
  <c r="G23" i="82"/>
  <c r="H23" i="82"/>
  <c r="I23" i="82"/>
  <c r="J23" i="82"/>
  <c r="K23" i="82"/>
  <c r="G24" i="82"/>
  <c r="H24" i="82"/>
  <c r="I24" i="82"/>
  <c r="J24" i="82"/>
  <c r="K24" i="82"/>
  <c r="G26" i="82"/>
  <c r="H26" i="82"/>
  <c r="I26" i="82"/>
  <c r="J26" i="82"/>
  <c r="K26" i="82"/>
  <c r="G27" i="82"/>
  <c r="H27" i="82"/>
  <c r="I27" i="82"/>
  <c r="J27" i="82"/>
  <c r="K27" i="82"/>
  <c r="G28" i="82"/>
  <c r="H28" i="82"/>
  <c r="I28" i="82"/>
  <c r="J28" i="82"/>
  <c r="K28" i="82"/>
  <c r="G45" i="82"/>
  <c r="H45" i="82"/>
  <c r="I45" i="82"/>
  <c r="J45" i="82"/>
  <c r="K45" i="82"/>
  <c r="G51" i="82"/>
  <c r="H51" i="82"/>
  <c r="I51" i="82"/>
  <c r="J51" i="82"/>
  <c r="K51" i="82"/>
  <c r="G56" i="82"/>
  <c r="H56" i="82"/>
  <c r="I56" i="82"/>
  <c r="J56" i="82"/>
  <c r="K56" i="82"/>
  <c r="G59" i="82"/>
  <c r="H59" i="82"/>
  <c r="I59" i="82"/>
  <c r="J59" i="82"/>
  <c r="K59" i="82"/>
  <c r="G62" i="82"/>
  <c r="H62" i="82"/>
  <c r="I62" i="82"/>
  <c r="J62" i="82"/>
  <c r="K62" i="82"/>
  <c r="G64" i="82"/>
  <c r="H64" i="82"/>
  <c r="I64" i="82"/>
  <c r="J64" i="82"/>
  <c r="K64" i="82"/>
  <c r="G66" i="82"/>
  <c r="H66" i="82"/>
  <c r="I66" i="82"/>
  <c r="J66" i="82"/>
  <c r="K66" i="82"/>
  <c r="G72" i="82"/>
  <c r="H72" i="82"/>
  <c r="I72" i="82"/>
  <c r="J72" i="82"/>
  <c r="K72" i="82"/>
  <c r="G79" i="82"/>
  <c r="H79" i="82"/>
  <c r="I79" i="82"/>
  <c r="J79" i="82"/>
  <c r="K79" i="82"/>
  <c r="G85" i="82"/>
  <c r="H85" i="82"/>
  <c r="I85" i="82"/>
  <c r="J85" i="82"/>
  <c r="K85" i="82"/>
  <c r="G88" i="82"/>
  <c r="H88" i="82"/>
  <c r="I88" i="82"/>
  <c r="J88" i="82"/>
  <c r="K88" i="82"/>
  <c r="G90" i="82"/>
  <c r="H90" i="82"/>
  <c r="I90" i="82"/>
  <c r="J90" i="82"/>
  <c r="K90" i="82"/>
  <c r="H115" i="82"/>
  <c r="I115" i="82"/>
  <c r="J115" i="82"/>
  <c r="K115" i="82"/>
  <c r="G116" i="82"/>
  <c r="H116" i="82"/>
  <c r="I116" i="82"/>
  <c r="J116" i="82"/>
  <c r="K116" i="82"/>
  <c r="G119" i="82"/>
  <c r="H119" i="82"/>
  <c r="I119" i="82"/>
  <c r="J119" i="82"/>
  <c r="K119" i="82"/>
  <c r="H126" i="82"/>
  <c r="I126" i="82"/>
  <c r="J126" i="82"/>
  <c r="K126" i="82"/>
  <c r="G128" i="82"/>
  <c r="H128" i="82"/>
  <c r="I128" i="82"/>
  <c r="J128" i="82"/>
  <c r="K128" i="82"/>
  <c r="G129" i="82"/>
  <c r="H129" i="82"/>
  <c r="I129" i="82"/>
  <c r="J129" i="82"/>
  <c r="K129" i="82"/>
  <c r="H132" i="82"/>
  <c r="I132" i="82"/>
  <c r="J132" i="82"/>
  <c r="K132" i="82"/>
  <c r="G133" i="82"/>
  <c r="H133" i="82"/>
  <c r="I133" i="82"/>
  <c r="J133" i="82"/>
  <c r="K133" i="82"/>
  <c r="G135" i="82"/>
  <c r="H135" i="82"/>
  <c r="I135" i="82"/>
  <c r="J135" i="82"/>
  <c r="K135" i="82"/>
  <c r="G136" i="82"/>
  <c r="H136" i="82"/>
  <c r="I136" i="82"/>
  <c r="J136" i="82"/>
  <c r="K136" i="82"/>
  <c r="G142" i="82"/>
  <c r="H142" i="82"/>
  <c r="I142" i="82"/>
  <c r="J142" i="82"/>
  <c r="K142" i="82"/>
  <c r="G146" i="82"/>
  <c r="H146" i="82"/>
  <c r="I146" i="82"/>
  <c r="J146" i="82"/>
  <c r="K146" i="82"/>
  <c r="G147" i="82"/>
  <c r="H147" i="82"/>
  <c r="I147" i="82"/>
  <c r="J147" i="82"/>
  <c r="K147" i="82"/>
  <c r="G156" i="82"/>
  <c r="H156" i="82"/>
  <c r="I156" i="82"/>
  <c r="J156" i="82"/>
  <c r="K156" i="82"/>
  <c r="G23" i="64"/>
  <c r="H23" i="64"/>
  <c r="I23" i="64"/>
  <c r="J23" i="64"/>
  <c r="K23" i="64"/>
  <c r="G24" i="64"/>
  <c r="H24" i="64"/>
  <c r="I24" i="64"/>
  <c r="J24" i="64"/>
  <c r="K24" i="64"/>
  <c r="G26" i="64"/>
  <c r="H26" i="64"/>
  <c r="I26" i="64"/>
  <c r="J26" i="64"/>
  <c r="K26" i="64"/>
  <c r="G27" i="64"/>
  <c r="H27" i="64"/>
  <c r="I27" i="64"/>
  <c r="J27" i="64"/>
  <c r="K27" i="64"/>
  <c r="G28" i="64"/>
  <c r="H28" i="64"/>
  <c r="I28" i="64"/>
  <c r="J28" i="64"/>
  <c r="K28" i="64"/>
  <c r="G45" i="64"/>
  <c r="H45" i="64"/>
  <c r="I45" i="64"/>
  <c r="J45" i="64"/>
  <c r="K45" i="64"/>
  <c r="G51" i="64"/>
  <c r="H51" i="64"/>
  <c r="I51" i="64"/>
  <c r="J51" i="64"/>
  <c r="K51" i="64"/>
  <c r="G56" i="64"/>
  <c r="H56" i="64"/>
  <c r="I56" i="64"/>
  <c r="J56" i="64"/>
  <c r="K56" i="64"/>
  <c r="G59" i="64"/>
  <c r="H59" i="64"/>
  <c r="I59" i="64"/>
  <c r="J59" i="64"/>
  <c r="K59" i="64"/>
  <c r="G62" i="64"/>
  <c r="H62" i="64"/>
  <c r="I62" i="64"/>
  <c r="J62" i="64"/>
  <c r="K62" i="64"/>
  <c r="G64" i="64"/>
  <c r="H64" i="64"/>
  <c r="I64" i="64"/>
  <c r="J64" i="64"/>
  <c r="K64" i="64"/>
  <c r="G66" i="64"/>
  <c r="H66" i="64"/>
  <c r="I66" i="64"/>
  <c r="J66" i="64"/>
  <c r="K66" i="64"/>
  <c r="G72" i="64"/>
  <c r="H72" i="64"/>
  <c r="I72" i="64"/>
  <c r="J72" i="64"/>
  <c r="K72" i="64"/>
  <c r="G79" i="64"/>
  <c r="H79" i="64"/>
  <c r="I79" i="64"/>
  <c r="J79" i="64"/>
  <c r="K79" i="64"/>
  <c r="G85" i="64"/>
  <c r="H85" i="64"/>
  <c r="I85" i="64"/>
  <c r="J85" i="64"/>
  <c r="K85" i="64"/>
  <c r="G88" i="64"/>
  <c r="H88" i="64"/>
  <c r="I88" i="64"/>
  <c r="J88" i="64"/>
  <c r="K88" i="64"/>
  <c r="G90" i="64"/>
  <c r="H90" i="64"/>
  <c r="I90" i="64"/>
  <c r="J90" i="64"/>
  <c r="K90" i="64"/>
  <c r="H115" i="64"/>
  <c r="I115" i="64"/>
  <c r="J115" i="64"/>
  <c r="K115" i="64"/>
  <c r="G116" i="64"/>
  <c r="H116" i="64"/>
  <c r="I116" i="64"/>
  <c r="J116" i="64"/>
  <c r="K116" i="64"/>
  <c r="G119" i="64"/>
  <c r="H119" i="64"/>
  <c r="I119" i="64"/>
  <c r="J119" i="64"/>
  <c r="K119" i="64"/>
  <c r="H126" i="64"/>
  <c r="I126" i="64"/>
  <c r="J126" i="64"/>
  <c r="K126" i="64"/>
  <c r="G128" i="64"/>
  <c r="H128" i="64"/>
  <c r="I128" i="64"/>
  <c r="J128" i="64"/>
  <c r="K128" i="64"/>
  <c r="G129" i="64"/>
  <c r="H129" i="64"/>
  <c r="I129" i="64"/>
  <c r="J129" i="64"/>
  <c r="K129" i="64"/>
  <c r="H132" i="64"/>
  <c r="I132" i="64"/>
  <c r="J132" i="64"/>
  <c r="K132" i="64"/>
  <c r="G133" i="64"/>
  <c r="H133" i="64"/>
  <c r="I133" i="64"/>
  <c r="J133" i="64"/>
  <c r="K133" i="64"/>
  <c r="G135" i="64"/>
  <c r="H135" i="64"/>
  <c r="I135" i="64"/>
  <c r="J135" i="64"/>
  <c r="K135" i="64"/>
  <c r="G136" i="64"/>
  <c r="H136" i="64"/>
  <c r="I136" i="64"/>
  <c r="J136" i="64"/>
  <c r="K136" i="64"/>
  <c r="G142" i="64"/>
  <c r="H142" i="64"/>
  <c r="I142" i="64"/>
  <c r="J142" i="64"/>
  <c r="K142" i="64"/>
  <c r="G146" i="64"/>
  <c r="H146" i="64"/>
  <c r="I146" i="64"/>
  <c r="J146" i="64"/>
  <c r="K146" i="64"/>
  <c r="G147" i="64"/>
  <c r="H147" i="64"/>
  <c r="I147" i="64"/>
  <c r="J147" i="64"/>
  <c r="K147" i="64"/>
  <c r="G156" i="64"/>
  <c r="H156" i="64"/>
  <c r="I156" i="64"/>
  <c r="J156" i="64"/>
  <c r="K156" i="6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Matan Feldman</author>
    <author>Massimo</author>
  </authors>
  <commentList>
    <comment ref="D11" authorId="0" shapeId="0" xr:uid="{A4275519-9CEE-4779-87A1-FE943E8E9F75}">
      <text>
        <r>
          <rPr>
            <sz val="9"/>
            <color indexed="81"/>
            <rFont val="Tahoma"/>
            <family val="2"/>
          </rPr>
          <t>Front cover of Apple 2018 10K</t>
        </r>
      </text>
    </comment>
    <comment ref="D25" authorId="1" shapeId="0" xr:uid="{CE7FD5F5-1FD0-4137-BE6C-59412DA983A0}">
      <text>
        <r>
          <rPr>
            <b/>
            <sz val="9"/>
            <color indexed="81"/>
            <rFont val="Tahoma"/>
            <family val="2"/>
          </rPr>
          <t>Massimo:</t>
        </r>
        <r>
          <rPr>
            <sz val="9"/>
            <color indexed="81"/>
            <rFont val="Tahoma"/>
            <family val="2"/>
          </rPr>
          <t xml:space="preserve">
see breakdown for interest income in supplementary notes
</t>
        </r>
      </text>
    </comment>
    <comment ref="E25" authorId="1" shapeId="0" xr:uid="{24A85303-A046-481D-B5C9-A430B62B70BC}">
      <text>
        <r>
          <rPr>
            <b/>
            <sz val="9"/>
            <color indexed="81"/>
            <rFont val="Tahoma"/>
            <family val="2"/>
          </rPr>
          <t>Massimo:</t>
        </r>
        <r>
          <rPr>
            <sz val="9"/>
            <color indexed="81"/>
            <rFont val="Tahoma"/>
            <family val="2"/>
          </rPr>
          <t xml:space="preserve">
see breakdown for interest income in supplementary notes
</t>
        </r>
      </text>
    </comment>
    <comment ref="F25" authorId="1" shapeId="0" xr:uid="{E49FA086-6E07-4F04-BCDF-8A2DD3817E92}">
      <text>
        <r>
          <rPr>
            <b/>
            <sz val="9"/>
            <color indexed="81"/>
            <rFont val="Tahoma"/>
            <family val="2"/>
          </rPr>
          <t>Massimo:</t>
        </r>
        <r>
          <rPr>
            <sz val="9"/>
            <color indexed="81"/>
            <rFont val="Tahoma"/>
            <family val="2"/>
          </rPr>
          <t xml:space="preserve">
see breakdown for interest income in supplementary notes
</t>
        </r>
      </text>
    </comment>
    <comment ref="C53" authorId="0" shapeId="0" xr:uid="{B6B2B07E-2BB5-4E51-9BAD-4FF10ECDCC71}">
      <text>
        <r>
          <rPr>
            <sz val="9"/>
            <color indexed="81"/>
            <rFont val="Tahoma"/>
            <family val="2"/>
          </rPr>
          <t xml:space="preserve">AAPL started aggregating goodwill, intangible assets and other non current assets into one line item in 2018 and no longer provides a breakout of the individual line items. </t>
        </r>
      </text>
    </comment>
    <comment ref="E60" authorId="1" shapeId="0" xr:uid="{5B5B8CD1-B8CB-48E8-B464-C35EF1563BF5}">
      <text>
        <r>
          <rPr>
            <b/>
            <sz val="9"/>
            <color indexed="81"/>
            <rFont val="Tahoma"/>
            <family val="2"/>
          </rPr>
          <t>Massimo:</t>
        </r>
        <r>
          <rPr>
            <sz val="9"/>
            <color indexed="81"/>
            <rFont val="Tahoma"/>
            <family val="2"/>
          </rPr>
          <t xml:space="preserve">
Not shown on BS. See note 6. Debt of QCOM Form 10-K 2021
</t>
        </r>
      </text>
    </comment>
    <comment ref="F60" authorId="1" shapeId="0" xr:uid="{28EE338C-5516-4594-98B1-BD7639588EFE}">
      <text>
        <r>
          <rPr>
            <b/>
            <sz val="9"/>
            <color indexed="81"/>
            <rFont val="Tahoma"/>
            <family val="2"/>
          </rPr>
          <t>Massimo:</t>
        </r>
        <r>
          <rPr>
            <sz val="9"/>
            <color indexed="81"/>
            <rFont val="Tahoma"/>
            <family val="2"/>
          </rPr>
          <t xml:space="preserve">
Not shown on BS. See note 6. Debt of QCOM Form 10-K 2021
</t>
        </r>
      </text>
    </comment>
    <comment ref="E63" authorId="1" shapeId="0" xr:uid="{2DA7F23E-12A4-43AF-9481-A47763EF96DC}">
      <text>
        <r>
          <rPr>
            <b/>
            <sz val="9"/>
            <color indexed="81"/>
            <rFont val="Tahoma"/>
            <family val="2"/>
          </rPr>
          <t>Massimo:</t>
        </r>
        <r>
          <rPr>
            <sz val="9"/>
            <color indexed="81"/>
            <rFont val="Tahoma"/>
            <family val="2"/>
          </rPr>
          <t xml:space="preserve">
See note 6 - Debt. QCOM 2021 10-K. Commercial Paper is recorded within ST Debt. This Figure is ST and LT Debt, Net of CP</t>
        </r>
      </text>
    </comment>
    <comment ref="F63" authorId="1" shapeId="0" xr:uid="{15E76270-FBC9-4E74-A155-549F13DDCE19}">
      <text>
        <r>
          <rPr>
            <b/>
            <sz val="9"/>
            <color indexed="81"/>
            <rFont val="Tahoma"/>
            <family val="2"/>
          </rPr>
          <t>Massimo:</t>
        </r>
        <r>
          <rPr>
            <sz val="9"/>
            <color indexed="81"/>
            <rFont val="Tahoma"/>
            <family val="2"/>
          </rPr>
          <t xml:space="preserve">
See note 6 - Debt. QCOM 2021 10-K. Commercial Paper is recorded within ST Debt. This Figure is ST (of which there is none) and LT Debt, Net of CP</t>
        </r>
      </text>
    </comment>
    <comment ref="F67" authorId="1" shapeId="0" xr:uid="{30B0D73C-0E01-43C9-A5A4-B4108F490625}">
      <text>
        <r>
          <rPr>
            <b/>
            <sz val="9"/>
            <color indexed="81"/>
            <rFont val="Tahoma"/>
            <family val="2"/>
          </rPr>
          <t>Massimo:</t>
        </r>
        <r>
          <rPr>
            <sz val="9"/>
            <color indexed="81"/>
            <rFont val="Tahoma"/>
            <family val="2"/>
          </rPr>
          <t xml:space="preserve">
Never seen this before, interested to learn how this happens. My guess is that the book value has all been repurchased and this figure is net of treasury stock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Matan Feldman</author>
  </authors>
  <commentList>
    <comment ref="D11" authorId="0" shapeId="0" xr:uid="{680A4635-5537-47A3-A250-59454EBA5071}">
      <text>
        <r>
          <rPr>
            <sz val="9"/>
            <color indexed="81"/>
            <rFont val="Tahoma"/>
            <family val="2"/>
          </rPr>
          <t>Front cover of Apple 2018 10K</t>
        </r>
      </text>
    </comment>
    <comment ref="C48" authorId="0" shapeId="0" xr:uid="{22BAA57D-1613-4695-92B0-C4DF87D8B679}">
      <text>
        <r>
          <rPr>
            <sz val="9"/>
            <color indexed="81"/>
            <rFont val="Tahoma"/>
            <family val="2"/>
          </rPr>
          <t>Includes vendor non-trade receivables</t>
        </r>
      </text>
    </comment>
    <comment ref="C50" authorId="0" shapeId="0" xr:uid="{34E013AB-50BC-4751-826B-01E2DB668B6C}">
      <text>
        <r>
          <rPr>
            <sz val="9"/>
            <color indexed="81"/>
            <rFont val="Tahoma"/>
            <family val="2"/>
          </rPr>
          <t>AAPL started aggregating goodwill, intangible assets and other non current assets into one line item in 2018, with no footnote breakout of the individual line items. 10Ks prior to 2018 did have a breakout.</t>
        </r>
      </text>
    </comment>
    <comment ref="M101" authorId="0" shapeId="0" xr:uid="{23377AB6-6D77-4711-9A6C-C8730A368A54}">
      <text>
        <r>
          <rPr>
            <sz val="9"/>
            <color indexed="81"/>
            <rFont val="Tahoma"/>
            <family val="2"/>
          </rPr>
          <t>WSP estimate</t>
        </r>
      </text>
    </comment>
    <comment ref="C117" authorId="0" shapeId="0" xr:uid="{B3C83579-3654-4C46-ABE3-F9D66EA7F631}">
      <text>
        <r>
          <rPr>
            <sz val="9"/>
            <color indexed="81"/>
            <rFont val="Tahoma"/>
            <family val="2"/>
          </rPr>
          <t>Statement of shareholders equity schedule, p.41 Apple 2018 10K</t>
        </r>
      </text>
    </comment>
    <comment ref="C118" authorId="0" shapeId="0" xr:uid="{A3FBD2BE-2EDF-46CB-8205-6E4696997FD1}">
      <text>
        <r>
          <rPr>
            <sz val="9"/>
            <color indexed="81"/>
            <rFont val="Tahoma"/>
            <family val="2"/>
          </rPr>
          <t>Statement of shareholders equity schedule, p.41 Apple 2018 10K</t>
        </r>
      </text>
    </comment>
    <comment ref="E145" authorId="0" shapeId="0" xr:uid="{C7D59D7D-B54E-4364-B372-680DB0EC631D}">
      <text>
        <r>
          <rPr>
            <sz val="9"/>
            <color indexed="81"/>
            <rFont val="Tahoma"/>
            <family val="2"/>
          </rPr>
          <t>2018 Note 5 - Debt. 10K p55</t>
        </r>
      </text>
    </comment>
    <comment ref="F145" authorId="0" shapeId="0" xr:uid="{D5D4F5C5-DFF8-4686-BDAF-E04491ECCE4A}">
      <text>
        <r>
          <rPr>
            <sz val="9"/>
            <color indexed="81"/>
            <rFont val="Tahoma"/>
            <family val="2"/>
          </rPr>
          <t>2018 Note 5 - Debt. 10K p55</t>
        </r>
      </text>
    </comment>
    <comment ref="C151" authorId="0" shapeId="0" xr:uid="{AE896E72-DC08-4F50-874A-95ADEA9ACB0A}">
      <text>
        <r>
          <rPr>
            <sz val="9"/>
            <color indexed="81"/>
            <rFont val="Tahoma"/>
            <family val="2"/>
          </rPr>
          <t xml:space="preserve">We estimate the historical interest rate (though not explicitly disclosed by Apple). </t>
        </r>
      </text>
    </comment>
    <comment ref="C152" authorId="0" shapeId="0" xr:uid="{434EF8AA-1684-4D71-86DF-A6F731FEBBFE}">
      <text>
        <r>
          <rPr>
            <sz val="9"/>
            <color indexed="81"/>
            <rFont val="Tahoma"/>
            <family val="2"/>
          </rPr>
          <t>Although Apple doesn't disclose interest expense specifically, it does disclose the interest rate on commercial paper which enables us to back into interest expense for LTD</t>
        </r>
      </text>
    </comment>
    <comment ref="D155" authorId="0" shapeId="0" xr:uid="{178C026A-C77C-439E-8106-393A2F1F8817}">
      <text>
        <r>
          <rPr>
            <sz val="9"/>
            <color indexed="81"/>
            <rFont val="Tahoma"/>
            <family val="2"/>
          </rPr>
          <t>2018 p.27 in the 'Other Income/(Expense), Net' section.</t>
        </r>
      </text>
    </comment>
    <comment ref="E155" authorId="0" shapeId="0" xr:uid="{ECF61FED-1084-448A-97F7-79212BAA104F}">
      <text>
        <r>
          <rPr>
            <sz val="9"/>
            <color indexed="81"/>
            <rFont val="Tahoma"/>
            <family val="2"/>
          </rPr>
          <t>2018 p.27 in the 'Other Income/(Expense), Net' section.</t>
        </r>
      </text>
    </comment>
    <comment ref="F155" authorId="0" shapeId="0" xr:uid="{7F6320D6-FDCB-4256-9A14-B1CC35C2D8F8}">
      <text>
        <r>
          <rPr>
            <sz val="9"/>
            <color indexed="81"/>
            <rFont val="Tahoma"/>
            <family val="2"/>
          </rPr>
          <t>2018 p.27 in the 'Other Income/(Expense), Net' section.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Matan Feldman</author>
  </authors>
  <commentList>
    <comment ref="D11" authorId="0" shapeId="0" xr:uid="{B3D8A411-EF2B-4151-B622-F27BC31338B9}">
      <text>
        <r>
          <rPr>
            <sz val="9"/>
            <color indexed="81"/>
            <rFont val="Tahoma"/>
            <family val="2"/>
          </rPr>
          <t>Front cover of Apple 2018 10K</t>
        </r>
      </text>
    </comment>
    <comment ref="C49" authorId="0" shapeId="0" xr:uid="{B40C2E2F-70F2-4230-8DAF-BFA0670BB24E}">
      <text>
        <r>
          <rPr>
            <sz val="9"/>
            <color indexed="81"/>
            <rFont val="Tahoma"/>
            <family val="2"/>
          </rPr>
          <t>Includes vendor non-trade receivables</t>
        </r>
      </text>
    </comment>
    <comment ref="C51" authorId="0" shapeId="0" xr:uid="{C3893BF0-A954-4299-BACB-AE38615E790E}">
      <text>
        <r>
          <rPr>
            <sz val="9"/>
            <color indexed="81"/>
            <rFont val="Tahoma"/>
            <family val="2"/>
          </rPr>
          <t>AAPL started aggregating goodwill, intangible assets and other non current assets into one line item in 2018, with no footnote breakout of the individual line items. 10Ks prior to 2018 did have a breakout.</t>
        </r>
      </text>
    </comment>
    <comment ref="M102" authorId="0" shapeId="0" xr:uid="{74E82A9B-6AAD-4DB0-B86D-59E5E35E49ED}">
      <text>
        <r>
          <rPr>
            <sz val="9"/>
            <color indexed="81"/>
            <rFont val="Tahoma"/>
            <family val="2"/>
          </rPr>
          <t>WSP estimate</t>
        </r>
      </text>
    </comment>
    <comment ref="C118" authorId="0" shapeId="0" xr:uid="{50828BF2-8E07-4BC3-B194-162831C9503E}">
      <text>
        <r>
          <rPr>
            <sz val="9"/>
            <color indexed="81"/>
            <rFont val="Tahoma"/>
            <family val="2"/>
          </rPr>
          <t>Statement of shareholders equity schedule, p.41 Apple 2018 10K</t>
        </r>
      </text>
    </comment>
    <comment ref="C119" authorId="0" shapeId="0" xr:uid="{BB9B79DE-D55B-4FBB-8D6C-4AD544A38326}">
      <text>
        <r>
          <rPr>
            <sz val="9"/>
            <color indexed="81"/>
            <rFont val="Tahoma"/>
            <family val="2"/>
          </rPr>
          <t>Statement of shareholders equity schedule, p.41 Apple 2018 10K</t>
        </r>
      </text>
    </comment>
    <comment ref="E146" authorId="0" shapeId="0" xr:uid="{FE5B9476-01FD-4AAC-9C5F-995A9728E7F8}">
      <text>
        <r>
          <rPr>
            <sz val="9"/>
            <color indexed="81"/>
            <rFont val="Tahoma"/>
            <family val="2"/>
          </rPr>
          <t>2018 Note 5 - Debt. 10K p55</t>
        </r>
      </text>
    </comment>
    <comment ref="F146" authorId="0" shapeId="0" xr:uid="{B2833EE3-83D4-429F-9055-2B26BFE41B57}">
      <text>
        <r>
          <rPr>
            <sz val="9"/>
            <color indexed="81"/>
            <rFont val="Tahoma"/>
            <family val="2"/>
          </rPr>
          <t>2018 Note 5 - Debt. 10K p55</t>
        </r>
      </text>
    </comment>
    <comment ref="C152" authorId="0" shapeId="0" xr:uid="{23011AED-AC44-4225-A86A-E90308211DEF}">
      <text>
        <r>
          <rPr>
            <sz val="9"/>
            <color indexed="81"/>
            <rFont val="Tahoma"/>
            <family val="2"/>
          </rPr>
          <t xml:space="preserve">We estimate the historical interest rate (though not explicitly disclosed by Apple). </t>
        </r>
      </text>
    </comment>
    <comment ref="C153" authorId="0" shapeId="0" xr:uid="{7ACD65C9-479F-4B68-8845-48DF891AB280}">
      <text>
        <r>
          <rPr>
            <sz val="9"/>
            <color indexed="81"/>
            <rFont val="Tahoma"/>
            <family val="2"/>
          </rPr>
          <t>Although Apple doesn't disclose interest expense specifically, it does disclose the interest rate on commercial paper which enables us to back into interest expense for LTD</t>
        </r>
      </text>
    </comment>
    <comment ref="D156" authorId="0" shapeId="0" xr:uid="{6F710BCB-95CE-4EC4-818E-DD942E310BC8}">
      <text>
        <r>
          <rPr>
            <sz val="9"/>
            <color indexed="81"/>
            <rFont val="Tahoma"/>
            <family val="2"/>
          </rPr>
          <t>2018 p.27 in the 'Other Income/(Expense), Net' section.</t>
        </r>
      </text>
    </comment>
    <comment ref="E156" authorId="0" shapeId="0" xr:uid="{79E7C51D-D298-4EBC-B4F5-4A36260B2609}">
      <text>
        <r>
          <rPr>
            <sz val="9"/>
            <color indexed="81"/>
            <rFont val="Tahoma"/>
            <family val="2"/>
          </rPr>
          <t>2018 p.27 in the 'Other Income/(Expense), Net' section.</t>
        </r>
      </text>
    </comment>
    <comment ref="F156" authorId="0" shapeId="0" xr:uid="{BDC51D77-66D9-4CA0-BA54-9BB656393050}">
      <text>
        <r>
          <rPr>
            <sz val="9"/>
            <color indexed="81"/>
            <rFont val="Tahoma"/>
            <family val="2"/>
          </rPr>
          <t>2018 p.27 in the 'Other Income/(Expense), Net' section.</t>
        </r>
      </text>
    </comment>
    <comment ref="C205" authorId="0" shapeId="0" xr:uid="{C33F0F51-AFE9-4C55-B7D4-A09F9BC7B9A0}">
      <text>
        <r>
          <rPr>
            <sz val="9"/>
            <color indexed="81"/>
            <rFont val="Tahoma"/>
            <family val="2"/>
          </rPr>
          <t>We straight line last actual year's dilutive securities (calculated as diluted - basic shares) and add this number to the basic share count to arrive at diluted shares</t>
        </r>
      </text>
    </comment>
    <comment ref="C209" authorId="0" shapeId="0" xr:uid="{A0DE1FD3-03C5-4D15-8790-A539CE73DD9D}">
      <text>
        <r>
          <rPr>
            <sz val="9"/>
            <color indexed="81"/>
            <rFont val="Tahoma"/>
            <family val="2"/>
          </rPr>
          <t>Although we are not forecasting explicit share issuances, stock based compensation will eventually increase the basic share count. We need to account for this somehow, otherwise we will be undercounting future basic shares. For simplicty, we are using the SBC expense as a proxy for the current value of common stock issuance.</t>
        </r>
      </text>
    </comment>
    <comment ref="G210" authorId="0" shapeId="0" xr:uid="{8BEFCA39-F332-4E71-B856-9DF1C895574B}">
      <text>
        <r>
          <rPr>
            <sz val="9"/>
            <color indexed="81"/>
            <rFont val="Tahoma"/>
            <family val="2"/>
          </rPr>
          <t>WSP assumption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Matan Feldman</author>
  </authors>
  <commentList>
    <comment ref="D11" authorId="0" shapeId="0" xr:uid="{4800ED47-C910-4D0B-8119-2F22465EE323}">
      <text>
        <r>
          <rPr>
            <sz val="9"/>
            <color indexed="81"/>
            <rFont val="Tahoma"/>
            <family val="2"/>
          </rPr>
          <t>Front cover of Apple 2018 10K</t>
        </r>
      </text>
    </comment>
    <comment ref="C49" authorId="0" shapeId="0" xr:uid="{04B0E128-127A-4BBC-A098-9562B1E03ED3}">
      <text>
        <r>
          <rPr>
            <sz val="9"/>
            <color indexed="81"/>
            <rFont val="Tahoma"/>
            <family val="2"/>
          </rPr>
          <t>Includes vendor non-trade receivables</t>
        </r>
      </text>
    </comment>
    <comment ref="C51" authorId="0" shapeId="0" xr:uid="{87369DFD-EF87-4C42-8EF6-2CBACF477091}">
      <text>
        <r>
          <rPr>
            <sz val="9"/>
            <color indexed="81"/>
            <rFont val="Tahoma"/>
            <family val="2"/>
          </rPr>
          <t>AAPL started aggregating goodwill, intangible assets and other non current assets into one line item in 2018, with no footnote breakout of the individual line items. 10Ks prior to 2018 did have a breakout.</t>
        </r>
      </text>
    </comment>
    <comment ref="M102" authorId="0" shapeId="0" xr:uid="{5DC413EB-FEFE-41C7-B8F3-3E0753F691DB}">
      <text>
        <r>
          <rPr>
            <sz val="9"/>
            <color indexed="81"/>
            <rFont val="Tahoma"/>
            <family val="2"/>
          </rPr>
          <t>WSP estimate</t>
        </r>
      </text>
    </comment>
    <comment ref="C118" authorId="0" shapeId="0" xr:uid="{0170D4A4-E80F-496C-9900-4B22F71F5EEE}">
      <text>
        <r>
          <rPr>
            <sz val="9"/>
            <color indexed="81"/>
            <rFont val="Tahoma"/>
            <family val="2"/>
          </rPr>
          <t>Statement of shareholders equity schedule, p.41 Apple 2018 10K</t>
        </r>
      </text>
    </comment>
    <comment ref="C119" authorId="0" shapeId="0" xr:uid="{2153ECE6-1830-4ADB-8C67-4F668D0B09CD}">
      <text>
        <r>
          <rPr>
            <sz val="9"/>
            <color indexed="81"/>
            <rFont val="Tahoma"/>
            <family val="2"/>
          </rPr>
          <t>Statement of shareholders equity schedule, p.41 Apple 2018 10K</t>
        </r>
      </text>
    </comment>
    <comment ref="E146" authorId="0" shapeId="0" xr:uid="{2DD999D5-AC57-42A1-A5B3-28E47CF33685}">
      <text>
        <r>
          <rPr>
            <sz val="9"/>
            <color indexed="81"/>
            <rFont val="Tahoma"/>
            <family val="2"/>
          </rPr>
          <t>2018 Note 5 - Debt. 10K p55</t>
        </r>
      </text>
    </comment>
    <comment ref="F146" authorId="0" shapeId="0" xr:uid="{040CB6C1-D63F-4184-BE1C-D8B78DAB0395}">
      <text>
        <r>
          <rPr>
            <sz val="9"/>
            <color indexed="81"/>
            <rFont val="Tahoma"/>
            <family val="2"/>
          </rPr>
          <t>2018 Note 5 - Debt. 10K p55</t>
        </r>
      </text>
    </comment>
    <comment ref="C152" authorId="0" shapeId="0" xr:uid="{94759EAA-505A-4453-9044-0B08D72AC969}">
      <text>
        <r>
          <rPr>
            <sz val="9"/>
            <color indexed="81"/>
            <rFont val="Tahoma"/>
            <family val="2"/>
          </rPr>
          <t xml:space="preserve">We estimate the historical interest rate (though not explicitly disclosed by Apple). </t>
        </r>
      </text>
    </comment>
    <comment ref="C153" authorId="0" shapeId="0" xr:uid="{599EE00E-07B6-435C-9821-DAB5A7A7377B}">
      <text>
        <r>
          <rPr>
            <sz val="9"/>
            <color indexed="81"/>
            <rFont val="Tahoma"/>
            <family val="2"/>
          </rPr>
          <t>Although Apple doesn't disclose interest expense specifically, it does disclose the interest rate on commercial paper which enables us to back into interest expense for LTD</t>
        </r>
      </text>
    </comment>
    <comment ref="D156" authorId="0" shapeId="0" xr:uid="{488D3398-57EE-44B5-8E5E-BDFAC0AE88D8}">
      <text>
        <r>
          <rPr>
            <sz val="9"/>
            <color indexed="81"/>
            <rFont val="Tahoma"/>
            <family val="2"/>
          </rPr>
          <t>2018 p.27 in the 'Other Income/(Expense), Net' section.</t>
        </r>
      </text>
    </comment>
    <comment ref="E156" authorId="0" shapeId="0" xr:uid="{74F947B4-72B6-4E0C-9636-7AD84B095161}">
      <text>
        <r>
          <rPr>
            <sz val="9"/>
            <color indexed="81"/>
            <rFont val="Tahoma"/>
            <family val="2"/>
          </rPr>
          <t>2018 p.27 in the 'Other Income/(Expense), Net' section.</t>
        </r>
      </text>
    </comment>
    <comment ref="F156" authorId="0" shapeId="0" xr:uid="{F7F40B33-2B60-412E-AE00-8A29FE34134E}">
      <text>
        <r>
          <rPr>
            <sz val="9"/>
            <color indexed="81"/>
            <rFont val="Tahoma"/>
            <family val="2"/>
          </rPr>
          <t>2018 p.27 in the 'Other Income/(Expense), Net' section.</t>
        </r>
      </text>
    </comment>
    <comment ref="M202" authorId="0" shapeId="0" xr:uid="{27EB1B77-EB88-45A8-8C28-EDE20CEF6694}">
      <text>
        <r>
          <rPr>
            <b/>
            <sz val="9"/>
            <color indexed="81"/>
            <rFont val="Tahoma"/>
            <family val="2"/>
          </rPr>
          <t>Matan Feldman:</t>
        </r>
        <r>
          <rPr>
            <sz val="9"/>
            <color indexed="81"/>
            <rFont val="Tahoma"/>
            <family val="2"/>
          </rPr>
          <t xml:space="preserve">
Because the historical share count reflects AVERAGE share count - not LATEST - a more precise alternative approach is to start with last period's EOP basic shares (see schedule below 'Alternative method for calculating weighted average basic shares'). </t>
        </r>
      </text>
    </comment>
    <comment ref="C205" authorId="0" shapeId="0" xr:uid="{81C5BBBD-89AE-458E-9EEE-B02F1A6C1BF4}">
      <text>
        <r>
          <rPr>
            <sz val="9"/>
            <color indexed="81"/>
            <rFont val="Tahoma"/>
            <family val="2"/>
          </rPr>
          <t>We straight line last actual year's dilutive securities (calculated as diluted - basic shares) and add this number to the basic share count to arrive at diluted shares</t>
        </r>
      </text>
    </comment>
    <comment ref="C209" authorId="0" shapeId="0" xr:uid="{6B3B1DB4-6C07-4339-9D51-5DBBE0F6C7E8}">
      <text>
        <r>
          <rPr>
            <sz val="9"/>
            <color indexed="81"/>
            <rFont val="Tahoma"/>
            <family val="2"/>
          </rPr>
          <t>Although we are not forecasting explicit share issuances, stock based compensation will eventually increase the basic share count. We need to account for this somehow, otherwise we will be undercounting future basic shares. For simplicty, we are using the SBC expense as a proxy for the current value of common stock issuance.</t>
        </r>
      </text>
    </comment>
    <comment ref="G210" authorId="0" shapeId="0" xr:uid="{05D53C11-F9F6-4E0A-9959-592EFC77793A}">
      <text>
        <r>
          <rPr>
            <sz val="9"/>
            <color indexed="81"/>
            <rFont val="Tahoma"/>
            <family val="2"/>
          </rPr>
          <t>WSP assumption</t>
        </r>
      </text>
    </comment>
    <comment ref="M211" authorId="0" shapeId="0" xr:uid="{304E77EF-7E1C-42F5-9FC3-AC57F37B35E9}">
      <text>
        <r>
          <rPr>
            <b/>
            <sz val="9"/>
            <color indexed="81"/>
            <rFont val="Tahoma"/>
            <family val="2"/>
          </rPr>
          <t>Matan Feldman:</t>
        </r>
        <r>
          <rPr>
            <sz val="9"/>
            <color indexed="81"/>
            <rFont val="Tahoma"/>
            <family val="2"/>
          </rPr>
          <t xml:space="preserve">
An alternative approach is to assume share price grows at same rate as net income growth rate (see 'Alternative method for estimating share price growth' section below)</t>
        </r>
      </text>
    </comment>
    <comment ref="C212" authorId="0" shapeId="0" xr:uid="{8EA021E5-347F-4026-A6B2-0BA1AA4E8559}">
      <text>
        <r>
          <rPr>
            <b/>
            <sz val="9"/>
            <color indexed="81"/>
            <rFont val="Tahoma"/>
            <family val="2"/>
          </rPr>
          <t>Matan Feldman:</t>
        </r>
        <r>
          <rPr>
            <sz val="9"/>
            <color indexed="81"/>
            <rFont val="Tahoma"/>
            <family val="2"/>
          </rPr>
          <t xml:space="preserve">
This approach is more precise because to </t>
        </r>
      </text>
    </comment>
    <comment ref="C217" authorId="0" shapeId="0" xr:uid="{78E03F2F-478B-4EF6-9228-7A6808C3AC10}">
      <text>
        <r>
          <rPr>
            <b/>
            <sz val="9"/>
            <color indexed="81"/>
            <rFont val="Tahoma"/>
            <family val="2"/>
          </rPr>
          <t>Matan Feldman:</t>
        </r>
        <r>
          <rPr>
            <sz val="9"/>
            <color indexed="81"/>
            <rFont val="Tahoma"/>
            <family val="2"/>
          </rPr>
          <t xml:space="preserve">
This approach is more precise because to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Matan Feldman</author>
  </authors>
  <commentList>
    <comment ref="C11" authorId="0" shapeId="0" xr:uid="{54A1D5EE-DE48-4110-9889-AABA7F4F9E0B}">
      <text>
        <r>
          <rPr>
            <sz val="9"/>
            <color indexed="81"/>
            <rFont val="Tahoma"/>
            <family val="2"/>
          </rPr>
          <t xml:space="preserve"> Digital Content and Services, AppleCare, Apple Pay, licensing and other services. </t>
        </r>
      </text>
    </comment>
    <comment ref="C12" authorId="0" shapeId="0" xr:uid="{C66C958C-12A4-420F-9FE0-E333650784CA}">
      <text>
        <r>
          <rPr>
            <sz val="9"/>
            <color indexed="81"/>
            <rFont val="Tahoma"/>
            <family val="2"/>
          </rPr>
          <t xml:space="preserve"> AirPods, Apple TV, Apple Watch, Beats products, HomePod, iPod touch and other Apple-branded and third-party accessories.</t>
        </r>
      </text>
    </comment>
    <comment ref="C40" authorId="0" shapeId="0" xr:uid="{5B535793-9B17-4DAF-B549-AFC4B4024760}">
      <text>
        <r>
          <rPr>
            <sz val="9"/>
            <color indexed="81"/>
            <rFont val="Tahoma"/>
            <family val="2"/>
          </rPr>
          <t xml:space="preserve"> Digital Content and Services, AppleCare, Apple Pay, licensing and other services. </t>
        </r>
      </text>
    </comment>
    <comment ref="C41" authorId="0" shapeId="0" xr:uid="{52B418C8-4C59-43C4-854C-26FEBF457C8C}">
      <text>
        <r>
          <rPr>
            <sz val="9"/>
            <color indexed="81"/>
            <rFont val="Tahoma"/>
            <family val="2"/>
          </rPr>
          <t xml:space="preserve"> AirPods, Apple TV, Apple Watch, Beats products, HomePod, iPod touch and other Apple-branded and third-party accessories.</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Matan Feldman</author>
  </authors>
  <commentList>
    <comment ref="C11" authorId="0" shapeId="0" xr:uid="{F6D1873F-1658-4EBB-8E82-CAB4B340DB07}">
      <text>
        <r>
          <rPr>
            <sz val="9"/>
            <color indexed="81"/>
            <rFont val="Tahoma"/>
            <family val="2"/>
          </rPr>
          <t xml:space="preserve"> Digital Content and Services, AppleCare, Apple Pay, licensing and other services. </t>
        </r>
      </text>
    </comment>
    <comment ref="C12" authorId="0" shapeId="0" xr:uid="{C71DDEEA-BA49-4B0D-B2DF-7BC9B6062F78}">
      <text>
        <r>
          <rPr>
            <sz val="9"/>
            <color indexed="81"/>
            <rFont val="Tahoma"/>
            <family val="2"/>
          </rPr>
          <t xml:space="preserve"> AirPods, Apple TV, Apple Watch, Beats products, HomePod, iPod touch and other Apple-branded and third-party accessories.</t>
        </r>
      </text>
    </comment>
    <comment ref="C40" authorId="0" shapeId="0" xr:uid="{BC167312-0DDE-40F0-BA62-C9BA5AF1270A}">
      <text>
        <r>
          <rPr>
            <sz val="9"/>
            <color indexed="81"/>
            <rFont val="Tahoma"/>
            <family val="2"/>
          </rPr>
          <t xml:space="preserve"> Digital Content and Services, AppleCare, Apple Pay, licensing and other services. </t>
        </r>
      </text>
    </comment>
    <comment ref="C41" authorId="0" shapeId="0" xr:uid="{F41E9A70-B42F-4911-ACDE-7724675A2DD0}">
      <text>
        <r>
          <rPr>
            <sz val="9"/>
            <color indexed="81"/>
            <rFont val="Tahoma"/>
            <family val="2"/>
          </rPr>
          <t xml:space="preserve"> AirPods, Apple TV, Apple Watch, Beats products, HomePod, iPod touch and other Apple-branded and third-party accessories.</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Matan Feldman</author>
  </authors>
  <commentList>
    <comment ref="C11" authorId="0" shapeId="0" xr:uid="{5CD348ED-51AD-4A28-9C63-D67E1B83926C}">
      <text>
        <r>
          <rPr>
            <sz val="9"/>
            <color indexed="81"/>
            <rFont val="Tahoma"/>
            <family val="2"/>
          </rPr>
          <t xml:space="preserve"> Digital Content and Services, AppleCare, Apple Pay, licensing and other services. </t>
        </r>
      </text>
    </comment>
    <comment ref="C12" authorId="0" shapeId="0" xr:uid="{89597091-7A77-4BC5-BEE3-1979FB8B0CBB}">
      <text>
        <r>
          <rPr>
            <sz val="9"/>
            <color indexed="81"/>
            <rFont val="Tahoma"/>
            <family val="2"/>
          </rPr>
          <t xml:space="preserve"> AirPods, Apple TV, Apple Watch, Beats products, HomePod, iPod touch and other Apple-branded and third-party accessories.</t>
        </r>
      </text>
    </comment>
    <comment ref="C40" authorId="0" shapeId="0" xr:uid="{1E42708C-760E-4619-8717-02C83B8540C2}">
      <text>
        <r>
          <rPr>
            <sz val="9"/>
            <color indexed="81"/>
            <rFont val="Tahoma"/>
            <family val="2"/>
          </rPr>
          <t xml:space="preserve"> Digital Content and Services, AppleCare, Apple Pay, licensing and other services. </t>
        </r>
      </text>
    </comment>
    <comment ref="C41" authorId="0" shapeId="0" xr:uid="{37F78364-6683-4EFC-8763-B0CAE78CFC1B}">
      <text>
        <r>
          <rPr>
            <sz val="9"/>
            <color indexed="81"/>
            <rFont val="Tahoma"/>
            <family val="2"/>
          </rPr>
          <t xml:space="preserve"> AirPods, Apple TV, Apple Watch, Beats products, HomePod, iPod touch and other Apple-branded and third-party accessories.</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Matan Feldman</author>
  </authors>
  <commentList>
    <comment ref="D11" authorId="0" shapeId="0" xr:uid="{4C816075-536B-47E3-9480-E59E6FC5C1FC}">
      <text>
        <r>
          <rPr>
            <sz val="9"/>
            <color indexed="81"/>
            <rFont val="Tahoma"/>
            <family val="2"/>
          </rPr>
          <t>Front cover of Apple 2018 10K</t>
        </r>
      </text>
    </comment>
    <comment ref="C49" authorId="0" shapeId="0" xr:uid="{DCE92EFB-C401-4DD1-9423-4878A18A10C9}">
      <text>
        <r>
          <rPr>
            <sz val="9"/>
            <color indexed="81"/>
            <rFont val="Tahoma"/>
            <family val="2"/>
          </rPr>
          <t>Includes vendor non-trade receivables</t>
        </r>
      </text>
    </comment>
    <comment ref="C51" authorId="0" shapeId="0" xr:uid="{959B8315-B401-4530-8B0B-55B2FBC54CD9}">
      <text>
        <r>
          <rPr>
            <sz val="9"/>
            <color indexed="81"/>
            <rFont val="Tahoma"/>
            <family val="2"/>
          </rPr>
          <t>AAPL started aggregating goodwill, intangible assets and other non current assets into one line item in 2018, with no footnote breakout of the individual line items. 10Ks prior to 2018 did have a breakout.</t>
        </r>
      </text>
    </comment>
    <comment ref="M102" authorId="0" shapeId="0" xr:uid="{06F35D89-4940-45FB-996F-A0B228952B0D}">
      <text>
        <r>
          <rPr>
            <sz val="9"/>
            <color indexed="81"/>
            <rFont val="Tahoma"/>
            <family val="2"/>
          </rPr>
          <t>WSP estimate</t>
        </r>
      </text>
    </comment>
    <comment ref="C118" authorId="0" shapeId="0" xr:uid="{A072C7D6-99C3-4B74-B1B3-08A93FDFA04A}">
      <text>
        <r>
          <rPr>
            <sz val="9"/>
            <color indexed="81"/>
            <rFont val="Tahoma"/>
            <family val="2"/>
          </rPr>
          <t>Statement of shareholders equity schedule, p.41 Apple 2018 10K</t>
        </r>
      </text>
    </comment>
    <comment ref="C119" authorId="0" shapeId="0" xr:uid="{B1FE9D5D-85FE-44B4-AA30-858AF3F04172}">
      <text>
        <r>
          <rPr>
            <sz val="9"/>
            <color indexed="81"/>
            <rFont val="Tahoma"/>
            <family val="2"/>
          </rPr>
          <t>Statement of shareholders equity schedule, p.41 Apple 2018 10K</t>
        </r>
      </text>
    </comment>
    <comment ref="E146" authorId="0" shapeId="0" xr:uid="{E77954A7-7AC0-4F53-8F88-C3B0175A16BB}">
      <text>
        <r>
          <rPr>
            <sz val="9"/>
            <color indexed="81"/>
            <rFont val="Tahoma"/>
            <family val="2"/>
          </rPr>
          <t>2018 Note 5 - Debt. 10K p55</t>
        </r>
      </text>
    </comment>
    <comment ref="F146" authorId="0" shapeId="0" xr:uid="{FF652378-DAE2-4FBE-A2E8-81FDDFBA6C5B}">
      <text>
        <r>
          <rPr>
            <sz val="9"/>
            <color indexed="81"/>
            <rFont val="Tahoma"/>
            <family val="2"/>
          </rPr>
          <t>2018 Note 5 - Debt. 10K p55</t>
        </r>
      </text>
    </comment>
    <comment ref="C152" authorId="0" shapeId="0" xr:uid="{A4E2225E-4270-44A6-96FD-4ED4EAFE4B3A}">
      <text>
        <r>
          <rPr>
            <sz val="9"/>
            <color indexed="81"/>
            <rFont val="Tahoma"/>
            <family val="2"/>
          </rPr>
          <t xml:space="preserve">We estimate the historical interest rate (though not explicitly disclosed by Apple). </t>
        </r>
      </text>
    </comment>
    <comment ref="C153" authorId="0" shapeId="0" xr:uid="{C848936A-4C93-4123-B321-4C00D5547CD2}">
      <text>
        <r>
          <rPr>
            <sz val="9"/>
            <color indexed="81"/>
            <rFont val="Tahoma"/>
            <family val="2"/>
          </rPr>
          <t>Although Apple doesn't disclose interest expense specifically, it does disclose the interest rate on commercial paper which enables us to back into interest expense for LTD</t>
        </r>
      </text>
    </comment>
    <comment ref="D156" authorId="0" shapeId="0" xr:uid="{F4C9B4FB-BB38-4D1F-B42E-0CC054B669B1}">
      <text>
        <r>
          <rPr>
            <sz val="9"/>
            <color indexed="81"/>
            <rFont val="Tahoma"/>
            <family val="2"/>
          </rPr>
          <t>2018 p.27 in the 'Other Income/(Expense), Net' section.</t>
        </r>
      </text>
    </comment>
    <comment ref="E156" authorId="0" shapeId="0" xr:uid="{3C19DF84-90FF-4200-BD65-1769831C1B4A}">
      <text>
        <r>
          <rPr>
            <sz val="9"/>
            <color indexed="81"/>
            <rFont val="Tahoma"/>
            <family val="2"/>
          </rPr>
          <t>2018 p.27 in the 'Other Income/(Expense), Net' section.</t>
        </r>
      </text>
    </comment>
    <comment ref="F156" authorId="0" shapeId="0" xr:uid="{456E15BA-B045-4937-8F49-83474B98F823}">
      <text>
        <r>
          <rPr>
            <sz val="9"/>
            <color indexed="81"/>
            <rFont val="Tahoma"/>
            <family val="2"/>
          </rPr>
          <t>2018 p.27 in the 'Other Income/(Expense), Net' section.</t>
        </r>
      </text>
    </comment>
    <comment ref="C210" authorId="0" shapeId="0" xr:uid="{B20F3D11-E53B-425E-8938-888DE94ABEC3}">
      <text>
        <r>
          <rPr>
            <sz val="9"/>
            <color indexed="81"/>
            <rFont val="Tahoma"/>
            <family val="2"/>
          </rPr>
          <t>We straight line last actual year's dilutive securities (calculated as diluted - basic shares) and add this number to the basic share count to arrive at diluted shares</t>
        </r>
      </text>
    </comment>
    <comment ref="C214" authorId="0" shapeId="0" xr:uid="{697787CA-5CEA-40B1-8D83-246B7AD9CA7A}">
      <text>
        <r>
          <rPr>
            <sz val="9"/>
            <color indexed="81"/>
            <rFont val="Tahoma"/>
            <family val="2"/>
          </rPr>
          <t>Although we are not forecasting explicit share issuances, stock based compensation will eventually increase the basic share count. We need to account for this somehow, otherwise we will be undercounting future basic shares. For simplicty, we are using the SBC expense as a proxy for the current value of common stock issuance.</t>
        </r>
      </text>
    </comment>
    <comment ref="G215" authorId="0" shapeId="0" xr:uid="{C759B1C4-79C4-4617-9B43-421728687C7D}">
      <text>
        <r>
          <rPr>
            <sz val="9"/>
            <color indexed="81"/>
            <rFont val="Tahoma"/>
            <family val="2"/>
          </rPr>
          <t>WSP assumption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Matan Feldman</author>
  </authors>
  <commentList>
    <comment ref="D11" authorId="0" shapeId="0" xr:uid="{387D4B9F-05F8-4749-929B-0F7F78E2C19D}">
      <text>
        <r>
          <rPr>
            <sz val="9"/>
            <color indexed="81"/>
            <rFont val="Tahoma"/>
            <family val="2"/>
          </rPr>
          <t>Front cover of Apple 2018 10K</t>
        </r>
      </text>
    </comment>
    <comment ref="C52" authorId="0" shapeId="0" xr:uid="{FB6E9A00-9A93-4118-9E4B-CFD0D3F045E5}">
      <text>
        <r>
          <rPr>
            <sz val="9"/>
            <color indexed="81"/>
            <rFont val="Tahoma"/>
            <family val="2"/>
          </rPr>
          <t>AAPL started aggregating goodwill, intangible assets and other non current assets into one line item in 2018, with no footnote breakout of the individual line items. 10Ks prior to 2018 did have a breakout.</t>
        </r>
      </text>
    </comment>
    <comment ref="C117" authorId="0" shapeId="0" xr:uid="{07D9F6C4-6380-461C-B8FA-2E8F5A64069B}">
      <text>
        <r>
          <rPr>
            <b/>
            <sz val="9"/>
            <color indexed="81"/>
            <rFont val="Tahoma"/>
            <family val="2"/>
          </rPr>
          <t>Matan Feldman:</t>
        </r>
        <r>
          <rPr>
            <sz val="9"/>
            <color indexed="81"/>
            <rFont val="Tahoma"/>
            <family val="2"/>
          </rPr>
          <t xml:space="preserve">
This ties the growth in inventory to the growth in cost of sales expenses</t>
        </r>
      </text>
    </comment>
    <comment ref="C158" authorId="0" shapeId="0" xr:uid="{9A7609A1-5243-48D0-B461-59E0BFB351B2}">
      <text>
        <r>
          <rPr>
            <b/>
            <sz val="9"/>
            <color indexed="81"/>
            <rFont val="Tahoma"/>
            <family val="2"/>
          </rPr>
          <t>Matan Feldman:</t>
        </r>
        <r>
          <rPr>
            <sz val="9"/>
            <color indexed="81"/>
            <rFont val="Tahoma"/>
            <family val="2"/>
          </rPr>
          <t xml:space="preserve">
For smoothing</t>
        </r>
      </text>
    </comment>
    <comment ref="E161" authorId="0" shapeId="0" xr:uid="{C5460E77-31AC-4F43-B77E-B426F1E49E36}">
      <text>
        <r>
          <rPr>
            <b/>
            <sz val="9"/>
            <color indexed="81"/>
            <rFont val="Tahoma"/>
            <family val="2"/>
          </rPr>
          <t>Matan Feldman:</t>
        </r>
        <r>
          <rPr>
            <sz val="9"/>
            <color indexed="81"/>
            <rFont val="Tahoma"/>
            <family val="2"/>
          </rPr>
          <t xml:space="preserve">
1 = Assumes full year depreciation from current period capex
0.5 = Assumes half year depreciation from current year capex</t>
        </r>
      </text>
    </comment>
    <comment ref="C182" authorId="0" shapeId="0" xr:uid="{07D33D03-92B8-4123-92E1-E0FEDD6CED44}">
      <text>
        <r>
          <rPr>
            <sz val="9"/>
            <color indexed="81"/>
            <rFont val="Tahoma"/>
            <family val="2"/>
          </rPr>
          <t>Statement of shareholders equity schedule, p.41 Apple 2018 10K</t>
        </r>
      </text>
    </comment>
    <comment ref="C183" authorId="0" shapeId="0" xr:uid="{3330490D-CA2E-4FF4-91E1-56B0C87C4E63}">
      <text>
        <r>
          <rPr>
            <sz val="9"/>
            <color indexed="81"/>
            <rFont val="Tahoma"/>
            <family val="2"/>
          </rPr>
          <t>Statement of shareholders equity schedule, p.41 Apple 2018 10K</t>
        </r>
      </text>
    </comment>
    <comment ref="E212" authorId="0" shapeId="0" xr:uid="{1699058A-480D-4A73-933C-9D8BB1C6712C}">
      <text>
        <r>
          <rPr>
            <sz val="9"/>
            <color indexed="81"/>
            <rFont val="Tahoma"/>
            <family val="2"/>
          </rPr>
          <t>2018 Note 5 - Debt. 10K p55</t>
        </r>
      </text>
    </comment>
    <comment ref="F212" authorId="0" shapeId="0" xr:uid="{7066DF1E-E46D-435F-A5EA-72452F9A0112}">
      <text>
        <r>
          <rPr>
            <sz val="9"/>
            <color indexed="81"/>
            <rFont val="Tahoma"/>
            <family val="2"/>
          </rPr>
          <t>2018 Note 5 - Debt. 10K p55</t>
        </r>
      </text>
    </comment>
    <comment ref="C218" authorId="0" shapeId="0" xr:uid="{4EA2FECA-D96A-4D6C-9E83-635BDBAEB173}">
      <text>
        <r>
          <rPr>
            <sz val="9"/>
            <color indexed="81"/>
            <rFont val="Tahoma"/>
            <family val="2"/>
          </rPr>
          <t xml:space="preserve">We estimate the historical interest rate (though not explicitly disclosed by Apple). </t>
        </r>
      </text>
    </comment>
    <comment ref="C219" authorId="0" shapeId="0" xr:uid="{8B1C8550-0C41-48E3-9D3B-C48A8E33DBB2}">
      <text>
        <r>
          <rPr>
            <sz val="9"/>
            <color indexed="81"/>
            <rFont val="Tahoma"/>
            <family val="2"/>
          </rPr>
          <t>Although Apple doesn't disclose interest expense specifically, it does disclose the interest rate on commercial paper which enables us to back into interest expense for LTD</t>
        </r>
      </text>
    </comment>
    <comment ref="D222" authorId="0" shapeId="0" xr:uid="{FFEA3EE0-FDE8-4ED5-916C-5FA1C628D89E}">
      <text>
        <r>
          <rPr>
            <sz val="9"/>
            <color indexed="81"/>
            <rFont val="Tahoma"/>
            <family val="2"/>
          </rPr>
          <t>2018 p.27 in the 'Other Income/(Expense), Net' section.</t>
        </r>
      </text>
    </comment>
    <comment ref="E222" authorId="0" shapeId="0" xr:uid="{069C1ED0-8347-464E-A356-0F1FC95C2D06}">
      <text>
        <r>
          <rPr>
            <sz val="9"/>
            <color indexed="81"/>
            <rFont val="Tahoma"/>
            <family val="2"/>
          </rPr>
          <t>2018 p.27 in the 'Other Income/(Expense), Net' section.</t>
        </r>
      </text>
    </comment>
    <comment ref="F222" authorId="0" shapeId="0" xr:uid="{7A150457-9FE4-43A4-BE65-ED75C8A29220}">
      <text>
        <r>
          <rPr>
            <sz val="9"/>
            <color indexed="81"/>
            <rFont val="Tahoma"/>
            <family val="2"/>
          </rPr>
          <t>2018 p.27 in the 'Other Income/(Expense), Net' section.</t>
        </r>
      </text>
    </comment>
    <comment ref="C276" authorId="0" shapeId="0" xr:uid="{29D1B647-B0AF-4BB1-A0BA-1783523E1B4A}">
      <text>
        <r>
          <rPr>
            <sz val="9"/>
            <color indexed="81"/>
            <rFont val="Tahoma"/>
            <family val="2"/>
          </rPr>
          <t>We straight line last actual year's dilutive securities (calculated as diluted - basic shares) and add this number to the basic share count to arrive at diluted shares</t>
        </r>
      </text>
    </comment>
    <comment ref="C280" authorId="0" shapeId="0" xr:uid="{35922053-E013-419C-8BEF-2944DD4B51D6}">
      <text>
        <r>
          <rPr>
            <sz val="9"/>
            <color indexed="81"/>
            <rFont val="Tahoma"/>
            <family val="2"/>
          </rPr>
          <t>Although we are not forecasting explicit share issuances, stock based compensation will eventually increase the basic share count. We need to account for this somehow, otherwise we will be undercounting future basic shares. For simplicty, we are using the SBC expense as a proxy for the current value of common stock issuance.</t>
        </r>
      </text>
    </comment>
    <comment ref="G281" authorId="0" shapeId="0" xr:uid="{7E66A924-B337-48F6-992C-FECF038AE3B2}">
      <text>
        <r>
          <rPr>
            <sz val="9"/>
            <color indexed="81"/>
            <rFont val="Tahoma"/>
            <family val="2"/>
          </rPr>
          <t>WSP assumption</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Matan Feldman</author>
  </authors>
  <commentList>
    <comment ref="D11" authorId="0" shapeId="0" xr:uid="{2102A67A-74C1-4706-A188-542ACD512D53}">
      <text>
        <r>
          <rPr>
            <sz val="9"/>
            <color indexed="81"/>
            <rFont val="Tahoma"/>
            <family val="2"/>
          </rPr>
          <t>Front cover of Apple 2018 10K</t>
        </r>
      </text>
    </comment>
    <comment ref="C52" authorId="0" shapeId="0" xr:uid="{2BDD1B10-A107-402C-BB8C-4AE5E510AFD5}">
      <text>
        <r>
          <rPr>
            <sz val="9"/>
            <color indexed="81"/>
            <rFont val="Tahoma"/>
            <family val="2"/>
          </rPr>
          <t>AAPL started aggregating goodwill, intangible assets and other non current assets into one line item in 2018, with no footnote breakout of the individual line items. 10Ks prior to 2018 did have a breakout.</t>
        </r>
      </text>
    </comment>
    <comment ref="C117" authorId="0" shapeId="0" xr:uid="{72A78AF6-E95E-4A60-8D4A-DD1A10746855}">
      <text>
        <r>
          <rPr>
            <b/>
            <sz val="9"/>
            <color indexed="81"/>
            <rFont val="Tahoma"/>
            <family val="2"/>
          </rPr>
          <t>Matan Feldman:</t>
        </r>
        <r>
          <rPr>
            <sz val="9"/>
            <color indexed="81"/>
            <rFont val="Tahoma"/>
            <family val="2"/>
          </rPr>
          <t xml:space="preserve">
This ties the growth in inventory to the growth in cost of sales expenses</t>
        </r>
      </text>
    </comment>
    <comment ref="C158" authorId="0" shapeId="0" xr:uid="{6556DF62-E0F1-4C08-9AAF-942844D12ECE}">
      <text>
        <r>
          <rPr>
            <b/>
            <sz val="9"/>
            <color indexed="81"/>
            <rFont val="Tahoma"/>
            <family val="2"/>
          </rPr>
          <t>Matan Feldman:</t>
        </r>
        <r>
          <rPr>
            <sz val="9"/>
            <color indexed="81"/>
            <rFont val="Tahoma"/>
            <family val="2"/>
          </rPr>
          <t xml:space="preserve">
For smoothing</t>
        </r>
      </text>
    </comment>
    <comment ref="E161" authorId="0" shapeId="0" xr:uid="{C58421E4-DCA8-43AD-ADF1-0A8AFB0E3279}">
      <text>
        <r>
          <rPr>
            <b/>
            <sz val="9"/>
            <color indexed="81"/>
            <rFont val="Tahoma"/>
            <family val="2"/>
          </rPr>
          <t>Matan Feldman:</t>
        </r>
        <r>
          <rPr>
            <sz val="9"/>
            <color indexed="81"/>
            <rFont val="Tahoma"/>
            <family val="2"/>
          </rPr>
          <t xml:space="preserve">
1 = Assumes full year depreciation from current period capex
0.5 = Assumes half year depreciation from current year capex</t>
        </r>
      </text>
    </comment>
    <comment ref="C182" authorId="0" shapeId="0" xr:uid="{33669C37-165A-4158-81FE-17E6DD393C21}">
      <text>
        <r>
          <rPr>
            <sz val="9"/>
            <color indexed="81"/>
            <rFont val="Tahoma"/>
            <family val="2"/>
          </rPr>
          <t>Statement of shareholders equity schedule, p.41 Apple 2018 10K</t>
        </r>
      </text>
    </comment>
    <comment ref="C183" authorId="0" shapeId="0" xr:uid="{9C4C2E29-FC27-462B-8C2C-E0BF2B47296B}">
      <text>
        <r>
          <rPr>
            <sz val="9"/>
            <color indexed="81"/>
            <rFont val="Tahoma"/>
            <family val="2"/>
          </rPr>
          <t>Statement of shareholders equity schedule, p.41 Apple 2018 10K</t>
        </r>
      </text>
    </comment>
    <comment ref="E212" authorId="0" shapeId="0" xr:uid="{712B5192-6991-43EB-B643-E61F51EF675E}">
      <text>
        <r>
          <rPr>
            <sz val="9"/>
            <color indexed="81"/>
            <rFont val="Tahoma"/>
            <family val="2"/>
          </rPr>
          <t>2018 Note 5 - Debt. 10K p55</t>
        </r>
      </text>
    </comment>
    <comment ref="F212" authorId="0" shapeId="0" xr:uid="{343E3A32-82AE-4D46-A32D-3A28D46E47B8}">
      <text>
        <r>
          <rPr>
            <sz val="9"/>
            <color indexed="81"/>
            <rFont val="Tahoma"/>
            <family val="2"/>
          </rPr>
          <t>2018 Note 5 - Debt. 10K p55</t>
        </r>
      </text>
    </comment>
    <comment ref="C218" authorId="0" shapeId="0" xr:uid="{6B83D09B-7F98-4901-8868-EF59B59A1634}">
      <text>
        <r>
          <rPr>
            <sz val="9"/>
            <color indexed="81"/>
            <rFont val="Tahoma"/>
            <family val="2"/>
          </rPr>
          <t xml:space="preserve">We estimate the historical interest rate (though not explicitly disclosed by Apple). </t>
        </r>
      </text>
    </comment>
    <comment ref="C219" authorId="0" shapeId="0" xr:uid="{92D913FE-B7F7-4844-8C7D-3C91AFE292DB}">
      <text>
        <r>
          <rPr>
            <sz val="9"/>
            <color indexed="81"/>
            <rFont val="Tahoma"/>
            <family val="2"/>
          </rPr>
          <t>Although Apple doesn't disclose interest expense specifically, it does disclose the interest rate on commercial paper which enables us to back into interest expense for LTD</t>
        </r>
      </text>
    </comment>
    <comment ref="D222" authorId="0" shapeId="0" xr:uid="{BBDD700C-5C37-457F-8944-9F29B91EACB4}">
      <text>
        <r>
          <rPr>
            <sz val="9"/>
            <color indexed="81"/>
            <rFont val="Tahoma"/>
            <family val="2"/>
          </rPr>
          <t>2018 p.27 in the 'Other Income/(Expense), Net' section.</t>
        </r>
      </text>
    </comment>
    <comment ref="E222" authorId="0" shapeId="0" xr:uid="{80E252DF-D9C4-43FE-B07F-985E7AFA431C}">
      <text>
        <r>
          <rPr>
            <sz val="9"/>
            <color indexed="81"/>
            <rFont val="Tahoma"/>
            <family val="2"/>
          </rPr>
          <t>2018 p.27 in the 'Other Income/(Expense), Net' section.</t>
        </r>
      </text>
    </comment>
    <comment ref="F222" authorId="0" shapeId="0" xr:uid="{BE992C0E-3339-459F-A9AE-BEDCBF9A1721}">
      <text>
        <r>
          <rPr>
            <sz val="9"/>
            <color indexed="81"/>
            <rFont val="Tahoma"/>
            <family val="2"/>
          </rPr>
          <t>2018 p.27 in the 'Other Income/(Expense), Net' section.</t>
        </r>
      </text>
    </comment>
    <comment ref="C276" authorId="0" shapeId="0" xr:uid="{ECE6B34D-C6C2-43AA-87EC-33B8FEEA696C}">
      <text>
        <r>
          <rPr>
            <sz val="9"/>
            <color indexed="81"/>
            <rFont val="Tahoma"/>
            <family val="2"/>
          </rPr>
          <t>We straight line last actual year's dilutive securities (calculated as diluted - basic shares) and add this number to the basic share count to arrive at diluted shares</t>
        </r>
      </text>
    </comment>
    <comment ref="C280" authorId="0" shapeId="0" xr:uid="{72E11428-613D-4EBA-B7D9-44D047ACBB15}">
      <text>
        <r>
          <rPr>
            <sz val="9"/>
            <color indexed="81"/>
            <rFont val="Tahoma"/>
            <family val="2"/>
          </rPr>
          <t>Although we are not forecasting explicit share issuances, stock based compensation will eventually increase the basic share count. We need to account for this somehow, otherwise we will be undercounting future basic shares. For simplicty, we are using the SBC expense as a proxy for the current value of common stock issuance.</t>
        </r>
      </text>
    </comment>
    <comment ref="G281" authorId="0" shapeId="0" xr:uid="{8C8EEF09-E9AB-41F1-A6A2-6AFF7B4529EE}">
      <text>
        <r>
          <rPr>
            <sz val="9"/>
            <color indexed="81"/>
            <rFont val="Tahoma"/>
            <family val="2"/>
          </rPr>
          <t>WSP assumption</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Matan Feldman</author>
  </authors>
  <commentList>
    <comment ref="D11" authorId="0" shapeId="0" xr:uid="{A4AFD8D7-4236-462D-9AF9-A37D82A7A174}">
      <text>
        <r>
          <rPr>
            <sz val="9"/>
            <color indexed="81"/>
            <rFont val="Tahoma"/>
            <family val="2"/>
          </rPr>
          <t>Front cover of Apple 2018 10K</t>
        </r>
      </text>
    </comment>
    <comment ref="C48" authorId="0" shapeId="0" xr:uid="{805EB139-EA12-41EE-8650-4F2F8C8287F8}">
      <text>
        <r>
          <rPr>
            <sz val="9"/>
            <color indexed="81"/>
            <rFont val="Tahoma"/>
            <family val="2"/>
          </rPr>
          <t>Includes vendor non-trade receivables</t>
        </r>
      </text>
    </comment>
    <comment ref="C50" authorId="0" shapeId="0" xr:uid="{27365EFF-2C46-475B-8245-EBF7D1F4F4BF}">
      <text>
        <r>
          <rPr>
            <sz val="9"/>
            <color indexed="81"/>
            <rFont val="Tahoma"/>
            <family val="2"/>
          </rPr>
          <t>AAPL started aggregating goodwill, intangible assets and other non current assets into one line item in 2018, with no footnote breakout of the individual line items. 10Ks prior to 2018 did have a breakout.</t>
        </r>
      </text>
    </comment>
    <comment ref="N101" authorId="0" shapeId="0" xr:uid="{51B4DF1F-1E82-4B95-8F57-84D681929E67}">
      <text>
        <r>
          <rPr>
            <sz val="9"/>
            <color indexed="81"/>
            <rFont val="Tahoma"/>
            <family val="2"/>
          </rPr>
          <t>WSP estimate</t>
        </r>
      </text>
    </comment>
    <comment ref="C117" authorId="0" shapeId="0" xr:uid="{6518A6BB-DA00-4867-9630-80110868AA4B}">
      <text>
        <r>
          <rPr>
            <sz val="9"/>
            <color indexed="81"/>
            <rFont val="Tahoma"/>
            <family val="2"/>
          </rPr>
          <t>Statement of shareholders equity schedule, p.41 Apple 2018 10K</t>
        </r>
      </text>
    </comment>
    <comment ref="C118" authorId="0" shapeId="0" xr:uid="{202F7626-5DC6-4951-B66E-D4D9A9AF6179}">
      <text>
        <r>
          <rPr>
            <sz val="9"/>
            <color indexed="81"/>
            <rFont val="Tahoma"/>
            <family val="2"/>
          </rPr>
          <t>Statement of shareholders equity schedule, p.41 Apple 2018 10K</t>
        </r>
      </text>
    </comment>
    <comment ref="F145" authorId="0" shapeId="0" xr:uid="{25DB8E01-5563-48D8-8B49-B161F79D73FA}">
      <text>
        <r>
          <rPr>
            <sz val="9"/>
            <color indexed="81"/>
            <rFont val="Tahoma"/>
            <family val="2"/>
          </rPr>
          <t>2018 Note 5 - Debt. 10K p55</t>
        </r>
      </text>
    </comment>
    <comment ref="G145" authorId="0" shapeId="0" xr:uid="{D123A0E9-5FCF-4111-8A80-53A674F1F33D}">
      <text>
        <r>
          <rPr>
            <sz val="9"/>
            <color indexed="81"/>
            <rFont val="Tahoma"/>
            <family val="2"/>
          </rPr>
          <t>2018 Note 5 - Debt. 10K p55</t>
        </r>
      </text>
    </comment>
    <comment ref="C151" authorId="0" shapeId="0" xr:uid="{1FE11515-2617-47C4-8182-E321367A5A7E}">
      <text>
        <r>
          <rPr>
            <sz val="9"/>
            <color indexed="81"/>
            <rFont val="Tahoma"/>
            <family val="2"/>
          </rPr>
          <t xml:space="preserve">We estimate the historical interest rate (though not explicitly disclosed by Apple). </t>
        </r>
      </text>
    </comment>
    <comment ref="C152" authorId="0" shapeId="0" xr:uid="{3D1F984D-7674-4C32-857C-C654653C687B}">
      <text>
        <r>
          <rPr>
            <sz val="9"/>
            <color indexed="81"/>
            <rFont val="Tahoma"/>
            <family val="2"/>
          </rPr>
          <t>Although Apple doesn't disclose interest expense specifically, it does disclose the interest rate on commercial paper which enables us to back into interest expense for LTD</t>
        </r>
      </text>
    </comment>
    <comment ref="E155" authorId="0" shapeId="0" xr:uid="{788845E9-CA44-407D-BCE0-0341C9E109FE}">
      <text>
        <r>
          <rPr>
            <sz val="9"/>
            <color indexed="81"/>
            <rFont val="Tahoma"/>
            <family val="2"/>
          </rPr>
          <t>2018 p.27 in the 'Other Income/(Expense), Net' section.</t>
        </r>
      </text>
    </comment>
    <comment ref="F155" authorId="0" shapeId="0" xr:uid="{5822FE9D-44E1-4E02-A314-CE6B80983BCA}">
      <text>
        <r>
          <rPr>
            <sz val="9"/>
            <color indexed="81"/>
            <rFont val="Tahoma"/>
            <family val="2"/>
          </rPr>
          <t>2018 p.27 in the 'Other Income/(Expense), Net' section.</t>
        </r>
      </text>
    </comment>
    <comment ref="G155" authorId="0" shapeId="0" xr:uid="{77B5C948-2348-4A83-B425-060A2EEECC8A}">
      <text>
        <r>
          <rPr>
            <sz val="9"/>
            <color indexed="81"/>
            <rFont val="Tahoma"/>
            <family val="2"/>
          </rPr>
          <t>2018 p.27 in the 'Other Income/(Expense), Net' section.</t>
        </r>
      </text>
    </comment>
    <comment ref="C166" authorId="0" shapeId="0" xr:uid="{6D6E99BA-BEBE-4165-AC24-CB3B68DBA159}">
      <text>
        <r>
          <rPr>
            <sz val="9"/>
            <color indexed="81"/>
            <rFont val="Tahoma"/>
            <family val="2"/>
          </rPr>
          <t>We straight line last actual year's dilutive securities (calculated as diluted - basic shares) and add this number to the basic share count to arrive at diluted shares</t>
        </r>
      </text>
    </comment>
    <comment ref="C170" authorId="0" shapeId="0" xr:uid="{5580C20B-8FC8-4E5D-817D-FE42F782530A}">
      <text>
        <r>
          <rPr>
            <sz val="9"/>
            <color indexed="81"/>
            <rFont val="Tahoma"/>
            <family val="2"/>
          </rPr>
          <t>Although we are not forecasting explicit share issuances, stock based compensation will eventually increase the basic share count. We need to account for this somehow, otherwise we will be undercounting future basic shares. For simplicty, we are using the SBC expense as a proxy for the current value of common stock issuance.</t>
        </r>
      </text>
    </comment>
    <comment ref="H171" authorId="0" shapeId="0" xr:uid="{9714A86E-F742-4CC5-AF1C-C58EDABC0ADF}">
      <text>
        <r>
          <rPr>
            <sz val="9"/>
            <color indexed="81"/>
            <rFont val="Tahoma"/>
            <family val="2"/>
          </rPr>
          <t>WSP assumption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Matan Feldman</author>
    <author>Massimo</author>
  </authors>
  <commentList>
    <comment ref="D11" authorId="0" shapeId="0" xr:uid="{1C8377F5-3015-41AC-87B5-311FF3B527DF}">
      <text>
        <r>
          <rPr>
            <sz val="9"/>
            <color indexed="81"/>
            <rFont val="Tahoma"/>
            <family val="2"/>
          </rPr>
          <t>Front cover of Apple 2018 10K</t>
        </r>
      </text>
    </comment>
    <comment ref="D25" authorId="1" shapeId="0" xr:uid="{A9CC505E-FEC3-4F2F-B868-D5E3C9706948}">
      <text>
        <r>
          <rPr>
            <b/>
            <sz val="9"/>
            <color indexed="81"/>
            <rFont val="Tahoma"/>
            <family val="2"/>
          </rPr>
          <t>Massimo:</t>
        </r>
        <r>
          <rPr>
            <sz val="9"/>
            <color indexed="81"/>
            <rFont val="Tahoma"/>
            <family val="2"/>
          </rPr>
          <t xml:space="preserve">
see breakdown for interest income in supplementary notes
</t>
        </r>
      </text>
    </comment>
    <comment ref="E25" authorId="1" shapeId="0" xr:uid="{D80B95E2-6215-43EC-84BE-6ECFD2BCCB21}">
      <text>
        <r>
          <rPr>
            <b/>
            <sz val="9"/>
            <color indexed="81"/>
            <rFont val="Tahoma"/>
            <family val="2"/>
          </rPr>
          <t>Massimo:</t>
        </r>
        <r>
          <rPr>
            <sz val="9"/>
            <color indexed="81"/>
            <rFont val="Tahoma"/>
            <family val="2"/>
          </rPr>
          <t xml:space="preserve">
see breakdown for interest income in supplementary notes
</t>
        </r>
      </text>
    </comment>
    <comment ref="F25" authorId="1" shapeId="0" xr:uid="{C378239C-73B2-45DB-B8EC-BF9A37D06C7D}">
      <text>
        <r>
          <rPr>
            <b/>
            <sz val="9"/>
            <color indexed="81"/>
            <rFont val="Tahoma"/>
            <family val="2"/>
          </rPr>
          <t>Massimo:</t>
        </r>
        <r>
          <rPr>
            <sz val="9"/>
            <color indexed="81"/>
            <rFont val="Tahoma"/>
            <family val="2"/>
          </rPr>
          <t xml:space="preserve">
see breakdown for interest income in supplementary notes
</t>
        </r>
      </text>
    </comment>
    <comment ref="M38" authorId="1" shapeId="0" xr:uid="{44DD0968-F9A6-4124-A278-4C7FE8569484}">
      <text>
        <r>
          <rPr>
            <b/>
            <sz val="9"/>
            <color indexed="81"/>
            <rFont val="Tahoma"/>
            <family val="2"/>
          </rPr>
          <t>Massimo:</t>
        </r>
        <r>
          <rPr>
            <sz val="9"/>
            <color indexed="81"/>
            <rFont val="Tahoma"/>
            <family val="2"/>
          </rPr>
          <t xml:space="preserve">
Find Estimates from Equity Research Reports to Replace these with perhaps</t>
        </r>
      </text>
    </comment>
    <comment ref="M39" authorId="1" shapeId="0" xr:uid="{AF2707AB-065C-4794-8D9E-C93127D6F13E}">
      <text>
        <r>
          <rPr>
            <b/>
            <sz val="9"/>
            <color indexed="81"/>
            <rFont val="Tahoma"/>
            <family val="2"/>
          </rPr>
          <t>Massimo:</t>
        </r>
        <r>
          <rPr>
            <sz val="9"/>
            <color indexed="81"/>
            <rFont val="Tahoma"/>
            <family val="2"/>
          </rPr>
          <t xml:space="preserve">
Find Estimates from Equity Research Reports to Replace these with perhaps</t>
        </r>
      </text>
    </comment>
    <comment ref="C53" authorId="0" shapeId="0" xr:uid="{4153F423-07B5-48DF-8E67-B441F5EF8434}">
      <text>
        <r>
          <rPr>
            <sz val="9"/>
            <color indexed="81"/>
            <rFont val="Tahoma"/>
            <family val="2"/>
          </rPr>
          <t xml:space="preserve">AAPL started aggregating goodwill, intangible assets and other non current assets into one line item in 2018 and no longer provides a breakout of the individual line items. </t>
        </r>
      </text>
    </comment>
    <comment ref="E60" authorId="1" shapeId="0" xr:uid="{37C55BD6-1CA8-4F33-887B-155F70122D84}">
      <text>
        <r>
          <rPr>
            <b/>
            <sz val="9"/>
            <color indexed="81"/>
            <rFont val="Tahoma"/>
            <family val="2"/>
          </rPr>
          <t>Massimo:</t>
        </r>
        <r>
          <rPr>
            <sz val="9"/>
            <color indexed="81"/>
            <rFont val="Tahoma"/>
            <family val="2"/>
          </rPr>
          <t xml:space="preserve">
Not shown on BS. See note 6. Debt of QCOM Form 10-K 2021
</t>
        </r>
      </text>
    </comment>
    <comment ref="F60" authorId="1" shapeId="0" xr:uid="{2B66AD61-DD53-4EB9-9352-5ED5D882FA7F}">
      <text>
        <r>
          <rPr>
            <b/>
            <sz val="9"/>
            <color indexed="81"/>
            <rFont val="Tahoma"/>
            <family val="2"/>
          </rPr>
          <t>Massimo:</t>
        </r>
        <r>
          <rPr>
            <sz val="9"/>
            <color indexed="81"/>
            <rFont val="Tahoma"/>
            <family val="2"/>
          </rPr>
          <t xml:space="preserve">
Not shown on BS. See note 6. Debt of QCOM Form 10-K 2021
</t>
        </r>
      </text>
    </comment>
    <comment ref="E63" authorId="1" shapeId="0" xr:uid="{E01A28E1-E315-4803-B146-10A330B7522E}">
      <text>
        <r>
          <rPr>
            <b/>
            <sz val="9"/>
            <color indexed="81"/>
            <rFont val="Tahoma"/>
            <family val="2"/>
          </rPr>
          <t>Massimo:</t>
        </r>
        <r>
          <rPr>
            <sz val="9"/>
            <color indexed="81"/>
            <rFont val="Tahoma"/>
            <family val="2"/>
          </rPr>
          <t xml:space="preserve">
See note 6 - Debt. QCOM 2021 10-K. Commercial Paper is recorded within ST Debt. This Figure is ST and LT Debt, Net of CP</t>
        </r>
      </text>
    </comment>
    <comment ref="F63" authorId="1" shapeId="0" xr:uid="{72C78412-D6D3-49B5-8CD3-93CE7515F363}">
      <text>
        <r>
          <rPr>
            <b/>
            <sz val="9"/>
            <color indexed="81"/>
            <rFont val="Tahoma"/>
            <family val="2"/>
          </rPr>
          <t>Massimo:</t>
        </r>
        <r>
          <rPr>
            <sz val="9"/>
            <color indexed="81"/>
            <rFont val="Tahoma"/>
            <family val="2"/>
          </rPr>
          <t xml:space="preserve">
See note 6 - Debt. QCOM 2021 10-K. Commercial Paper is recorded within ST Debt. This Figure is ST (of which there is none) and LT Debt, Net of CP</t>
        </r>
      </text>
    </comment>
    <comment ref="F67" authorId="1" shapeId="0" xr:uid="{77FE34D4-8E0D-4FEB-9BE3-CCDC8E9D58CC}">
      <text>
        <r>
          <rPr>
            <b/>
            <sz val="9"/>
            <color indexed="81"/>
            <rFont val="Tahoma"/>
            <family val="2"/>
          </rPr>
          <t>Massimo:</t>
        </r>
        <r>
          <rPr>
            <sz val="9"/>
            <color indexed="81"/>
            <rFont val="Tahoma"/>
            <family val="2"/>
          </rPr>
          <t xml:space="preserve">
Never seen this before, interested to learn how this happens. My guess is that the book value has all been repurchased and this figure is net of treasury stock </t>
        </r>
      </text>
    </comment>
    <comment ref="C104" authorId="1" shapeId="0" xr:uid="{CC1AECA0-81C6-4913-BA50-898B91F0DA8D}">
      <text>
        <r>
          <rPr>
            <b/>
            <sz val="9"/>
            <color indexed="81"/>
            <rFont val="Tahoma"/>
            <family val="2"/>
          </rPr>
          <t>Massimo:</t>
        </r>
        <r>
          <rPr>
            <sz val="9"/>
            <color indexed="81"/>
            <rFont val="Tahoma"/>
            <family val="2"/>
          </rPr>
          <t xml:space="preserve">
Related only to PPE
</t>
        </r>
      </text>
    </comment>
    <comment ref="M107" authorId="0" shapeId="0" xr:uid="{BA490942-13A3-46F3-B07E-EFF6644DBA14}">
      <text>
        <r>
          <rPr>
            <sz val="9"/>
            <color indexed="81"/>
            <rFont val="Tahoma"/>
            <family val="2"/>
          </rPr>
          <t>WSP estimate</t>
        </r>
      </text>
    </comment>
    <comment ref="C123" authorId="0" shapeId="0" xr:uid="{C2F667DC-16A5-48B7-9DBE-F922C01B7226}">
      <text>
        <r>
          <rPr>
            <sz val="9"/>
            <color indexed="81"/>
            <rFont val="Tahoma"/>
            <family val="2"/>
          </rPr>
          <t>Statement of shareholders equity schedule, Qualcomm 2021 10K</t>
        </r>
      </text>
    </comment>
    <comment ref="C124" authorId="0" shapeId="0" xr:uid="{2C4FA7AD-731C-434E-8E87-552E972B40DE}">
      <text>
        <r>
          <rPr>
            <sz val="9"/>
            <color indexed="81"/>
            <rFont val="Tahoma"/>
            <family val="2"/>
          </rPr>
          <t>Statement of shareholders equity schedule, Qualcomm 2021 10K</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Matan Feldman</author>
  </authors>
  <commentList>
    <comment ref="D11" authorId="0" shapeId="0" xr:uid="{A45DAF0A-5EB8-4160-AF59-55BCBAD0BA73}">
      <text>
        <r>
          <rPr>
            <sz val="9"/>
            <color indexed="81"/>
            <rFont val="Tahoma"/>
            <family val="2"/>
          </rPr>
          <t>Front cover of Apple 2019 10K
As of October 18, 2019</t>
        </r>
      </text>
    </comment>
    <comment ref="C48" authorId="0" shapeId="0" xr:uid="{EAAA7BE5-28FB-479B-8B58-BED37E14D910}">
      <text>
        <r>
          <rPr>
            <sz val="9"/>
            <color indexed="81"/>
            <rFont val="Tahoma"/>
            <family val="2"/>
          </rPr>
          <t>Includes vendor non-trade receivables</t>
        </r>
      </text>
    </comment>
    <comment ref="C50" authorId="0" shapeId="0" xr:uid="{96C73AB5-F2A0-4B31-A05D-990D7D76FEC4}">
      <text>
        <r>
          <rPr>
            <sz val="9"/>
            <color indexed="81"/>
            <rFont val="Tahoma"/>
            <family val="2"/>
          </rPr>
          <t>AAPL started aggregating goodwill, intangible assets and other non current assets into one line item in 2018, with no footnote breakout of the individual line items. 10Ks prior to 2018 did have a breakout.</t>
        </r>
      </text>
    </comment>
    <comment ref="F54" authorId="0" shapeId="0" xr:uid="{6E2737DD-49E8-454B-ADED-55D42EF53FAD}">
      <text>
        <r>
          <rPr>
            <b/>
            <sz val="9"/>
            <color indexed="81"/>
            <rFont val="Tahoma"/>
            <family val="2"/>
          </rPr>
          <t>Matan Feldman:</t>
        </r>
        <r>
          <rPr>
            <sz val="9"/>
            <color indexed="81"/>
            <rFont val="Tahoma"/>
            <family val="2"/>
          </rPr>
          <t xml:space="preserve">
reclassified from 32687 in 2018 10k</t>
        </r>
      </text>
    </comment>
    <comment ref="E55" authorId="0" shapeId="0" xr:uid="{A9078B06-FBE3-4923-A1E9-85BFD83F51E5}">
      <text>
        <r>
          <rPr>
            <b/>
            <sz val="9"/>
            <color indexed="81"/>
            <rFont val="Tahoma"/>
            <family val="2"/>
          </rPr>
          <t>Matan Feldman:</t>
        </r>
        <r>
          <rPr>
            <sz val="9"/>
            <color indexed="81"/>
            <rFont val="Tahoma"/>
            <family val="2"/>
          </rPr>
          <t xml:space="preserve">
includes both current and non current deferred revenue</t>
        </r>
      </text>
    </comment>
    <comment ref="F55" authorId="0" shapeId="0" xr:uid="{344FBAE6-8186-4FD1-8240-7507BA8B3824}">
      <text>
        <r>
          <rPr>
            <b/>
            <sz val="9"/>
            <color indexed="81"/>
            <rFont val="Tahoma"/>
            <family val="2"/>
          </rPr>
          <t>Matan Feldman:</t>
        </r>
        <r>
          <rPr>
            <sz val="9"/>
            <color indexed="81"/>
            <rFont val="Tahoma"/>
            <family val="2"/>
          </rPr>
          <t xml:space="preserve">
reclassified from 10,340 in 2018 10k</t>
        </r>
      </text>
    </comment>
    <comment ref="H97" authorId="0" shapeId="0" xr:uid="{6E6A908B-7154-4079-872F-8D5A3853C830}">
      <text>
        <r>
          <rPr>
            <b/>
            <sz val="9"/>
            <color indexed="81"/>
            <rFont val="Tahoma"/>
            <family val="2"/>
          </rPr>
          <t>Matan Feldman:</t>
        </r>
        <r>
          <rPr>
            <sz val="9"/>
            <color indexed="81"/>
            <rFont val="Tahoma"/>
            <family val="2"/>
          </rPr>
          <t xml:space="preserve">
consensus per 1/2/19 source CIQ</t>
        </r>
      </text>
    </comment>
    <comment ref="I97" authorId="0" shapeId="0" xr:uid="{8F3B5971-DA7F-4B45-8D81-E55C1A6D581E}">
      <text>
        <r>
          <rPr>
            <b/>
            <sz val="9"/>
            <color indexed="81"/>
            <rFont val="Tahoma"/>
            <family val="2"/>
          </rPr>
          <t>Matan Feldman:</t>
        </r>
        <r>
          <rPr>
            <sz val="9"/>
            <color indexed="81"/>
            <rFont val="Tahoma"/>
            <family val="2"/>
          </rPr>
          <t xml:space="preserve">
consensus per 1/2/19 source CIQ</t>
        </r>
      </text>
    </comment>
    <comment ref="N101" authorId="0" shapeId="0" xr:uid="{4C74C6FD-7B4A-43F1-842F-6784AC67FA9B}">
      <text>
        <r>
          <rPr>
            <sz val="9"/>
            <color indexed="81"/>
            <rFont val="Tahoma"/>
            <family val="2"/>
          </rPr>
          <t>WSP estimate</t>
        </r>
      </text>
    </comment>
    <comment ref="C117" authorId="0" shapeId="0" xr:uid="{3A758A67-74C8-41B3-BA63-D09D9AF6A948}">
      <text>
        <r>
          <rPr>
            <sz val="9"/>
            <color indexed="81"/>
            <rFont val="Tahoma"/>
            <family val="2"/>
          </rPr>
          <t>Statement of shareholders equity schedule, p.41 Apple 2018 10K</t>
        </r>
      </text>
    </comment>
    <comment ref="C118" authorId="0" shapeId="0" xr:uid="{6C77543D-1D86-4469-A984-367DE2C4FFF8}">
      <text>
        <r>
          <rPr>
            <sz val="9"/>
            <color indexed="81"/>
            <rFont val="Tahoma"/>
            <family val="2"/>
          </rPr>
          <t>Statement of shareholders equity schedule, p.41 Apple 2018 10K</t>
        </r>
      </text>
    </comment>
    <comment ref="E145" authorId="0" shapeId="0" xr:uid="{ABDCBA3B-1B4B-48D0-8E91-A1FF2FEF8712}">
      <text>
        <r>
          <rPr>
            <sz val="9"/>
            <color indexed="81"/>
            <rFont val="Tahoma"/>
            <family val="2"/>
          </rPr>
          <t>2018 Note 5 - Debt. 10K p55</t>
        </r>
      </text>
    </comment>
    <comment ref="F145" authorId="0" shapeId="0" xr:uid="{397006C9-033E-47F4-B7ED-FC0049685F1B}">
      <text>
        <r>
          <rPr>
            <b/>
            <sz val="9"/>
            <color indexed="81"/>
            <rFont val="Tahoma"/>
            <family val="2"/>
          </rPr>
          <t>Matan Feldman:</t>
        </r>
        <r>
          <rPr>
            <sz val="9"/>
            <color indexed="81"/>
            <rFont val="Tahoma"/>
            <family val="2"/>
          </rPr>
          <t xml:space="preserve">
2019 10k p.47</t>
        </r>
      </text>
    </comment>
    <comment ref="G145" authorId="0" shapeId="0" xr:uid="{334DFBEC-3047-450D-AEB1-59FCBD3E9F6B}">
      <text>
        <r>
          <rPr>
            <b/>
            <sz val="9"/>
            <color indexed="81"/>
            <rFont val="Tahoma"/>
            <family val="2"/>
          </rPr>
          <t>Matan Feldman:</t>
        </r>
        <r>
          <rPr>
            <sz val="9"/>
            <color indexed="81"/>
            <rFont val="Tahoma"/>
            <family val="2"/>
          </rPr>
          <t xml:space="preserve">
2019 10k p.47</t>
        </r>
      </text>
    </comment>
    <comment ref="C151" authorId="0" shapeId="0" xr:uid="{C878D2D9-0CD3-4492-8BA1-F0951DC1FEB4}">
      <text>
        <r>
          <rPr>
            <sz val="9"/>
            <color indexed="81"/>
            <rFont val="Tahoma"/>
            <family val="2"/>
          </rPr>
          <t xml:space="preserve">We estimate the historical interest rate (though not explicitly disclosed by Apple). </t>
        </r>
      </text>
    </comment>
    <comment ref="C152" authorId="0" shapeId="0" xr:uid="{8A86929A-57E9-48E2-A126-A5722FD08D33}">
      <text>
        <r>
          <rPr>
            <sz val="9"/>
            <color indexed="81"/>
            <rFont val="Tahoma"/>
            <family val="2"/>
          </rPr>
          <t>Although Apple doesn't disclose interest expense specifically, it does disclose the interest rate on commercial paper which enables us to back into interest expense for LTD</t>
        </r>
      </text>
    </comment>
    <comment ref="D155" authorId="0" shapeId="0" xr:uid="{0B8F8B0E-857E-444A-B3F5-CE035C9D9DAF}">
      <text>
        <r>
          <rPr>
            <sz val="9"/>
            <color indexed="81"/>
            <rFont val="Tahoma"/>
            <family val="2"/>
          </rPr>
          <t>2018 p.27 in the 'Other Income/(Expense), Net' section.</t>
        </r>
      </text>
    </comment>
    <comment ref="E155" authorId="0" shapeId="0" xr:uid="{1B0C31B2-3911-4547-90FE-761249472713}">
      <text>
        <r>
          <rPr>
            <sz val="9"/>
            <color indexed="81"/>
            <rFont val="Tahoma"/>
            <family val="2"/>
          </rPr>
          <t>2018 p.27 in the 'Other Income/(Expense), Net' section.</t>
        </r>
      </text>
    </comment>
    <comment ref="F155" authorId="0" shapeId="0" xr:uid="{3CC21265-D6C3-4FD5-BCA6-2EBBDB139F13}">
      <text>
        <r>
          <rPr>
            <b/>
            <sz val="9"/>
            <color indexed="81"/>
            <rFont val="Tahoma"/>
            <family val="2"/>
          </rPr>
          <t>Matan Feldman:</t>
        </r>
        <r>
          <rPr>
            <sz val="9"/>
            <color indexed="81"/>
            <rFont val="Tahoma"/>
            <family val="2"/>
          </rPr>
          <t xml:space="preserve">
2019 10k p.22</t>
        </r>
      </text>
    </comment>
    <comment ref="G155" authorId="0" shapeId="0" xr:uid="{D0131A04-8AC5-4C98-A6F1-7803A3A3E7AB}">
      <text>
        <r>
          <rPr>
            <b/>
            <sz val="9"/>
            <color indexed="81"/>
            <rFont val="Tahoma"/>
            <family val="2"/>
          </rPr>
          <t>Matan Feldman:</t>
        </r>
        <r>
          <rPr>
            <sz val="9"/>
            <color indexed="81"/>
            <rFont val="Tahoma"/>
            <family val="2"/>
          </rPr>
          <t xml:space="preserve">
2019 10k p.22</t>
        </r>
      </text>
    </comment>
    <comment ref="C166" authorId="0" shapeId="0" xr:uid="{A832C1D7-FC98-46B3-ACA7-5B71E831174E}">
      <text>
        <r>
          <rPr>
            <sz val="9"/>
            <color indexed="81"/>
            <rFont val="Tahoma"/>
            <family val="2"/>
          </rPr>
          <t>We straight line last actual year's dilutive securities (calculated as diluted - basic shares) and add this number to the basic share count to arrive at diluted shares</t>
        </r>
      </text>
    </comment>
    <comment ref="C170" authorId="0" shapeId="0" xr:uid="{23BF8F2F-8B41-47AB-866A-B65640C75706}">
      <text>
        <r>
          <rPr>
            <sz val="9"/>
            <color indexed="81"/>
            <rFont val="Tahoma"/>
            <family val="2"/>
          </rPr>
          <t>Although we are not forecasting explicit share issuances, stock based compensation will eventually increase the basic share count. We need to account for this somehow, otherwise we will be undercounting future basic shares. For simplicty, we are using the SBC expense as a proxy for the current value of common stock issuance.</t>
        </r>
      </text>
    </comment>
    <comment ref="H171" authorId="0" shapeId="0" xr:uid="{35B6BA47-9C5D-4A3C-ABBB-31D75DB15546}">
      <text>
        <r>
          <rPr>
            <sz val="9"/>
            <color indexed="81"/>
            <rFont val="Tahoma"/>
            <family val="2"/>
          </rPr>
          <t xml:space="preserve">Use latest share count or last 12 month average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Matan Feldman</author>
  </authors>
  <commentList>
    <comment ref="D11" authorId="0" shapeId="0" xr:uid="{0F3E7D2D-6CA4-43AD-AD7D-ACBB5F5BCD84}">
      <text>
        <r>
          <rPr>
            <sz val="9"/>
            <color indexed="81"/>
            <rFont val="Tahoma"/>
            <family val="2"/>
          </rPr>
          <t>Front cover of Apple 2018 10K</t>
        </r>
      </text>
    </comment>
    <comment ref="C48" authorId="0" shapeId="0" xr:uid="{148DABAD-A578-4B4D-AF88-DEDA8C3D92F3}">
      <text>
        <r>
          <rPr>
            <sz val="9"/>
            <color indexed="81"/>
            <rFont val="Tahoma"/>
            <family val="2"/>
          </rPr>
          <t>Includes vendor non-trade receivables</t>
        </r>
      </text>
    </comment>
    <comment ref="C50" authorId="0" shapeId="0" xr:uid="{FC853539-EB74-49F0-934D-EC4F4D3662B1}">
      <text>
        <r>
          <rPr>
            <sz val="9"/>
            <color indexed="81"/>
            <rFont val="Tahoma"/>
            <family val="2"/>
          </rPr>
          <t>AAPL started aggregating goodwill, intangible assets and other non current assets into one line item in 2018, with no footnote breakout of the individual line items. 10Ks prior to 2018 did have a breakout.</t>
        </r>
      </text>
    </comment>
    <comment ref="M101" authorId="0" shapeId="0" xr:uid="{D2DF7A8C-F5C3-40BE-8A0B-88CB3DC04342}">
      <text>
        <r>
          <rPr>
            <sz val="9"/>
            <color indexed="81"/>
            <rFont val="Tahoma"/>
            <family val="2"/>
          </rPr>
          <t>WSP estimate</t>
        </r>
      </text>
    </comment>
    <comment ref="C117" authorId="0" shapeId="0" xr:uid="{D1394D52-CF4E-4040-BDE1-3F9923599C67}">
      <text>
        <r>
          <rPr>
            <sz val="9"/>
            <color indexed="81"/>
            <rFont val="Tahoma"/>
            <family val="2"/>
          </rPr>
          <t>Statement of shareholders equity schedule, p.41 Apple 2018 10K</t>
        </r>
      </text>
    </comment>
    <comment ref="C118" authorId="0" shapeId="0" xr:uid="{EDBFF4C0-B881-4B14-AE97-E65799E8250A}">
      <text>
        <r>
          <rPr>
            <sz val="9"/>
            <color indexed="81"/>
            <rFont val="Tahoma"/>
            <family val="2"/>
          </rPr>
          <t>Statement of shareholders equity schedule, p.41 Apple 2018 10K</t>
        </r>
      </text>
    </comment>
    <comment ref="E145" authorId="0" shapeId="0" xr:uid="{6A125933-458D-4487-AC80-06E2C529AD1A}">
      <text>
        <r>
          <rPr>
            <sz val="9"/>
            <color indexed="81"/>
            <rFont val="Tahoma"/>
            <family val="2"/>
          </rPr>
          <t>2018 Note 5 - Debt. 10K p55</t>
        </r>
      </text>
    </comment>
    <comment ref="F145" authorId="0" shapeId="0" xr:uid="{AFCEECD8-3C01-4B9D-BEB2-812A3DA4E4BC}">
      <text>
        <r>
          <rPr>
            <sz val="9"/>
            <color indexed="81"/>
            <rFont val="Tahoma"/>
            <family val="2"/>
          </rPr>
          <t>2018 Note 5 - Debt. 10K p55</t>
        </r>
      </text>
    </comment>
    <comment ref="C151" authorId="0" shapeId="0" xr:uid="{4727664D-20F1-4339-A49E-9BC2CAE80B11}">
      <text>
        <r>
          <rPr>
            <sz val="9"/>
            <color indexed="81"/>
            <rFont val="Tahoma"/>
            <family val="2"/>
          </rPr>
          <t xml:space="preserve">We estimate the historical interest rate (though not explicitly disclosed by Apple). </t>
        </r>
      </text>
    </comment>
    <comment ref="C152" authorId="0" shapeId="0" xr:uid="{C70B2A40-B60D-4E84-99CF-716F8D993637}">
      <text>
        <r>
          <rPr>
            <sz val="9"/>
            <color indexed="81"/>
            <rFont val="Tahoma"/>
            <family val="2"/>
          </rPr>
          <t>Although Apple doesn't disclose interest expense specifically, it does disclose the interest rate on commercial paper which enables us to back into interest expense for LTD</t>
        </r>
      </text>
    </comment>
    <comment ref="D155" authorId="0" shapeId="0" xr:uid="{1264A6C7-FBB4-4668-9016-46B172ACCC1B}">
      <text>
        <r>
          <rPr>
            <sz val="9"/>
            <color indexed="81"/>
            <rFont val="Tahoma"/>
            <family val="2"/>
          </rPr>
          <t>2018 p.27 in the 'Other Income/(Expense), Net' section.</t>
        </r>
      </text>
    </comment>
    <comment ref="E155" authorId="0" shapeId="0" xr:uid="{6135F493-7054-4B10-9365-109C046923FA}">
      <text>
        <r>
          <rPr>
            <sz val="9"/>
            <color indexed="81"/>
            <rFont val="Tahoma"/>
            <family val="2"/>
          </rPr>
          <t>2018 p.27 in the 'Other Income/(Expense), Net' section.</t>
        </r>
      </text>
    </comment>
    <comment ref="F155" authorId="0" shapeId="0" xr:uid="{9B1E5660-FE14-42CA-BCE5-AE263D50BFE0}">
      <text>
        <r>
          <rPr>
            <sz val="9"/>
            <color indexed="81"/>
            <rFont val="Tahoma"/>
            <family val="2"/>
          </rPr>
          <t>2018 p.27 in the 'Other Income/(Expense), Net' section.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Matan Feldman</author>
  </authors>
  <commentList>
    <comment ref="D11" authorId="0" shapeId="0" xr:uid="{9EDC2D22-989C-495C-8A52-BFBC74876912}">
      <text>
        <r>
          <rPr>
            <sz val="9"/>
            <color indexed="81"/>
            <rFont val="Tahoma"/>
            <family val="2"/>
          </rPr>
          <t>Front cover of Apple 2018 10K</t>
        </r>
      </text>
    </comment>
    <comment ref="C48" authorId="0" shapeId="0" xr:uid="{20D4217B-7800-4D2D-AED4-0E248257EEA4}">
      <text>
        <r>
          <rPr>
            <sz val="9"/>
            <color indexed="81"/>
            <rFont val="Tahoma"/>
            <family val="2"/>
          </rPr>
          <t>Includes vendor non-trade receivables</t>
        </r>
      </text>
    </comment>
    <comment ref="C50" authorId="0" shapeId="0" xr:uid="{25365AB5-B1B2-4C42-8596-FE097D36C689}">
      <text>
        <r>
          <rPr>
            <sz val="9"/>
            <color indexed="81"/>
            <rFont val="Tahoma"/>
            <family val="2"/>
          </rPr>
          <t>AAPL started aggregating goodwill, intangible assets and other non current assets into one line item in 2018, with no footnote breakout of the individual line items. 10Ks prior to 2018 did have a breakout.</t>
        </r>
      </text>
    </comment>
    <comment ref="M101" authorId="0" shapeId="0" xr:uid="{2EE594CD-6553-476F-A4DB-CEB222B8E96B}">
      <text>
        <r>
          <rPr>
            <sz val="9"/>
            <color indexed="81"/>
            <rFont val="Tahoma"/>
            <family val="2"/>
          </rPr>
          <t>WSP estimate</t>
        </r>
      </text>
    </comment>
    <comment ref="C117" authorId="0" shapeId="0" xr:uid="{E3620E40-8023-43BB-B560-32BA3DA06D70}">
      <text>
        <r>
          <rPr>
            <sz val="9"/>
            <color indexed="81"/>
            <rFont val="Tahoma"/>
            <family val="2"/>
          </rPr>
          <t>Statement of shareholders equity schedule, p.41 Apple 2018 10K</t>
        </r>
      </text>
    </comment>
    <comment ref="C118" authorId="0" shapeId="0" xr:uid="{4EB23FAC-6D5E-49DD-AE9B-8D07272B2128}">
      <text>
        <r>
          <rPr>
            <sz val="9"/>
            <color indexed="81"/>
            <rFont val="Tahoma"/>
            <family val="2"/>
          </rPr>
          <t>Statement of shareholders equity schedule, p.41 Apple 2018 10K</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Matan Feldman</author>
  </authors>
  <commentList>
    <comment ref="D11" authorId="0" shapeId="0" xr:uid="{7AFFC60C-83ED-4449-BE81-3A0CB1F6C26F}">
      <text>
        <r>
          <rPr>
            <sz val="9"/>
            <color indexed="81"/>
            <rFont val="Tahoma"/>
            <family val="2"/>
          </rPr>
          <t>Front cover of Apple 2018 10K</t>
        </r>
      </text>
    </comment>
    <comment ref="C50" authorId="0" shapeId="0" xr:uid="{87970F14-6B0C-4117-959D-CE09A96868D8}">
      <text>
        <r>
          <rPr>
            <sz val="9"/>
            <color indexed="81"/>
            <rFont val="Tahoma"/>
            <family val="2"/>
          </rPr>
          <t xml:space="preserve">AAPL started aggregating goodwill, intangible assets and other non current assets into one line item in 2018 and no longer provides a breakout of the individual line items.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Matan Feldman</author>
  </authors>
  <commentList>
    <comment ref="D11" authorId="0" shapeId="0" xr:uid="{1A0EC9A0-7DA9-4F07-AD3E-A0DFC58A987F}">
      <text>
        <r>
          <rPr>
            <sz val="9"/>
            <color indexed="81"/>
            <rFont val="Tahoma"/>
            <family val="2"/>
          </rPr>
          <t>Front cover of Apple 2018 10K</t>
        </r>
      </text>
    </comment>
    <comment ref="C48" authorId="0" shapeId="0" xr:uid="{96549330-69D3-4EEB-9C7D-20FCAD7BEF70}">
      <text>
        <r>
          <rPr>
            <sz val="9"/>
            <color indexed="81"/>
            <rFont val="Tahoma"/>
            <family val="2"/>
          </rPr>
          <t>Includes vendor non-trade receivables</t>
        </r>
      </text>
    </comment>
    <comment ref="C50" authorId="0" shapeId="0" xr:uid="{01DA9F20-DF65-42E3-BBF5-49171405D20F}">
      <text>
        <r>
          <rPr>
            <sz val="9"/>
            <color indexed="81"/>
            <rFont val="Tahoma"/>
            <family val="2"/>
          </rPr>
          <t>AAPL started aggregating goodwill, intangible assets and other non current assets into one line item in 2018, with no footnote breakout of the individual line items. 10Ks prior to 2018 did have a breakout.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Matan Feldman</author>
  </authors>
  <commentList>
    <comment ref="D11" authorId="0" shapeId="0" xr:uid="{07348966-2346-4E7B-9F96-3B7FEA96E895}">
      <text>
        <r>
          <rPr>
            <sz val="9"/>
            <color indexed="81"/>
            <rFont val="Tahoma"/>
            <family val="2"/>
          </rPr>
          <t>Front cover of Apple 2018 10K</t>
        </r>
      </text>
    </comment>
    <comment ref="C48" authorId="0" shapeId="0" xr:uid="{1C01A45E-25FC-4EE1-B2EE-B88F637414E8}">
      <text>
        <r>
          <rPr>
            <sz val="9"/>
            <color indexed="81"/>
            <rFont val="Tahoma"/>
            <family val="2"/>
          </rPr>
          <t>Includes vendor non-trade receivables</t>
        </r>
      </text>
    </comment>
    <comment ref="C50" authorId="0" shapeId="0" xr:uid="{2BE88427-4BF7-4529-9015-11705A5F07EA}">
      <text>
        <r>
          <rPr>
            <sz val="9"/>
            <color indexed="81"/>
            <rFont val="Tahoma"/>
            <family val="2"/>
          </rPr>
          <t>AAPL started aggregating goodwill, intangible assets and other non current assets into one line item in 2018, with no footnote breakout of the individual line items. 10Ks prior to 2018 did have a breakout.</t>
        </r>
      </text>
    </comment>
    <comment ref="M101" authorId="0" shapeId="0" xr:uid="{38BC8F3B-85CF-4934-9FC7-0EE027DA3CE8}">
      <text>
        <r>
          <rPr>
            <sz val="9"/>
            <color indexed="81"/>
            <rFont val="Tahoma"/>
            <family val="2"/>
          </rPr>
          <t>WSP estimate</t>
        </r>
      </text>
    </comment>
    <comment ref="C117" authorId="0" shapeId="0" xr:uid="{DCDB106C-065D-400A-850C-B4FD499BC558}">
      <text>
        <r>
          <rPr>
            <sz val="9"/>
            <color indexed="81"/>
            <rFont val="Tahoma"/>
            <family val="2"/>
          </rPr>
          <t>Statement of shareholders equity schedule, p.41 Apple 2018 10K</t>
        </r>
      </text>
    </comment>
    <comment ref="C118" authorId="0" shapeId="0" xr:uid="{9EFFD8C5-0B77-4595-8B35-1453F2AD770D}">
      <text>
        <r>
          <rPr>
            <sz val="9"/>
            <color indexed="81"/>
            <rFont val="Tahoma"/>
            <family val="2"/>
          </rPr>
          <t>Statement of shareholders equity schedule, p.41 Apple 2018 10K</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Matan Feldman</author>
  </authors>
  <commentList>
    <comment ref="D11" authorId="0" shapeId="0" xr:uid="{F67BD114-6A2A-4A3C-ACE8-45C838344CAB}">
      <text>
        <r>
          <rPr>
            <sz val="9"/>
            <color indexed="81"/>
            <rFont val="Tahoma"/>
            <family val="2"/>
          </rPr>
          <t>Front cover of Apple 2018 10K</t>
        </r>
      </text>
    </comment>
    <comment ref="C48" authorId="0" shapeId="0" xr:uid="{70B75CF8-77C3-4EE7-A31A-6E2B2B800B2B}">
      <text>
        <r>
          <rPr>
            <sz val="9"/>
            <color indexed="81"/>
            <rFont val="Tahoma"/>
            <family val="2"/>
          </rPr>
          <t>Includes vendor non-trade receivables</t>
        </r>
      </text>
    </comment>
    <comment ref="C50" authorId="0" shapeId="0" xr:uid="{4F5A6772-EE75-4666-824D-E08C15F6C223}">
      <text>
        <r>
          <rPr>
            <sz val="9"/>
            <color indexed="81"/>
            <rFont val="Tahoma"/>
            <family val="2"/>
          </rPr>
          <t>AAPL started aggregating goodwill, intangible assets and other non current assets into one line item in 2018, with no footnote breakout of the individual line items. 10Ks prior to 2018 did have a breakout.</t>
        </r>
      </text>
    </comment>
    <comment ref="M101" authorId="0" shapeId="0" xr:uid="{2FF6E3FE-D68C-4FF0-8937-7B50424C715D}">
      <text>
        <r>
          <rPr>
            <sz val="9"/>
            <color indexed="81"/>
            <rFont val="Tahoma"/>
            <family val="2"/>
          </rPr>
          <t>WSP estimate</t>
        </r>
      </text>
    </comment>
    <comment ref="C117" authorId="0" shapeId="0" xr:uid="{C78DD009-DD2B-4BD4-842D-7CC6B0729130}">
      <text>
        <r>
          <rPr>
            <sz val="9"/>
            <color indexed="81"/>
            <rFont val="Tahoma"/>
            <family val="2"/>
          </rPr>
          <t>Statement of shareholders equity schedule, p.41 Apple 2018 10K</t>
        </r>
      </text>
    </comment>
    <comment ref="C118" authorId="0" shapeId="0" xr:uid="{AFD022C0-ABA7-4750-AB79-E224C4C39E9F}">
      <text>
        <r>
          <rPr>
            <sz val="9"/>
            <color indexed="81"/>
            <rFont val="Tahoma"/>
            <family val="2"/>
          </rPr>
          <t>Statement of shareholders equity schedule, p.41 Apple 2018 10K</t>
        </r>
      </text>
    </comment>
    <comment ref="E145" authorId="0" shapeId="0" xr:uid="{920CCEC0-C1C0-496C-8D81-219205B92990}">
      <text>
        <r>
          <rPr>
            <sz val="9"/>
            <color indexed="81"/>
            <rFont val="Tahoma"/>
            <family val="2"/>
          </rPr>
          <t>2018 Note 5 - Debt. 10K p55</t>
        </r>
      </text>
    </comment>
    <comment ref="F145" authorId="0" shapeId="0" xr:uid="{B34E3DC1-E44C-41FD-A3C7-830AFDFB2B10}">
      <text>
        <r>
          <rPr>
            <sz val="9"/>
            <color indexed="81"/>
            <rFont val="Tahoma"/>
            <family val="2"/>
          </rPr>
          <t>2018 Note 5 - Debt. 10K p55</t>
        </r>
      </text>
    </comment>
    <comment ref="C151" authorId="0" shapeId="0" xr:uid="{B8C5C74E-162E-4A87-B031-CFE7606AF5F3}">
      <text>
        <r>
          <rPr>
            <sz val="9"/>
            <color indexed="81"/>
            <rFont val="Tahoma"/>
            <family val="2"/>
          </rPr>
          <t xml:space="preserve">We estimate the historical interest rate (though not explicitly disclosed by Apple). </t>
        </r>
      </text>
    </comment>
    <comment ref="C152" authorId="0" shapeId="0" xr:uid="{C0B9ED81-10BC-4159-A964-0150683E6DC4}">
      <text>
        <r>
          <rPr>
            <sz val="9"/>
            <color indexed="81"/>
            <rFont val="Tahoma"/>
            <family val="2"/>
          </rPr>
          <t>Although Apple doesn't disclose interest expense specifically, it does disclose the interest rate on commercial paper which enables us to back into interest expense for LTD</t>
        </r>
      </text>
    </comment>
    <comment ref="D155" authorId="0" shapeId="0" xr:uid="{1295ABA0-C6BA-4E63-96F2-7F210BDE4174}">
      <text>
        <r>
          <rPr>
            <sz val="9"/>
            <color indexed="81"/>
            <rFont val="Tahoma"/>
            <family val="2"/>
          </rPr>
          <t>2018 p.27 in the 'Other Income/(Expense), Net' section.</t>
        </r>
      </text>
    </comment>
    <comment ref="E155" authorId="0" shapeId="0" xr:uid="{296986BF-0FED-4727-AE24-97F5BD079CEC}">
      <text>
        <r>
          <rPr>
            <sz val="9"/>
            <color indexed="81"/>
            <rFont val="Tahoma"/>
            <family val="2"/>
          </rPr>
          <t>2018 p.27 in the 'Other Income/(Expense), Net' section.</t>
        </r>
      </text>
    </comment>
    <comment ref="F155" authorId="0" shapeId="0" xr:uid="{80105045-5A84-4F73-A54E-92EC0A52E9A7}">
      <text>
        <r>
          <rPr>
            <sz val="9"/>
            <color indexed="81"/>
            <rFont val="Tahoma"/>
            <family val="2"/>
          </rPr>
          <t>2018 p.27 in the 'Other Income/(Expense), Net' section.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Matan Feldman</author>
  </authors>
  <commentList>
    <comment ref="D11" authorId="0" shapeId="0" xr:uid="{8DDDA08A-DFC9-4F38-80CC-EACD5AB27658}">
      <text>
        <r>
          <rPr>
            <sz val="9"/>
            <color indexed="81"/>
            <rFont val="Tahoma"/>
            <family val="2"/>
          </rPr>
          <t>Front cover of Apple 2018 10K</t>
        </r>
      </text>
    </comment>
    <comment ref="C48" authorId="0" shapeId="0" xr:uid="{1D19CEE4-60CA-4EF2-BE35-3D4AEF1E8885}">
      <text>
        <r>
          <rPr>
            <sz val="9"/>
            <color indexed="81"/>
            <rFont val="Tahoma"/>
            <family val="2"/>
          </rPr>
          <t>Includes vendor non-trade receivables</t>
        </r>
      </text>
    </comment>
    <comment ref="C50" authorId="0" shapeId="0" xr:uid="{8375132A-5828-4D84-B03F-2475188945C4}">
      <text>
        <r>
          <rPr>
            <sz val="9"/>
            <color indexed="81"/>
            <rFont val="Tahoma"/>
            <family val="2"/>
          </rPr>
          <t>AAPL started aggregating goodwill, intangible assets and other non current assets into one line item in 2018, with no footnote breakout of the individual line items. 10Ks prior to 2018 did have a breakout.</t>
        </r>
      </text>
    </comment>
    <comment ref="M101" authorId="0" shapeId="0" xr:uid="{DA3EB600-1847-45D1-AFE2-6316EEC5248C}">
      <text>
        <r>
          <rPr>
            <sz val="9"/>
            <color indexed="81"/>
            <rFont val="Tahoma"/>
            <family val="2"/>
          </rPr>
          <t>WSP estimate</t>
        </r>
      </text>
    </comment>
    <comment ref="C117" authorId="0" shapeId="0" xr:uid="{3B81785E-B190-4E43-9731-E98C45E5199F}">
      <text>
        <r>
          <rPr>
            <sz val="9"/>
            <color indexed="81"/>
            <rFont val="Tahoma"/>
            <family val="2"/>
          </rPr>
          <t>Statement of shareholders equity schedule, p.41 Apple 2018 10K</t>
        </r>
      </text>
    </comment>
    <comment ref="C118" authorId="0" shapeId="0" xr:uid="{254E7096-592A-4C5F-9420-4AD2B2202988}">
      <text>
        <r>
          <rPr>
            <sz val="9"/>
            <color indexed="81"/>
            <rFont val="Tahoma"/>
            <family val="2"/>
          </rPr>
          <t>Statement of shareholders equity schedule, p.41 Apple 2018 10K</t>
        </r>
      </text>
    </comment>
    <comment ref="E145" authorId="0" shapeId="0" xr:uid="{4E6EA7D1-4436-4A50-88F3-964C2279B4E9}">
      <text>
        <r>
          <rPr>
            <sz val="9"/>
            <color indexed="81"/>
            <rFont val="Tahoma"/>
            <family val="2"/>
          </rPr>
          <t>2018 Note 5 - Debt. 10K p55</t>
        </r>
      </text>
    </comment>
    <comment ref="F145" authorId="0" shapeId="0" xr:uid="{4D9E72E5-77F1-49BF-B981-38A54823E89F}">
      <text>
        <r>
          <rPr>
            <sz val="9"/>
            <color indexed="81"/>
            <rFont val="Tahoma"/>
            <family val="2"/>
          </rPr>
          <t>2018 Note 5 - Debt. 10K p55</t>
        </r>
      </text>
    </comment>
    <comment ref="C151" authorId="0" shapeId="0" xr:uid="{7D9E5EFE-4008-44B8-B57B-F52FFDD21E66}">
      <text>
        <r>
          <rPr>
            <sz val="9"/>
            <color indexed="81"/>
            <rFont val="Tahoma"/>
            <family val="2"/>
          </rPr>
          <t xml:space="preserve">We estimate the historical interest rate (though not explicitly disclosed by Apple). </t>
        </r>
      </text>
    </comment>
    <comment ref="C152" authorId="0" shapeId="0" xr:uid="{3B4A5BFE-093B-4158-AE97-B554BB889C5F}">
      <text>
        <r>
          <rPr>
            <sz val="9"/>
            <color indexed="81"/>
            <rFont val="Tahoma"/>
            <family val="2"/>
          </rPr>
          <t>Although Apple doesn't disclose interest expense specifically, it does disclose the interest rate on commercial paper which enables us to back into interest expense for LTD</t>
        </r>
      </text>
    </comment>
    <comment ref="D155" authorId="0" shapeId="0" xr:uid="{18D8C95F-8645-4B15-A818-62BC3B9A887E}">
      <text>
        <r>
          <rPr>
            <sz val="9"/>
            <color indexed="81"/>
            <rFont val="Tahoma"/>
            <family val="2"/>
          </rPr>
          <t>2018 p.27 in the 'Other Income/(Expense), Net' section.</t>
        </r>
      </text>
    </comment>
    <comment ref="E155" authorId="0" shapeId="0" xr:uid="{8353C16D-6995-4D47-8E2F-2DA5DC4DECFA}">
      <text>
        <r>
          <rPr>
            <sz val="9"/>
            <color indexed="81"/>
            <rFont val="Tahoma"/>
            <family val="2"/>
          </rPr>
          <t>2018 p.27 in the 'Other Income/(Expense), Net' section.</t>
        </r>
      </text>
    </comment>
    <comment ref="F155" authorId="0" shapeId="0" xr:uid="{4B6C6A03-5C69-443F-B51B-21766BCBEE01}">
      <text>
        <r>
          <rPr>
            <sz val="9"/>
            <color indexed="81"/>
            <rFont val="Tahoma"/>
            <family val="2"/>
          </rPr>
          <t>2018 p.27 in the 'Other Income/(Expense), Net' section.</t>
        </r>
      </text>
    </comment>
  </commentList>
</comments>
</file>

<file path=xl/sharedStrings.xml><?xml version="1.0" encoding="utf-8"?>
<sst xmlns="http://schemas.openxmlformats.org/spreadsheetml/2006/main" count="3588" uniqueCount="354">
  <si>
    <t>Tax rate</t>
  </si>
  <si>
    <t>Revenue growth</t>
  </si>
  <si>
    <t>Net income</t>
  </si>
  <si>
    <t>Operating profit (EBIT)</t>
  </si>
  <si>
    <t>Interest income</t>
  </si>
  <si>
    <t>Company name</t>
  </si>
  <si>
    <t>Ticker</t>
  </si>
  <si>
    <t>Fiscal year end date</t>
  </si>
  <si>
    <t>Latest fiscal year end date</t>
  </si>
  <si>
    <t>Latest closing share price date</t>
  </si>
  <si>
    <t xml:space="preserve">Fiscal year  </t>
  </si>
  <si>
    <t>Revenue</t>
  </si>
  <si>
    <t>Pretax profit</t>
  </si>
  <si>
    <t>Gross Profit</t>
  </si>
  <si>
    <t>Cost of sales (enter as -)</t>
  </si>
  <si>
    <t>Taxes (enter expense as -)</t>
  </si>
  <si>
    <t>Selling, general &amp; administrative (enter as -)</t>
  </si>
  <si>
    <t>Interest expense (enter as -)</t>
  </si>
  <si>
    <t>Growth rates &amp; margins</t>
  </si>
  <si>
    <t>INCOME STATEMENT</t>
  </si>
  <si>
    <t>BALANCE SHEET</t>
  </si>
  <si>
    <t>Property, plant &amp; equipment</t>
  </si>
  <si>
    <t>Total assets</t>
  </si>
  <si>
    <t>Revolver</t>
  </si>
  <si>
    <t>Total liabilities</t>
  </si>
  <si>
    <t>Total equity</t>
  </si>
  <si>
    <t>Balance check</t>
  </si>
  <si>
    <t>Beginning of period</t>
  </si>
  <si>
    <t>End of period</t>
  </si>
  <si>
    <t>PROPERTY, PLANT &amp; EQUIPMENT</t>
  </si>
  <si>
    <t>Plus: Capital expenditures</t>
  </si>
  <si>
    <t>Less: Depreciation</t>
  </si>
  <si>
    <t>CASH FLOW STATEMENT</t>
  </si>
  <si>
    <t>Depreciation and amortization</t>
  </si>
  <si>
    <t>Cash from operating activities</t>
  </si>
  <si>
    <t>Capital expenditures</t>
  </si>
  <si>
    <t>Cash from investing activities</t>
  </si>
  <si>
    <t>Cash from financing activities</t>
  </si>
  <si>
    <t>Net change in cash during period</t>
  </si>
  <si>
    <t>Revolver needs analysis</t>
  </si>
  <si>
    <t>Plus: Free cash flows generated during period</t>
  </si>
  <si>
    <t>Interest expense</t>
  </si>
  <si>
    <t>Interest rate on cash</t>
  </si>
  <si>
    <t>INTEREST EXPENSE AND INTEREST INCOME</t>
  </si>
  <si>
    <t xml:space="preserve">Retained earnings </t>
  </si>
  <si>
    <t>Cash at beginning of period (BOP)</t>
  </si>
  <si>
    <t>$ in thousands except per share</t>
  </si>
  <si>
    <t>EBITDA</t>
  </si>
  <si>
    <t>Step</t>
  </si>
  <si>
    <t>Depreciation &amp; amortization</t>
  </si>
  <si>
    <t>Apple</t>
  </si>
  <si>
    <t>AAPL</t>
  </si>
  <si>
    <t>Research &amp; development (enter as -)</t>
  </si>
  <si>
    <t>Other expense, net (enter as -)</t>
  </si>
  <si>
    <t>Accounts receivable</t>
  </si>
  <si>
    <t>Inventories</t>
  </si>
  <si>
    <t>Other non current assets</t>
  </si>
  <si>
    <t>Accounts payable</t>
  </si>
  <si>
    <t>Deferred revenue (current and non current)</t>
  </si>
  <si>
    <t>Other non current liabilities</t>
  </si>
  <si>
    <t>Commercial paper / revolver</t>
  </si>
  <si>
    <t>Common stock</t>
  </si>
  <si>
    <t>Plus: Net income</t>
  </si>
  <si>
    <t>Less: Dividends</t>
  </si>
  <si>
    <t>Less: Repurchases</t>
  </si>
  <si>
    <t>Decreases / (Increases) in working capital assets</t>
  </si>
  <si>
    <t>Increases / (Decreases) in working capital liabilities</t>
  </si>
  <si>
    <t>Long term debt</t>
  </si>
  <si>
    <t>Commercial Paper / Revolver</t>
  </si>
  <si>
    <t>Less: Minimum cash balance</t>
  </si>
  <si>
    <t>Share repurchases</t>
  </si>
  <si>
    <t>Common dividends</t>
  </si>
  <si>
    <t>Adjusted EBITDA</t>
  </si>
  <si>
    <t>Latest closing share price</t>
  </si>
  <si>
    <t>Stock based compensation</t>
  </si>
  <si>
    <t>RETAINED EARNINGS</t>
  </si>
  <si>
    <t>SENSITIVITY ANALYSIS</t>
  </si>
  <si>
    <t>Revenue growth rate</t>
  </si>
  <si>
    <t>Gross</t>
  </si>
  <si>
    <t>Profit</t>
  </si>
  <si>
    <t>Margin:</t>
  </si>
  <si>
    <t>SCENARIO ANALYSIS</t>
  </si>
  <si>
    <t>Select an operating scenario:</t>
  </si>
  <si>
    <t>Base case</t>
  </si>
  <si>
    <t>Best case</t>
  </si>
  <si>
    <t>Weak case</t>
  </si>
  <si>
    <t>WSP Comments</t>
  </si>
  <si>
    <t>Previous year's revenues x (1+revenue growth rate)</t>
  </si>
  <si>
    <t>Plug = Revenue - Gross Profit</t>
  </si>
  <si>
    <t>Revenue x Gross Profit Margin forecast</t>
  </si>
  <si>
    <t>Gross Profit - R&amp;D - SG&amp;A</t>
  </si>
  <si>
    <t>Straight-line</t>
  </si>
  <si>
    <t>Pre-tax Profit x Tax Rate forecast</t>
  </si>
  <si>
    <t>Pre-tax Profit less taxes</t>
  </si>
  <si>
    <t>Reference from interest expense schedule</t>
  </si>
  <si>
    <t>Reference from interest on cash schedule</t>
  </si>
  <si>
    <t>EBIT + interest income less interest expense less other expense</t>
  </si>
  <si>
    <t>EBIT + D&amp;A</t>
  </si>
  <si>
    <t>EBITDA + Stock-based compensation</t>
  </si>
  <si>
    <t>WSP assumption: grow SBC in-line with revenue growth</t>
  </si>
  <si>
    <t>WSP assumption: straight-line</t>
  </si>
  <si>
    <t>Reference from income statement</t>
  </si>
  <si>
    <t>Equals: Cash available (needed) to pay down (draw from) revolver</t>
  </si>
  <si>
    <t>Grow in-line with revenue growth</t>
  </si>
  <si>
    <t>Grow in-line with cost of sales growth</t>
  </si>
  <si>
    <t>Reference from PP&amp;E schedule</t>
  </si>
  <si>
    <t>Reference from revolver schedule</t>
  </si>
  <si>
    <t>Reference from Retained Earnings schedule</t>
  </si>
  <si>
    <t>Other current assets</t>
  </si>
  <si>
    <t>Circ break 1=off, 0=on</t>
  </si>
  <si>
    <t xml:space="preserve">Depreciation &amp; Amortization - Total </t>
  </si>
  <si>
    <t>Weighted average interest rate</t>
  </si>
  <si>
    <t>End of period balance (from B/S)</t>
  </si>
  <si>
    <t>Commercial paper / Revolver</t>
  </si>
  <si>
    <t>Interest rate x average of BOP &amp; EOP LTD balances</t>
  </si>
  <si>
    <t>Weighted average interest rate on cash</t>
  </si>
  <si>
    <t>Forecast</t>
  </si>
  <si>
    <t>Other current liabilities</t>
  </si>
  <si>
    <t>Reference from 'net change in cash' line on the cash flow statement</t>
  </si>
  <si>
    <t>Debt balance:</t>
  </si>
  <si>
    <t>Total interest expense (from I/S)</t>
  </si>
  <si>
    <t>Other comprehensive income</t>
  </si>
  <si>
    <t>Long term debt (includes current portion)</t>
  </si>
  <si>
    <t>D&amp;A related to PP&amp;E as a % of capex</t>
  </si>
  <si>
    <t>Less: Amortization of intangible assets</t>
  </si>
  <si>
    <t xml:space="preserve">Plus: Additions </t>
  </si>
  <si>
    <t>WSP assumption</t>
  </si>
  <si>
    <t>Reference additions to 'other non-current assets' from schedule</t>
  </si>
  <si>
    <t>Discretionary borrowing / (paydown)</t>
  </si>
  <si>
    <t>OTHER NON-CURRENT ASSETS</t>
  </si>
  <si>
    <t>IMPUTING TOTAL DEPRECIATION &amp; AMORTIZATION</t>
  </si>
  <si>
    <t>REVOLVER (MODEL PLUG)</t>
  </si>
  <si>
    <t>WSP assumption: Straight-line</t>
  </si>
  <si>
    <t>From cash flow statement</t>
  </si>
  <si>
    <t>Current year / Last year - 1</t>
  </si>
  <si>
    <t>R&amp;D / Revenue</t>
  </si>
  <si>
    <t>SG&amp;A / Revenue</t>
  </si>
  <si>
    <t>Taxes / Pretax Profit</t>
  </si>
  <si>
    <t>Cash &amp; equivalents, ST and LT marketable securities</t>
  </si>
  <si>
    <t>Dividends</t>
  </si>
  <si>
    <t>Repurchases</t>
  </si>
  <si>
    <t>Weighted average interest rate on commercial paper</t>
  </si>
  <si>
    <t>Additional data</t>
  </si>
  <si>
    <t xml:space="preserve">Growth rates &amp; margins </t>
  </si>
  <si>
    <t>Note 5 - Debt. Apple 2018 10K p55</t>
  </si>
  <si>
    <t>Gross profit / revenue</t>
  </si>
  <si>
    <t>Statement of shareholders equity schedule - p.41 Apple 2018 10K</t>
  </si>
  <si>
    <t>Capital expenditures (enter as +)</t>
  </si>
  <si>
    <t>Property plant and equipment section - Apple 2018 10K p.45</t>
  </si>
  <si>
    <t>D&amp;A related only to PP&amp;E (enter as -)</t>
  </si>
  <si>
    <t>Include vendor non-trade receivables</t>
  </si>
  <si>
    <t>JP Morgan estimates through 2021; straight-line growth rate thereafter</t>
  </si>
  <si>
    <t>JP Morgan estimates through 2021; straight-line margin thereafter</t>
  </si>
  <si>
    <t>JP Morgan estimates through 2021: straight-line margin thereafter</t>
  </si>
  <si>
    <t>JP Morgan through 2021; WSP assumption thereafter</t>
  </si>
  <si>
    <t>Increase by stock-based compensation forecasted in the I/S section</t>
  </si>
  <si>
    <r>
      <t xml:space="preserve">D&amp;A </t>
    </r>
    <r>
      <rPr>
        <u/>
        <sz val="11"/>
        <color theme="1"/>
        <rFont val="Calibri"/>
        <family val="2"/>
        <scheme val="minor"/>
      </rPr>
      <t>not</t>
    </r>
    <r>
      <rPr>
        <sz val="11"/>
        <color theme="1"/>
        <rFont val="Calibri"/>
        <family val="2"/>
        <scheme val="minor"/>
      </rPr>
      <t xml:space="preserve"> related to PP&amp;E</t>
    </r>
  </si>
  <si>
    <t>as % of revenue</t>
  </si>
  <si>
    <t>Straight line last historical % of revenue - WSP assumption</t>
  </si>
  <si>
    <t>Reference from D&amp;A schedule</t>
  </si>
  <si>
    <t>D&amp;A from PP&amp;E + D&amp;A not from PP&amp;E</t>
  </si>
  <si>
    <r>
      <t xml:space="preserve">Less: D&amp;A </t>
    </r>
    <r>
      <rPr>
        <u/>
        <sz val="11"/>
        <color theme="1"/>
        <rFont val="Calibri"/>
        <family val="2"/>
        <scheme val="minor"/>
      </rPr>
      <t>not</t>
    </r>
    <r>
      <rPr>
        <sz val="11"/>
        <color theme="1"/>
        <rFont val="Calibri"/>
        <family val="2"/>
        <scheme val="minor"/>
      </rPr>
      <t xml:space="preserve"> related to PP&amp;E</t>
    </r>
  </si>
  <si>
    <t xml:space="preserve">Assume all D&amp;A not from PP&amp;E is in non-current assets </t>
  </si>
  <si>
    <t>WSP assumption: Straight-line last historical year dividends</t>
  </si>
  <si>
    <t>BOP + net income - dividends - repurchases</t>
  </si>
  <si>
    <t>BOP + Capex - Depreciation</t>
  </si>
  <si>
    <t>Capex x 'D&amp;A related to PP&amp;E as a % of capex' ratio (below)</t>
  </si>
  <si>
    <t xml:space="preserve">BOP = Previous year EOP </t>
  </si>
  <si>
    <t>Because we already know the EOP balance, this is a plug: EOP - D&amp;A not from PP&amp;E - BOP</t>
  </si>
  <si>
    <t>Referenced from balance sheet</t>
  </si>
  <si>
    <t>Reference from the I/S</t>
  </si>
  <si>
    <t>Reference from schedule NOT the B/S: Only include 'Additions' (as outflow)</t>
  </si>
  <si>
    <t>Reference prior period EOP from B/S</t>
  </si>
  <si>
    <t>Plus: Current period cash flows except revolver</t>
  </si>
  <si>
    <r>
      <t xml:space="preserve">CFO + CFI + CFF </t>
    </r>
    <r>
      <rPr>
        <u/>
        <sz val="11"/>
        <color theme="1"/>
        <rFont val="Calibri"/>
        <family val="2"/>
        <scheme val="minor"/>
      </rPr>
      <t>except revolver</t>
    </r>
  </si>
  <si>
    <t xml:space="preserve">Cash (paydown) / additional borrowing from revolver. Paydown not to exceed BOP balance. </t>
  </si>
  <si>
    <t>Draw / (paydown)</t>
  </si>
  <si>
    <t>Additional discretionary draw / (paydown)</t>
  </si>
  <si>
    <t>Interest expense from revolver/CP + interest expense from long term debt</t>
  </si>
  <si>
    <t xml:space="preserve">Cash (paydown) / additional borrowing from revolver/CP. Paydown not to exceed BOP balance. </t>
  </si>
  <si>
    <t>Interest rate x average of BOP &amp; EOP revolver balances (circularity)</t>
  </si>
  <si>
    <t>Reference from revolver / CP schedule above</t>
  </si>
  <si>
    <t xml:space="preserve">Total interest expense </t>
  </si>
  <si>
    <t>Reference from B/S</t>
  </si>
  <si>
    <t>Interest rate x average of BOP &amp; EOP cash balances (circularity)</t>
  </si>
  <si>
    <t>Interest rate x average of BOP &amp; EOP B/S cash  (circularity)</t>
  </si>
  <si>
    <t xml:space="preserve">Interest expense </t>
  </si>
  <si>
    <t>Reference EOP balance from CP/revolver schedule</t>
  </si>
  <si>
    <t>First forecast year net income  sensitivity</t>
  </si>
  <si>
    <t>NM</t>
  </si>
  <si>
    <t>base case</t>
  </si>
  <si>
    <t xml:space="preserve">Variance from </t>
  </si>
  <si>
    <t>From scenario analysis below</t>
  </si>
  <si>
    <t>Active case:</t>
  </si>
  <si>
    <t>iPhone</t>
  </si>
  <si>
    <t>iPad</t>
  </si>
  <si>
    <t>Mac</t>
  </si>
  <si>
    <t>% growth</t>
  </si>
  <si>
    <t>Units</t>
  </si>
  <si>
    <t>Price / volume build</t>
  </si>
  <si>
    <t>Services</t>
  </si>
  <si>
    <t>Other products</t>
  </si>
  <si>
    <t>Units % growth</t>
  </si>
  <si>
    <t>Average selling price</t>
  </si>
  <si>
    <t>Average selling price % growth</t>
  </si>
  <si>
    <t>CG estimates through 2020; WSP thereafter</t>
  </si>
  <si>
    <t>CG estimates through 2020; Straight line therafter</t>
  </si>
  <si>
    <t>CG estimates through 2020; Straight line growth rate thereafter</t>
  </si>
  <si>
    <t>Revenue growth rate by product</t>
  </si>
  <si>
    <t>Revenue by product</t>
  </si>
  <si>
    <t>Total revenue</t>
  </si>
  <si>
    <t>Core products</t>
  </si>
  <si>
    <t>"iPhone ASP will be primary driver as Apple continues to
increase hardware prices."</t>
  </si>
  <si>
    <t>Jeffries research note January 30, 2019</t>
  </si>
  <si>
    <t>EARNINGS PER SHARE</t>
  </si>
  <si>
    <t xml:space="preserve">Basic shares </t>
  </si>
  <si>
    <t>Basic EPS</t>
  </si>
  <si>
    <t>Diluted Shares</t>
  </si>
  <si>
    <t>Diluted EPS</t>
  </si>
  <si>
    <t>Share price increase</t>
  </si>
  <si>
    <t>Average share price</t>
  </si>
  <si>
    <t>Reference from RE schedule - treasury repurchases (flip sign)</t>
  </si>
  <si>
    <t xml:space="preserve">Reference SBC from I/S </t>
  </si>
  <si>
    <t>Reference from I/S</t>
  </si>
  <si>
    <t>$ amount of shares repurchased</t>
  </si>
  <si>
    <t>$ amount of new shares issued</t>
  </si>
  <si>
    <t>Net income / Basic shares</t>
  </si>
  <si>
    <t>Basic shares + Dilutive securities</t>
  </si>
  <si>
    <t>Net income/Diluted Shares</t>
  </si>
  <si>
    <t>Last period share price x (1+growth rate)</t>
  </si>
  <si>
    <t>Last period basic shares + ($ shares issued - $ shares repurchased)/Current period average share price</t>
  </si>
  <si>
    <t>Gross profit margin</t>
  </si>
  <si>
    <t>R&amp;D % of sales</t>
  </si>
  <si>
    <t>Revenue x R&amp;D % of sales forecast</t>
  </si>
  <si>
    <t>SG&amp;A % of sales</t>
  </si>
  <si>
    <t>Revenue x SG&amp;A % of sales forecast</t>
  </si>
  <si>
    <t>WSP assumption: Straight-line last historical year repurchases</t>
  </si>
  <si>
    <t xml:space="preserve">'Other Income/(Expense), Net' section - Apple 2018 10K p.27 </t>
  </si>
  <si>
    <t>Revenue x 'as % of revenue' assumption</t>
  </si>
  <si>
    <t>iPhone ASP</t>
  </si>
  <si>
    <t>Service revenue</t>
  </si>
  <si>
    <t>ACCOUNTS RECEIVABLE</t>
  </si>
  <si>
    <t>Increases / (decreases)</t>
  </si>
  <si>
    <t>WORKING CAPITAL</t>
  </si>
  <si>
    <t>Historical</t>
  </si>
  <si>
    <t>INVENTORIES</t>
  </si>
  <si>
    <t>Approach 2: DSO Assumption</t>
  </si>
  <si>
    <t>Approach 1: Grow A/R with revenue growth rate</t>
  </si>
  <si>
    <t>Select an inventory forecasting approach:</t>
  </si>
  <si>
    <t>Approach 2: Inventory turnover (using 365 day year)</t>
  </si>
  <si>
    <t>Reference from A/R schedule</t>
  </si>
  <si>
    <t>Reference from Inventories schedule</t>
  </si>
  <si>
    <t>Existing PP&amp;E</t>
  </si>
  <si>
    <t>Gross PP&amp;E</t>
  </si>
  <si>
    <t>Non-depreciable PP&amp;E (i.e. land)</t>
  </si>
  <si>
    <t>Accumulated depreciation</t>
  </si>
  <si>
    <t>Net PP&amp;E (excl. land)</t>
  </si>
  <si>
    <t>Average useful life</t>
  </si>
  <si>
    <t>Depreciation from existing PP&amp;E</t>
  </si>
  <si>
    <t>Total depreciation</t>
  </si>
  <si>
    <t>Midyear adj.</t>
  </si>
  <si>
    <t>Depreciation waterfall</t>
  </si>
  <si>
    <t>From depreciation waterfall</t>
  </si>
  <si>
    <t>10K p 51</t>
  </si>
  <si>
    <t>Override - If necessary for smoothing</t>
  </si>
  <si>
    <t>Dividend payout ratio</t>
  </si>
  <si>
    <t>Assumption that DPR will staight the same</t>
  </si>
  <si>
    <t>Based on flat DPR</t>
  </si>
  <si>
    <t>Assumption that DPR will staight the dividend payout ratio</t>
  </si>
  <si>
    <t>Days inventory outstanding</t>
  </si>
  <si>
    <t>Days payable outstanding</t>
  </si>
  <si>
    <t>Working capital ratios / Liquidity</t>
  </si>
  <si>
    <t xml:space="preserve">5 Year </t>
  </si>
  <si>
    <t>CAGR</t>
  </si>
  <si>
    <t>Average AR as % of sales</t>
  </si>
  <si>
    <t>Select an A/R forecasting approach (1=grow w rev, 2=explicit DSO)</t>
  </si>
  <si>
    <t>A formula that grows prior period AR with revenue growth or, alternatively, backsolves A/R based on a average DSO assumption depending on the user's input</t>
  </si>
  <si>
    <t>Approach 1: Keep avg. inventory / COGS ratio constant</t>
  </si>
  <si>
    <t>Trade A/R Days sales outstanding (average)</t>
  </si>
  <si>
    <t xml:space="preserve">Trade A/R + Non-Trade A/R Days sales outstanding (average) </t>
  </si>
  <si>
    <t>Vendor non trade receivable</t>
  </si>
  <si>
    <t>LT marketable securities</t>
  </si>
  <si>
    <t>Current assets</t>
  </si>
  <si>
    <t>Current liabilities</t>
  </si>
  <si>
    <t>LT deferred revenue</t>
  </si>
  <si>
    <t>LT term debt</t>
  </si>
  <si>
    <t>Current ratio (CA/CL)</t>
  </si>
  <si>
    <t>Quick ratio (Cash + A/R / CL)</t>
  </si>
  <si>
    <t>Assume all cash changes impact LT investments first</t>
  </si>
  <si>
    <t>Memo</t>
  </si>
  <si>
    <t>Net operating cycle (Cash conversion cycle)</t>
  </si>
  <si>
    <t>Operating cycle (inc vendor non-trade A/R)</t>
  </si>
  <si>
    <t>Shares outstanding (millions)</t>
  </si>
  <si>
    <t>&lt;-We didn't use these drivers</t>
  </si>
  <si>
    <t>Repurchases as % of net income</t>
  </si>
  <si>
    <t>Basic Shares - BOP</t>
  </si>
  <si>
    <t>Net change in basic shares</t>
  </si>
  <si>
    <t>Basic shares - EOP</t>
  </si>
  <si>
    <t>Basic shares - average</t>
  </si>
  <si>
    <t>yoy % growth in net income</t>
  </si>
  <si>
    <t>WSP assumption OR grow with net income growth rate (calculated below)</t>
  </si>
  <si>
    <t>Last period basic shares + ($ shares issued - $ shares repurchased)/Current period average share price OR reference average Basic shares from schedule below</t>
  </si>
  <si>
    <t>Optional analysis for calculating weighted average basic shares</t>
  </si>
  <si>
    <t>Reference from latest share count &gt;</t>
  </si>
  <si>
    <t xml:space="preserve">Link to prior year Basic shares - EOP </t>
  </si>
  <si>
    <t xml:space="preserve"> ($ shares issued - $ shares repurchased)/Current period average share price</t>
  </si>
  <si>
    <t>Basic Shares - BOP + Net change in basic shares</t>
  </si>
  <si>
    <t>Average(Basic Shares BOP,Basic Shares EOP)</t>
  </si>
  <si>
    <t>Optional analysis for forecasting share price</t>
  </si>
  <si>
    <t>Reference net income from I/S</t>
  </si>
  <si>
    <t>Calculate year over year growth</t>
  </si>
  <si>
    <t>iPhone Units</t>
  </si>
  <si>
    <t>From scenarios</t>
  </si>
  <si>
    <t>CG estimates through 2020; WSP thereafter based on growth rate assumption</t>
  </si>
  <si>
    <t xml:space="preserve">Var. from </t>
  </si>
  <si>
    <t>From revenue build</t>
  </si>
  <si>
    <t>Approach 2: Days sales outstanding (DSO) Assumption</t>
  </si>
  <si>
    <t>x</t>
  </si>
  <si>
    <t>Depreciation from existing PP&amp;E prior 2019</t>
  </si>
  <si>
    <t>Commercial paper/ Revolver</t>
  </si>
  <si>
    <t>Deferred revenue (current)</t>
  </si>
  <si>
    <t>WSP assumption: Hold last historical year's dividend payout ratio constant</t>
  </si>
  <si>
    <t>Consensus estimates through 2021; straight-line growth rate thereafter</t>
  </si>
  <si>
    <t>Straight line last historical year</t>
  </si>
  <si>
    <t>First two years - consensus estimates, then grow with revenue</t>
  </si>
  <si>
    <t xml:space="preserve"> </t>
  </si>
  <si>
    <t xml:space="preserve">Last period basic shares + ($ shares issued - $ shares repurchased)/Current period average share price </t>
  </si>
  <si>
    <t xml:space="preserve">WSP assumption </t>
  </si>
  <si>
    <t>Alternative method for calculating weighted average basic shares</t>
  </si>
  <si>
    <t>Alternative method for estimating share price growth</t>
  </si>
  <si>
    <t>QCOM</t>
  </si>
  <si>
    <t xml:space="preserve">Qualcomm </t>
  </si>
  <si>
    <t>Deferred Tax Assets</t>
  </si>
  <si>
    <t>Goodwill</t>
  </si>
  <si>
    <t>Other Intangible Assets</t>
  </si>
  <si>
    <t>Deferred Wages</t>
  </si>
  <si>
    <t>Income Taxes Payable</t>
  </si>
  <si>
    <t>Unearned Revenues</t>
  </si>
  <si>
    <t>$ mm except per share</t>
  </si>
  <si>
    <t>Property plant and equipment section - Qualcomm 2021 10K p. F-16</t>
  </si>
  <si>
    <t>Statement of shareholders equity schedule - p.F-7 Qualcomm 2021 10K</t>
  </si>
  <si>
    <t>Note 6 - Debt. Qualcomm 2021 10K p.F-24</t>
  </si>
  <si>
    <t>Look in MD&amp;A</t>
  </si>
  <si>
    <t>?</t>
  </si>
  <si>
    <t>CapIQ Consensus Estimates through 2024</t>
  </si>
  <si>
    <t xml:space="preserve">Straight-line of Past 3 Historical-Year Average </t>
  </si>
  <si>
    <t>Assumption: grow SBC in-line with revenue growth</t>
  </si>
  <si>
    <t>Past 3 Year Historical-Average, Stepped down to Estimate</t>
  </si>
  <si>
    <t>grown in line with revenue growth</t>
  </si>
  <si>
    <t>grown in line with COGS growth</t>
  </si>
  <si>
    <t>Assumption: Straight Line</t>
  </si>
  <si>
    <t>Assumption: straight-line historical average</t>
  </si>
  <si>
    <t>CapIQ Consensus Estimates through 2023, Straight-line thereafter</t>
  </si>
  <si>
    <t>Cap IQ Consensus through 2024; WSP assumption thereafter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</si>
</sst>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5">
    <numFmt numFmtId="5" formatCode="&quot;$&quot;#,##0_);\(&quot;$&quot;#,##0\)"/>
    <numFmt numFmtId="6" formatCode="&quot;$&quot;#,##0_);[Red]\(&quot;$&quot;#,##0\)"/>
    <numFmt numFmtId="7" formatCode="&quot;$&quot;#,##0.00_);\(&quot;$&quot;#,##0.00\)"/>
    <numFmt numFmtId="8" formatCode="&quot;$&quot;#,##0.00_);[Red]\(&quot;$&quot;#,##0.00\)"/>
    <numFmt numFmtId="43" formatCode="_(* #,##0.00_);_(* \(#,##0.00\);_(* &quot;-&quot;??_);_(@_)"/>
    <numFmt numFmtId="164" formatCode="0.0%_);\(0.0%\);@_)"/>
    <numFmt numFmtId="165" formatCode="#,##0.0_);\(#,##0.0\);@_)"/>
    <numFmt numFmtId="166" formatCode="#,##0.00_);\(#,##0\)"/>
    <numFmt numFmtId="167" formatCode="#,##0.0%_);\(#,##0.0%\)"/>
    <numFmt numFmtId="168" formatCode="0.0\ \x"/>
    <numFmt numFmtId="169" formatCode="#,##0.00\ ;\(#,##0.00\)"/>
    <numFmt numFmtId="170" formatCode="&quot;$&quot;#,##0.00\ ;\(&quot;$&quot;#,##0.00\)"/>
    <numFmt numFmtId="171" formatCode="0.0%_);\(0.0%\)"/>
    <numFmt numFmtId="172" formatCode="0.000\ \x&quot;rate&quot;"/>
    <numFmt numFmtId="173" formatCode="#,##0.000_);[Red]\(#,##0.000\)"/>
    <numFmt numFmtId="174" formatCode="0.00_);\(0.00\);0.00"/>
    <numFmt numFmtId="175" formatCode="\C&quot;$&quot;#,##0.00_);[Red]\(&quot;$&quot;#,##0.00\)"/>
    <numFmt numFmtId="176" formatCode="#,##0%_);\(#,##0.0%\)"/>
    <numFmt numFmtId="177" formatCode="_(* #,##0.00000000_);_(* \(#,##0.00000000\);_(* &quot;-&quot;?_);_(@_)"/>
    <numFmt numFmtId="178" formatCode="mmm\-d\-yyyy"/>
    <numFmt numFmtId="179" formatCode="mmm\-yyyy"/>
    <numFmt numFmtId="180" formatCode="yyyy"/>
    <numFmt numFmtId="181" formatCode="0.00\x&quot;rate&quot;"/>
    <numFmt numFmtId="182" formatCode="0.0&quot;  &quot;"/>
    <numFmt numFmtId="183" formatCode="&quot;$&quot;#,##0.0\ ;[Red]\(&quot;$&quot;#,##0\)"/>
    <numFmt numFmtId="184" formatCode="&quot;$&quot;#,##0.000_);[Red]\(&quot;$&quot;#,##0.000\)"/>
    <numFmt numFmtId="185" formatCode="&quot;$&quot;#,##0.00&quot;A&quot;;[Red]\(&quot;$&quot;#,##0.00\)&quot;A&quot;"/>
    <numFmt numFmtId="186" formatCode="#,##0.0\ ;[Red]\(&quot;$&quot;#,##0\)"/>
    <numFmt numFmtId="187" formatCode="&quot;$&quot;#,##0.00&quot;E&quot;;[Red]\(&quot;$&quot;#,##0.00\)&quot;E&quot;"/>
    <numFmt numFmtId="188" formatCode="_([$€-2]* #,##0.00_);_([$€-2]* \(#,##0.00\);_([$€-2]* &quot;-&quot;??_)"/>
    <numFmt numFmtId="189" formatCode="#,##0.00;\(#,##0.00\)"/>
    <numFmt numFmtId="190" formatCode=".%\,\(0.0%%;\t"/>
    <numFmt numFmtId="191" formatCode="#,##0.0_);[Red]\(#,##0.0\)"/>
    <numFmt numFmtId="192" formatCode="0.0%_);[Red]\(0.0%\)"/>
    <numFmt numFmtId="193" formatCode="0.00_);\(0.00\);0.00_)"/>
    <numFmt numFmtId="194" formatCode="0.0%"/>
    <numFmt numFmtId="195" formatCode="#,##0\x"/>
    <numFmt numFmtId="196" formatCode="&quot;TKR&quot;\ 0"/>
    <numFmt numFmtId="197" formatCode=".%\,\(0.%%;\t"/>
    <numFmt numFmtId="198" formatCode="&quot;$&quot;#,###.0\ \ "/>
    <numFmt numFmtId="199" formatCode="#,##0.00\x_);[Red]\(#,##0.00\x\)"/>
    <numFmt numFmtId="200" formatCode="#,##0.0_);\(#,##0.0\)"/>
    <numFmt numFmtId="201" formatCode="#,##0.000_);\(#,##0.000\)"/>
    <numFmt numFmtId="202" formatCode="#,##0.00\x_);[Red]\(#,##0.00\x\);&quot;--  &quot;"/>
    <numFmt numFmtId="203" formatCode="_(* #,##0.0_);_(* \(#,##0.0\);_(* &quot;-&quot;??_);_(@_)"/>
    <numFmt numFmtId="204" formatCode="0.0\x_);[Red]\(0.0\x\)"/>
    <numFmt numFmtId="205" formatCode="0.0\ "/>
    <numFmt numFmtId="206" formatCode="&quot;$&quot;#,##0.0;\(&quot;$&quot;#,##0.00\)"/>
    <numFmt numFmtId="207" formatCode="#,##0.00%_);\(#,##0.00%\)"/>
    <numFmt numFmtId="208" formatCode="0.00\%;\-0.00\%;0.00\%"/>
    <numFmt numFmtId="209" formatCode="0.0%\ ;\(0.0%\)"/>
    <numFmt numFmtId="210" formatCode="_(&quot;$&quot;* #,##0_);_(&quot;$&quot;* \(#,##0\);_(&quot;$&quot;* &quot;-&quot;??_);_(@_)"/>
    <numFmt numFmtId="211" formatCode="&quot;$&quot;0.00\ "/>
    <numFmt numFmtId="212" formatCode="0.0\ \ \ \ \ "/>
    <numFmt numFmtId="213" formatCode="0.00\x;\-0.00\x;0.00\x"/>
    <numFmt numFmtId="214" formatCode="&quot;$&quot;#,##0.000_);\(&quot;$&quot;#,##0.000\)"/>
    <numFmt numFmtId="215" formatCode="#,##0.0_);\(#,##0.0\);_(* &quot;-&quot;_)"/>
    <numFmt numFmtId="216" formatCode="_(&quot;$&quot;* #,##0.00_);_(&quot;$&quot;* \(#,##0.00\);_(* &quot;-&quot;_);_(@_)"/>
    <numFmt numFmtId="217" formatCode="0.00%_);[Red]\(0.00%\)"/>
    <numFmt numFmtId="218" formatCode="#,##0.0\x_);\(#,##0.0\x\)"/>
    <numFmt numFmtId="219" formatCode="#,##0.00\x_);\(#,##0.00\x\)"/>
    <numFmt numFmtId="220" formatCode="###0&quot;E&quot;_)"/>
    <numFmt numFmtId="221" formatCode="0\A;[Red]0\A"/>
    <numFmt numFmtId="222" formatCode="0\P_);\(0\P\)"/>
    <numFmt numFmtId="223" formatCode="m/d/yy;@"/>
    <numFmt numFmtId="224" formatCode="#,##0_);\(#,##0\);@_)"/>
    <numFmt numFmtId="225" formatCode="0.00%_);\(0.00%\);@_)"/>
    <numFmt numFmtId="226" formatCode="0%_);\(0%\);@_)"/>
    <numFmt numFmtId="227" formatCode="[&gt;1]&quot;10Q: &quot;0&quot; qtrs&quot;;&quot;10Q: &quot;0&quot; qtr&quot;"/>
    <numFmt numFmtId="228" formatCode="&quot;$&quot;#,##0.00_);[Red]\(&quot;$&quot;#,##0.00\);&quot;--  &quot;;_(@_)"/>
    <numFmt numFmtId="229" formatCode="mmm\-dd\-yy"/>
    <numFmt numFmtId="230" formatCode="mmm\-dd\-yyyy"/>
    <numFmt numFmtId="231" formatCode="#,##0.0_);[Red]\(#,##0.0\);&quot;--  &quot;"/>
    <numFmt numFmtId="232" formatCode="0.00\x"/>
    <numFmt numFmtId="233" formatCode="0.0&quot; years&quot;"/>
    <numFmt numFmtId="234" formatCode="_(#,##0.0%_);\(#,##0.0%\);_(&quot;–&quot;_)_%;_(@_)_%"/>
    <numFmt numFmtId="235" formatCode="_(#,##0_)_%;\(#,##0\)_%;_(&quot;–&quot;_)_%;_(@_)_%"/>
    <numFmt numFmtId="236" formatCode="0.0%;\(0.0%\)"/>
    <numFmt numFmtId="237" formatCode="0.0%;\ \(0.0%\)"/>
    <numFmt numFmtId="238" formatCode="_(#,##0.00%_);\(#,##0.00%\);_(&quot;–&quot;_)_%;_(@_)_%"/>
    <numFmt numFmtId="239" formatCode="0\ &quot;days&quot;"/>
    <numFmt numFmtId="240" formatCode="_([$$]#,##0.00_)_%;\([$$]#,##0.00\)_%;_(&quot;–&quot;_)_%;_(@_)_%"/>
    <numFmt numFmtId="241" formatCode="0_);\(0\)"/>
    <numFmt numFmtId="242" formatCode="0\E;[Red]0\E"/>
    <numFmt numFmtId="244" formatCode="_(\ #,##0.00&quot; E&quot;_);_(\(\ #,##0.00&quot; E&quot;\)_);_(\ #,##0.00&quot; E&quot;_)"/>
  </numFmts>
  <fonts count="96">
    <font>
      <sz val="11"/>
      <color theme="1"/>
      <name val="Calibri"/>
      <family val="2"/>
      <scheme val="minor"/>
    </font>
    <font>
      <sz val="11"/>
      <color rgb="FF0000FF"/>
      <name val="Calibri"/>
      <family val="2"/>
      <scheme val="minor"/>
    </font>
    <font>
      <sz val="11"/>
      <color rgb="FF000000"/>
      <name val="Calibri"/>
      <family val="2"/>
      <scheme val="minor"/>
    </font>
    <font>
      <sz val="10"/>
      <name val="GillSans"/>
    </font>
    <font>
      <sz val="8"/>
      <color indexed="49"/>
      <name val="Times New Roman"/>
      <family val="1"/>
    </font>
    <font>
      <sz val="10"/>
      <name val="Arial"/>
      <family val="2"/>
    </font>
    <font>
      <sz val="10"/>
      <name val="Trebuchet MS"/>
      <family val="2"/>
    </font>
    <font>
      <sz val="11"/>
      <color indexed="8"/>
      <name val="Calibri"/>
      <family val="2"/>
    </font>
    <font>
      <sz val="11"/>
      <color indexed="9"/>
      <name val="Calibri"/>
      <family val="2"/>
    </font>
    <font>
      <sz val="11"/>
      <color indexed="20"/>
      <name val="Calibri"/>
      <family val="2"/>
    </font>
    <font>
      <sz val="8"/>
      <name val="Times New Roman"/>
      <family val="1"/>
    </font>
    <font>
      <sz val="10"/>
      <name val="Times New Roman"/>
      <family val="1"/>
    </font>
    <font>
      <b/>
      <sz val="18"/>
      <name val="Tms Rmn"/>
    </font>
    <font>
      <b/>
      <sz val="11"/>
      <color indexed="52"/>
      <name val="Calibri"/>
      <family val="2"/>
    </font>
    <font>
      <b/>
      <sz val="11"/>
      <color indexed="9"/>
      <name val="Calibri"/>
      <family val="2"/>
    </font>
    <font>
      <b/>
      <sz val="7"/>
      <name val="GillSans"/>
    </font>
    <font>
      <sz val="10"/>
      <name val="Geneva"/>
    </font>
    <font>
      <sz val="24"/>
      <name val="Arial"/>
      <family val="2"/>
    </font>
    <font>
      <sz val="8"/>
      <name val="Arial"/>
      <family val="2"/>
    </font>
    <font>
      <sz val="10"/>
      <name val="Helvetica"/>
      <family val="2"/>
    </font>
    <font>
      <b/>
      <sz val="8"/>
      <name val="Arial"/>
      <family val="2"/>
    </font>
    <font>
      <b/>
      <sz val="8"/>
      <name val="Times New Roman"/>
      <family val="1"/>
    </font>
    <font>
      <i/>
      <sz val="11"/>
      <color indexed="23"/>
      <name val="Calibri"/>
      <family val="2"/>
    </font>
    <font>
      <sz val="11"/>
      <color indexed="17"/>
      <name val="Calibri"/>
      <family val="2"/>
    </font>
    <font>
      <i/>
      <sz val="8"/>
      <color indexed="17"/>
      <name val="Times New Roman"/>
      <family val="1"/>
    </font>
    <font>
      <sz val="8"/>
      <color indexed="21"/>
      <name val="Arial"/>
      <family val="2"/>
    </font>
    <font>
      <b/>
      <sz val="15"/>
      <color indexed="56"/>
      <name val="Calibri"/>
      <family val="2"/>
    </font>
    <font>
      <b/>
      <sz val="13"/>
      <color indexed="56"/>
      <name val="Calibri"/>
      <family val="2"/>
    </font>
    <font>
      <b/>
      <sz val="11"/>
      <color indexed="56"/>
      <name val="Calibri"/>
      <family val="2"/>
    </font>
    <font>
      <sz val="10"/>
      <color indexed="12"/>
      <name val="Trebuchet MS"/>
      <family val="2"/>
    </font>
    <font>
      <sz val="10"/>
      <name val="MS Sans Serif"/>
      <family val="2"/>
    </font>
    <font>
      <sz val="11"/>
      <color indexed="62"/>
      <name val="Calibri"/>
      <family val="2"/>
    </font>
    <font>
      <b/>
      <sz val="10"/>
      <color indexed="9"/>
      <name val="Tms Rmn"/>
    </font>
    <font>
      <b/>
      <sz val="10"/>
      <name val="Arial"/>
      <family val="2"/>
    </font>
    <font>
      <sz val="11"/>
      <color indexed="52"/>
      <name val="Calibri"/>
      <family val="2"/>
    </font>
    <font>
      <sz val="8"/>
      <color indexed="18"/>
      <name val="Times New Roman"/>
      <family val="1"/>
    </font>
    <font>
      <sz val="11"/>
      <color indexed="60"/>
      <name val="Calibri"/>
      <family val="2"/>
    </font>
    <font>
      <b/>
      <sz val="11"/>
      <color indexed="63"/>
      <name val="Calibri"/>
      <family val="2"/>
    </font>
    <font>
      <sz val="10"/>
      <name val="Palatino"/>
    </font>
    <font>
      <sz val="12"/>
      <name val="Baskerville MT"/>
    </font>
    <font>
      <u/>
      <sz val="10"/>
      <name val="GillSans"/>
      <family val="2"/>
    </font>
    <font>
      <sz val="10"/>
      <name val="GillSans Light"/>
    </font>
    <font>
      <b/>
      <sz val="12"/>
      <name val="Arial"/>
      <family val="2"/>
    </font>
    <font>
      <b/>
      <sz val="16"/>
      <name val="Arial"/>
      <family val="2"/>
    </font>
    <font>
      <sz val="8"/>
      <name val="MS Sans Serif"/>
      <family val="2"/>
    </font>
    <font>
      <sz val="8.25"/>
      <color indexed="8"/>
      <name val="Arial"/>
      <family val="2"/>
    </font>
    <font>
      <b/>
      <u val="singleAccounting"/>
      <sz val="8"/>
      <color indexed="8"/>
      <name val="Arial"/>
      <family val="2"/>
    </font>
    <font>
      <sz val="8"/>
      <color indexed="8"/>
      <name val="Arial"/>
      <family val="2"/>
    </font>
    <font>
      <sz val="8"/>
      <color indexed="39"/>
      <name val="Arial"/>
      <family val="2"/>
    </font>
    <font>
      <sz val="7"/>
      <name val="Times New Roman"/>
      <family val="1"/>
    </font>
    <font>
      <sz val="7"/>
      <color indexed="17"/>
      <name val="Times New Roman"/>
      <family val="1"/>
    </font>
    <font>
      <sz val="7"/>
      <color indexed="18"/>
      <name val="Times New Roman"/>
      <family val="1"/>
    </font>
    <font>
      <b/>
      <sz val="12"/>
      <name val="GillSans"/>
      <family val="2"/>
    </font>
    <font>
      <b/>
      <sz val="18"/>
      <color indexed="56"/>
      <name val="Cambria"/>
      <family val="2"/>
    </font>
    <font>
      <b/>
      <sz val="11"/>
      <name val="GillSans"/>
    </font>
    <font>
      <b/>
      <sz val="8"/>
      <color indexed="18"/>
      <name val="Times New Roman"/>
      <family val="1"/>
    </font>
    <font>
      <i/>
      <sz val="8"/>
      <name val="Times New Roman"/>
      <family val="1"/>
    </font>
    <font>
      <u/>
      <sz val="11"/>
      <name val="GillSans"/>
      <family val="2"/>
    </font>
    <font>
      <b/>
      <sz val="11"/>
      <color indexed="8"/>
      <name val="Calibri"/>
      <family val="2"/>
    </font>
    <font>
      <sz val="11"/>
      <color indexed="10"/>
      <name val="Calibri"/>
      <family val="2"/>
    </font>
    <font>
      <b/>
      <sz val="11"/>
      <color rgb="FF000000"/>
      <name val="Calibri"/>
      <family val="2"/>
      <scheme val="minor"/>
    </font>
    <font>
      <sz val="9"/>
      <color indexed="81"/>
      <name val="Tahoma"/>
      <family val="2"/>
    </font>
    <font>
      <i/>
      <sz val="11"/>
      <color rgb="FF000000"/>
      <name val="Calibri"/>
      <family val="2"/>
      <scheme val="minor"/>
    </font>
    <font>
      <b/>
      <sz val="11"/>
      <color theme="1"/>
      <name val="Calibri"/>
      <family val="2"/>
      <scheme val="minor"/>
    </font>
    <font>
      <b/>
      <sz val="11"/>
      <color rgb="FF008000"/>
      <name val="Calibri"/>
      <family val="2"/>
      <scheme val="minor"/>
    </font>
    <font>
      <i/>
      <sz val="11"/>
      <color theme="1"/>
      <name val="Calibri"/>
      <family val="2"/>
      <scheme val="minor"/>
    </font>
    <font>
      <i/>
      <sz val="11"/>
      <color rgb="FF0000FF"/>
      <name val="Calibri"/>
      <family val="2"/>
      <scheme val="minor"/>
    </font>
    <font>
      <u/>
      <sz val="11"/>
      <color theme="1"/>
      <name val="Calibri"/>
      <family val="2"/>
      <scheme val="minor"/>
    </font>
    <font>
      <sz val="10"/>
      <color indexed="8"/>
      <name val="Arial"/>
      <family val="2"/>
    </font>
    <font>
      <b/>
      <sz val="8"/>
      <color indexed="8"/>
      <name val="Verdana"/>
      <family val="2"/>
    </font>
    <font>
      <sz val="8"/>
      <color indexed="12"/>
      <name val="Arial"/>
      <family val="2"/>
    </font>
    <font>
      <sz val="1"/>
      <color indexed="9"/>
      <name val="Symbol"/>
      <family val="1"/>
      <charset val="2"/>
    </font>
    <font>
      <sz val="11"/>
      <color indexed="8"/>
      <name val="Calibri"/>
      <family val="2"/>
      <scheme val="minor"/>
    </font>
    <font>
      <b/>
      <u val="singleAccounting"/>
      <sz val="8"/>
      <color indexed="8"/>
      <name val="Verdana"/>
      <family val="2"/>
    </font>
    <font>
      <b/>
      <sz val="10"/>
      <color indexed="9"/>
      <name val="Arial"/>
      <family val="2"/>
    </font>
    <font>
      <b/>
      <sz val="12"/>
      <color indexed="8"/>
      <name val="Verdana"/>
      <family val="2"/>
    </font>
    <font>
      <sz val="8"/>
      <color indexed="10"/>
      <name val="Arial"/>
      <family val="2"/>
    </font>
    <font>
      <b/>
      <sz val="8"/>
      <color indexed="9"/>
      <name val="Verdana"/>
      <family val="2"/>
    </font>
    <font>
      <vertAlign val="subscript"/>
      <sz val="8"/>
      <color indexed="8"/>
      <name val="Arial"/>
      <family val="2"/>
    </font>
    <font>
      <vertAlign val="superscript"/>
      <sz val="8"/>
      <color indexed="8"/>
      <name val="Arial"/>
      <family val="2"/>
    </font>
    <font>
      <b/>
      <sz val="8"/>
      <color indexed="8"/>
      <name val="Arial"/>
      <family val="2"/>
    </font>
    <font>
      <i/>
      <sz val="8"/>
      <color indexed="8"/>
      <name val="Arial"/>
      <family val="2"/>
    </font>
    <font>
      <b/>
      <sz val="13"/>
      <color indexed="8"/>
      <name val="Verdana"/>
      <family val="2"/>
    </font>
    <font>
      <sz val="11"/>
      <name val="Calibri"/>
      <family val="2"/>
      <scheme val="minor"/>
    </font>
    <font>
      <b/>
      <u/>
      <sz val="11"/>
      <color theme="1"/>
      <name val="Calibri"/>
      <family val="2"/>
      <scheme val="minor"/>
    </font>
    <font>
      <sz val="11"/>
      <color rgb="FF000000"/>
      <name val="Times New Roman"/>
      <family val="1"/>
    </font>
    <font>
      <sz val="8"/>
      <color rgb="FFFF0000"/>
      <name val="Calibri"/>
      <family val="2"/>
      <scheme val="minor"/>
    </font>
    <font>
      <sz val="9"/>
      <color rgb="FF008000"/>
      <name val="Calibri"/>
      <family val="2"/>
      <scheme val="minor"/>
    </font>
    <font>
      <b/>
      <sz val="11"/>
      <name val="Calibri"/>
      <family val="2"/>
      <scheme val="minor"/>
    </font>
    <font>
      <b/>
      <sz val="9"/>
      <color theme="1"/>
      <name val="Calibri"/>
      <family val="2"/>
      <scheme val="minor"/>
    </font>
    <font>
      <u/>
      <sz val="11"/>
      <color rgb="FF000000"/>
      <name val="Calibri"/>
      <family val="2"/>
      <scheme val="minor"/>
    </font>
    <font>
      <sz val="11"/>
      <color rgb="FF008000"/>
      <name val="Calibri"/>
      <family val="2"/>
      <scheme val="minor"/>
    </font>
    <font>
      <sz val="11"/>
      <color rgb="FF800080"/>
      <name val="Calibri"/>
      <family val="2"/>
      <scheme val="minor"/>
    </font>
    <font>
      <b/>
      <sz val="11"/>
      <color rgb="FF0000FF"/>
      <name val="Calibri"/>
      <family val="2"/>
      <scheme val="minor"/>
    </font>
    <font>
      <b/>
      <sz val="9"/>
      <color indexed="81"/>
      <name val="Tahoma"/>
      <family val="2"/>
    </font>
    <font>
      <sz val="11"/>
      <color rgb="FFC00000"/>
      <name val="Calibri"/>
      <family val="2"/>
      <scheme val="minor"/>
    </font>
  </fonts>
  <fills count="44">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8"/>
        <bgColor indexed="64"/>
      </patternFill>
    </fill>
    <fill>
      <patternFill patternType="solid">
        <fgColor indexed="13"/>
        <bgColor indexed="64"/>
      </patternFill>
    </fill>
    <fill>
      <patternFill patternType="solid">
        <fgColor indexed="26"/>
      </patternFill>
    </fill>
    <fill>
      <patternFill patternType="solid">
        <fgColor indexed="61"/>
        <bgColor indexed="64"/>
      </patternFill>
    </fill>
    <fill>
      <patternFill patternType="solid">
        <fgColor indexed="60"/>
        <bgColor indexed="64"/>
      </patternFill>
    </fill>
    <fill>
      <patternFill patternType="solid">
        <fgColor rgb="FF808080"/>
        <bgColor indexed="64"/>
      </patternFill>
    </fill>
    <fill>
      <patternFill patternType="solid">
        <fgColor indexed="62"/>
        <bgColor indexed="64"/>
      </patternFill>
    </fill>
    <fill>
      <patternFill patternType="solid">
        <fgColor indexed="63"/>
        <bgColor indexed="64"/>
      </patternFill>
    </fill>
    <fill>
      <patternFill patternType="solid">
        <fgColor indexed="56"/>
        <bgColor indexed="64"/>
      </patternFill>
    </fill>
    <fill>
      <patternFill patternType="solid">
        <fgColor rgb="FFFCE5CD"/>
        <bgColor indexed="64"/>
      </patternFill>
    </fill>
    <fill>
      <patternFill patternType="solid">
        <fgColor rgb="FFC9DAF8"/>
        <bgColor indexed="64"/>
      </patternFill>
    </fill>
    <fill>
      <patternFill patternType="darkDown"/>
    </fill>
    <fill>
      <patternFill patternType="solid">
        <fgColor rgb="FFF4CCCC"/>
        <bgColor indexed="64"/>
      </patternFill>
    </fill>
    <fill>
      <patternFill patternType="solid">
        <fgColor rgb="FFF4CCCC"/>
        <bgColor rgb="FF000000"/>
      </patternFill>
    </fill>
    <fill>
      <patternFill patternType="solid">
        <fgColor rgb="FFC9DAF8"/>
        <bgColor rgb="FF000000"/>
      </patternFill>
    </fill>
    <fill>
      <patternFill patternType="solid">
        <fgColor theme="2"/>
        <bgColor indexed="64"/>
      </patternFill>
    </fill>
    <fill>
      <patternFill patternType="solid">
        <fgColor rgb="FFD2F2FF"/>
        <bgColor indexed="64"/>
      </patternFill>
    </fill>
  </fills>
  <borders count="51">
    <border>
      <left/>
      <right/>
      <top/>
      <bottom/>
      <diagonal/>
    </border>
    <border>
      <left/>
      <right/>
      <top/>
      <bottom style="thin">
        <color rgb="FF000000"/>
      </bottom>
      <diagonal/>
    </border>
    <border>
      <left style="thin">
        <color indexed="23"/>
      </left>
      <right style="thin">
        <color indexed="23"/>
      </right>
      <top style="thin">
        <color indexed="23"/>
      </top>
      <bottom style="thin">
        <color indexed="23"/>
      </bottom>
      <diagonal/>
    </border>
    <border>
      <left/>
      <right/>
      <top/>
      <bottom style="double">
        <color auto="1"/>
      </bottom>
      <diagonal/>
    </border>
    <border>
      <left style="double">
        <color indexed="63"/>
      </left>
      <right style="double">
        <color indexed="63"/>
      </right>
      <top style="double">
        <color indexed="63"/>
      </top>
      <bottom style="double">
        <color indexed="63"/>
      </bottom>
      <diagonal/>
    </border>
    <border>
      <left/>
      <right/>
      <top/>
      <bottom style="thin">
        <color auto="1"/>
      </bottom>
      <diagonal/>
    </border>
    <border>
      <left/>
      <right style="thin">
        <color auto="1"/>
      </right>
      <top/>
      <bottom/>
      <diagonal/>
    </border>
    <border>
      <left style="thin">
        <color indexed="9"/>
      </left>
      <right style="thin">
        <color indexed="9"/>
      </right>
      <top/>
      <bottom/>
      <diagonal/>
    </border>
    <border>
      <left style="thin">
        <color auto="1"/>
      </left>
      <right style="thin">
        <color auto="1"/>
      </right>
      <top style="thin">
        <color auto="1"/>
      </top>
      <bottom style="thin">
        <color auto="1"/>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auto="1"/>
      </right>
      <top style="thin">
        <color auto="1"/>
      </top>
      <bottom/>
      <diagonal/>
    </border>
    <border>
      <left/>
      <right/>
      <top/>
      <bottom style="thick">
        <color auto="1"/>
      </bottom>
      <diagonal/>
    </border>
    <border>
      <left/>
      <right/>
      <top style="thin">
        <color indexed="62"/>
      </top>
      <bottom style="double">
        <color indexed="62"/>
      </bottom>
      <diagonal/>
    </border>
    <border>
      <left/>
      <right/>
      <top style="medium">
        <color rgb="FF000000"/>
      </top>
      <bottom style="medium">
        <color rgb="FF000000"/>
      </bottom>
      <diagonal/>
    </border>
    <border>
      <left/>
      <right/>
      <top/>
      <bottom style="medium">
        <color rgb="FF000000"/>
      </bottom>
      <diagonal/>
    </border>
    <border>
      <left style="thin">
        <color indexed="23"/>
      </left>
      <right style="thin">
        <color indexed="23"/>
      </right>
      <top/>
      <bottom/>
      <diagonal/>
    </border>
    <border>
      <left style="thin">
        <color auto="1"/>
      </left>
      <right style="thin">
        <color auto="1"/>
      </right>
      <top/>
      <bottom style="thin">
        <color auto="1"/>
      </bottom>
      <diagonal/>
    </border>
    <border>
      <left/>
      <right style="hair">
        <color rgb="FF000000"/>
      </right>
      <top/>
      <bottom/>
      <diagonal/>
    </border>
    <border>
      <left/>
      <right/>
      <top style="medium">
        <color rgb="FF000000"/>
      </top>
      <bottom/>
      <diagonal/>
    </border>
    <border>
      <left style="hair">
        <color rgb="FF000000"/>
      </left>
      <right style="hair">
        <color rgb="FF000000"/>
      </right>
      <top style="hair">
        <color rgb="FF000000"/>
      </top>
      <bottom style="hair">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diagonal/>
    </border>
    <border>
      <left/>
      <right/>
      <top/>
      <bottom style="hair">
        <color rgb="FF000000"/>
      </bottom>
      <diagonal/>
    </border>
    <border>
      <left style="hair">
        <color rgb="FF000000"/>
      </left>
      <right/>
      <top/>
      <bottom/>
      <diagonal/>
    </border>
    <border>
      <left style="hair">
        <color rgb="FF000000"/>
      </left>
      <right/>
      <top/>
      <bottom style="hair">
        <color rgb="FF000000"/>
      </bottom>
      <diagonal/>
    </border>
    <border>
      <left/>
      <right/>
      <top style="thin">
        <color rgb="FF000000"/>
      </top>
      <bottom/>
      <diagonal/>
    </border>
    <border>
      <left/>
      <right/>
      <top style="hair">
        <color rgb="FF000000"/>
      </top>
      <bottom/>
      <diagonal/>
    </border>
    <border>
      <left/>
      <right style="hair">
        <color rgb="FF000000"/>
      </right>
      <top/>
      <bottom style="hair">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medium">
        <color rgb="FF000000"/>
      </left>
      <right style="medium">
        <color rgb="FF000000"/>
      </right>
      <top/>
      <bottom/>
      <diagonal/>
    </border>
    <border>
      <left style="medium">
        <color rgb="FF000000"/>
      </left>
      <right style="medium">
        <color rgb="FF000000"/>
      </right>
      <top/>
      <bottom style="thin">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style="medium">
        <color rgb="FF000000"/>
      </top>
      <bottom style="medium">
        <color rgb="FF000000"/>
      </bottom>
      <diagonal/>
    </border>
    <border>
      <left/>
      <right/>
      <top style="thin">
        <color rgb="FF000000"/>
      </top>
      <bottom style="hair">
        <color rgb="FF000000"/>
      </bottom>
      <diagonal/>
    </border>
    <border>
      <left/>
      <right style="hair">
        <color rgb="FF000000"/>
      </right>
      <top style="hair">
        <color rgb="FF000000"/>
      </top>
      <bottom/>
      <diagonal/>
    </border>
    <border>
      <left style="hair">
        <color rgb="FF000000"/>
      </left>
      <right/>
      <top style="hair">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indexed="64"/>
      </top>
      <bottom/>
      <diagonal/>
    </border>
    <border>
      <left/>
      <right/>
      <top/>
      <bottom style="hair">
        <color indexed="64"/>
      </bottom>
      <diagonal/>
    </border>
  </borders>
  <cellStyleXfs count="209">
    <xf numFmtId="0" fontId="0" fillId="0" borderId="0"/>
    <xf numFmtId="0" fontId="3" fillId="0" borderId="0"/>
    <xf numFmtId="166" fontId="3" fillId="0" borderId="0">
      <alignment horizontal="right"/>
    </xf>
    <xf numFmtId="167" fontId="3" fillId="2" borderId="0"/>
    <xf numFmtId="168" fontId="3" fillId="2" borderId="0"/>
    <xf numFmtId="169" fontId="3" fillId="2" borderId="0"/>
    <xf numFmtId="170" fontId="3" fillId="2" borderId="0">
      <alignment horizontal="right"/>
    </xf>
    <xf numFmtId="171" fontId="4" fillId="0" borderId="0" applyFont="0" applyFill="0" applyBorder="0" applyAlignment="0" applyProtection="0"/>
    <xf numFmtId="0" fontId="5" fillId="0" borderId="0" applyNumberFormat="0" applyFont="0" applyFill="0" applyBorder="0" applyAlignment="0" applyProtection="0"/>
    <xf numFmtId="172" fontId="6" fillId="0" borderId="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9" borderId="0" applyNumberFormat="0" applyBorder="0" applyAlignment="0" applyProtection="0"/>
    <xf numFmtId="0" fontId="7" fillId="12" borderId="0" applyNumberFormat="0" applyBorder="0" applyAlignment="0" applyProtection="0"/>
    <xf numFmtId="0" fontId="8" fillId="13"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20" borderId="0" applyNumberFormat="0" applyBorder="0" applyAlignment="0" applyProtection="0"/>
    <xf numFmtId="0" fontId="6" fillId="0" borderId="0"/>
    <xf numFmtId="0" fontId="9" fillId="4" borderId="0" applyNumberFormat="0" applyBorder="0" applyAlignment="0" applyProtection="0"/>
    <xf numFmtId="173" fontId="10" fillId="0" borderId="0" applyFont="0" applyFill="0" applyBorder="0" applyAlignment="0" applyProtection="0"/>
    <xf numFmtId="38" fontId="10" fillId="0" borderId="0" applyFill="0" applyBorder="0" applyAlignment="0" applyProtection="0">
      <protection locked="0"/>
    </xf>
    <xf numFmtId="0" fontId="11" fillId="0" borderId="0"/>
    <xf numFmtId="37" fontId="12" fillId="0" borderId="0">
      <alignment horizontal="centerContinuous"/>
    </xf>
    <xf numFmtId="0" fontId="13" fillId="21" borderId="2" applyNumberFormat="0" applyAlignment="0" applyProtection="0"/>
    <xf numFmtId="173" fontId="10" fillId="0" borderId="0" applyFont="0" applyFill="0" applyBorder="0" applyAlignment="0" applyProtection="0">
      <protection locked="0"/>
    </xf>
    <xf numFmtId="173" fontId="10" fillId="0" borderId="3" applyFont="0" applyFill="0" applyAlignment="0" applyProtection="0"/>
    <xf numFmtId="0" fontId="14" fillId="22" borderId="4" applyNumberFormat="0" applyAlignment="0" applyProtection="0"/>
    <xf numFmtId="0" fontId="5" fillId="0" borderId="0">
      <alignment horizontal="center" wrapText="1"/>
      <protection hidden="1"/>
    </xf>
    <xf numFmtId="0" fontId="15" fillId="0" borderId="5" applyNumberFormat="0" applyFill="0" applyBorder="0" applyProtection="0">
      <alignment horizontal="left" vertical="center"/>
    </xf>
    <xf numFmtId="0" fontId="15" fillId="0" borderId="5" applyNumberFormat="0" applyFill="0" applyBorder="0" applyProtection="0">
      <alignment horizontal="right" vertical="center"/>
    </xf>
    <xf numFmtId="43" fontId="5" fillId="0" borderId="0" applyFont="0" applyFill="0" applyBorder="0" applyAlignment="0" applyProtection="0"/>
    <xf numFmtId="37" fontId="16" fillId="0" borderId="0" applyFont="0" applyFill="0" applyBorder="0" applyAlignment="0" applyProtection="0"/>
    <xf numFmtId="39" fontId="16" fillId="0" borderId="0" applyFont="0" applyFill="0" applyBorder="0" applyAlignment="0" applyProtection="0"/>
    <xf numFmtId="0" fontId="17" fillId="23" borderId="0">
      <alignment horizontal="center" vertical="center" wrapText="1"/>
    </xf>
    <xf numFmtId="174" fontId="5" fillId="0" borderId="0" applyFill="0" applyBorder="0">
      <alignment horizontal="right"/>
      <protection locked="0"/>
    </xf>
    <xf numFmtId="0" fontId="18" fillId="0" borderId="0" applyFont="0" applyFill="0" applyBorder="0" applyAlignment="0"/>
    <xf numFmtId="7" fontId="19" fillId="0" borderId="0" applyFont="0" applyFill="0" applyBorder="0" applyAlignment="0" applyProtection="0"/>
    <xf numFmtId="5" fontId="16" fillId="0" borderId="0" applyFont="0" applyFill="0" applyBorder="0" applyAlignment="0" applyProtection="0"/>
    <xf numFmtId="175" fontId="6" fillId="0" borderId="0" applyFill="0" applyBorder="0" applyProtection="0">
      <alignment horizontal="right"/>
    </xf>
    <xf numFmtId="176" fontId="3" fillId="2" borderId="6">
      <alignment horizontal="right"/>
    </xf>
    <xf numFmtId="177" fontId="3" fillId="2" borderId="6">
      <alignment horizontal="right"/>
    </xf>
    <xf numFmtId="176" fontId="3" fillId="2" borderId="6">
      <alignment horizontal="right"/>
    </xf>
    <xf numFmtId="15" fontId="20" fillId="0" borderId="0" applyFill="0" applyBorder="0" applyAlignment="0"/>
    <xf numFmtId="178" fontId="18" fillId="24" borderId="0" applyFont="0" applyFill="0" applyBorder="0" applyAlignment="0" applyProtection="0"/>
    <xf numFmtId="179" fontId="20" fillId="0" borderId="5"/>
    <xf numFmtId="14" fontId="21" fillId="0" borderId="0" applyFont="0" applyFill="0" applyBorder="0" applyAlignment="0" applyProtection="0">
      <alignment horizontal="center"/>
    </xf>
    <xf numFmtId="180" fontId="21" fillId="0" borderId="0" applyFont="0" applyFill="0" applyBorder="0" applyAlignment="0" applyProtection="0">
      <alignment horizontal="center"/>
    </xf>
    <xf numFmtId="181" fontId="6" fillId="0" borderId="0" applyFont="0" applyFill="0" applyBorder="0" applyAlignment="0" applyProtection="0"/>
    <xf numFmtId="8" fontId="10" fillId="0" borderId="0" applyFont="0" applyFill="0" applyBorder="0" applyAlignment="0" applyProtection="0"/>
    <xf numFmtId="6" fontId="10" fillId="0" borderId="0" applyFont="0" applyFill="0" applyBorder="0" applyAlignment="0" applyProtection="0">
      <alignment horizontal="right"/>
    </xf>
    <xf numFmtId="6" fontId="10" fillId="0" borderId="0" applyFont="0" applyFill="0" applyBorder="0" applyAlignment="0" applyProtection="0"/>
    <xf numFmtId="39" fontId="3" fillId="25" borderId="0"/>
    <xf numFmtId="7" fontId="3" fillId="25" borderId="0" applyBorder="0"/>
    <xf numFmtId="182" fontId="3" fillId="25" borderId="0"/>
    <xf numFmtId="183" fontId="3" fillId="0" borderId="0"/>
    <xf numFmtId="184" fontId="3" fillId="25" borderId="0"/>
    <xf numFmtId="185" fontId="11" fillId="0" borderId="0" applyFont="0" applyFill="0" applyBorder="0" applyProtection="0">
      <alignment horizontal="left"/>
      <protection locked="0"/>
    </xf>
    <xf numFmtId="186" fontId="3" fillId="0" borderId="0"/>
    <xf numFmtId="187" fontId="11" fillId="0" borderId="0" applyFont="0" applyFill="0" applyBorder="0" applyProtection="0">
      <alignment horizontal="left"/>
      <protection locked="0"/>
    </xf>
    <xf numFmtId="188" fontId="5" fillId="0" borderId="0" applyFont="0" applyFill="0" applyBorder="0" applyAlignment="0" applyProtection="0"/>
    <xf numFmtId="0" fontId="22" fillId="0" borderId="0" applyNumberFormat="0" applyFill="0" applyBorder="0" applyAlignment="0" applyProtection="0"/>
    <xf numFmtId="171" fontId="3" fillId="0" borderId="7"/>
    <xf numFmtId="189" fontId="3" fillId="2" borderId="6">
      <alignment horizontal="right"/>
    </xf>
    <xf numFmtId="190" fontId="3" fillId="2" borderId="6">
      <alignment horizontal="right"/>
    </xf>
    <xf numFmtId="189" fontId="3" fillId="2" borderId="6">
      <alignment horizontal="right"/>
    </xf>
    <xf numFmtId="191" fontId="10" fillId="0" borderId="0" applyFill="0" applyBorder="0" applyAlignment="0" applyProtection="0">
      <protection locked="0"/>
    </xf>
    <xf numFmtId="0" fontId="23" fillId="5" borderId="0" applyNumberFormat="0" applyBorder="0" applyAlignment="0" applyProtection="0"/>
    <xf numFmtId="192" fontId="24" fillId="0" borderId="0" applyFill="0" applyBorder="0" applyAlignment="0" applyProtection="0"/>
    <xf numFmtId="171" fontId="25" fillId="0" borderId="0" applyAlignment="0">
      <alignment horizontal="left"/>
      <protection locked="0"/>
    </xf>
    <xf numFmtId="191" fontId="6" fillId="26" borderId="8" applyNumberFormat="0" applyFont="0" applyAlignment="0" applyProtection="0"/>
    <xf numFmtId="0" fontId="26" fillId="0" borderId="9" applyNumberFormat="0" applyFill="0" applyAlignment="0" applyProtection="0"/>
    <xf numFmtId="0" fontId="27" fillId="0" borderId="10" applyNumberFormat="0" applyFill="0" applyAlignment="0" applyProtection="0"/>
    <xf numFmtId="0" fontId="28" fillId="0" borderId="11" applyNumberFormat="0" applyFill="0" applyAlignment="0" applyProtection="0"/>
    <xf numFmtId="0" fontId="28" fillId="0" borderId="0" applyNumberFormat="0" applyFill="0" applyBorder="0" applyAlignment="0" applyProtection="0"/>
    <xf numFmtId="191" fontId="29" fillId="0" borderId="0" applyNumberFormat="0" applyFill="0" applyBorder="0" applyAlignment="0" applyProtection="0"/>
    <xf numFmtId="0" fontId="30" fillId="0" borderId="0"/>
    <xf numFmtId="173" fontId="10" fillId="0" borderId="0" applyFont="0" applyFill="0" applyBorder="0" applyAlignment="0" applyProtection="0"/>
    <xf numFmtId="38" fontId="10" fillId="0" borderId="0" applyFill="0" applyBorder="0" applyAlignment="0" applyProtection="0">
      <alignment horizontal="right"/>
      <protection locked="0"/>
    </xf>
    <xf numFmtId="0" fontId="31" fillId="8" borderId="2" applyNumberFormat="0" applyAlignment="0" applyProtection="0"/>
    <xf numFmtId="0" fontId="18" fillId="24" borderId="0" applyFont="0" applyBorder="0" applyAlignment="0">
      <protection locked="0"/>
    </xf>
    <xf numFmtId="0" fontId="5" fillId="0" borderId="0" applyFill="0" applyBorder="0">
      <alignment horizontal="right"/>
      <protection locked="0"/>
    </xf>
    <xf numFmtId="17" fontId="32" fillId="27" borderId="0"/>
    <xf numFmtId="193" fontId="5" fillId="0" borderId="0" applyFill="0" applyBorder="0">
      <alignment horizontal="right"/>
      <protection locked="0"/>
    </xf>
    <xf numFmtId="0" fontId="33" fillId="28" borderId="12">
      <alignment horizontal="left" vertical="center" wrapText="1"/>
    </xf>
    <xf numFmtId="0" fontId="34" fillId="0" borderId="13" applyNumberFormat="0" applyFill="0" applyAlignment="0" applyProtection="0"/>
    <xf numFmtId="194" fontId="10" fillId="0" borderId="0" applyFont="0" applyFill="0" applyBorder="0" applyAlignment="0" applyProtection="0">
      <alignment horizontal="right"/>
    </xf>
    <xf numFmtId="195" fontId="3" fillId="0" borderId="0">
      <alignment horizontal="right"/>
    </xf>
    <xf numFmtId="196" fontId="3" fillId="25" borderId="0">
      <alignment horizontal="right"/>
    </xf>
    <xf numFmtId="197" fontId="3" fillId="0" borderId="0">
      <alignment horizontal="right"/>
    </xf>
    <xf numFmtId="195" fontId="3" fillId="0" borderId="0">
      <alignment horizontal="right"/>
    </xf>
    <xf numFmtId="171" fontId="35" fillId="0" borderId="0" applyFill="0" applyBorder="0" applyAlignment="0" applyProtection="0">
      <alignment horizontal="right"/>
    </xf>
    <xf numFmtId="171" fontId="35" fillId="0" borderId="0" applyFill="0" applyBorder="0" applyAlignment="0" applyProtection="0"/>
    <xf numFmtId="198" fontId="3" fillId="2" borderId="6">
      <alignment horizontal="right"/>
    </xf>
    <xf numFmtId="199" fontId="10" fillId="0" borderId="0" applyFont="0" applyFill="0" applyBorder="0" applyAlignment="0" applyProtection="0"/>
    <xf numFmtId="0" fontId="16" fillId="2" borderId="0" applyFont="0" applyBorder="0" applyAlignment="0" applyProtection="0">
      <alignment horizontal="right"/>
      <protection hidden="1"/>
    </xf>
    <xf numFmtId="0" fontId="36" fillId="26" borderId="0" applyNumberFormat="0" applyBorder="0" applyAlignment="0" applyProtection="0"/>
    <xf numFmtId="37" fontId="19" fillId="0" borderId="0" applyFont="0" applyFill="0" applyBorder="0" applyAlignment="0" applyProtection="0"/>
    <xf numFmtId="200" fontId="5" fillId="0" borderId="0" applyFont="0" applyFill="0" applyBorder="0" applyAlignment="0" applyProtection="0"/>
    <xf numFmtId="39" fontId="5" fillId="0" borderId="0" applyFont="0" applyFill="0" applyBorder="0" applyAlignment="0" applyProtection="0"/>
    <xf numFmtId="201" fontId="5" fillId="0" borderId="0" applyFont="0" applyFill="0" applyBorder="0" applyAlignment="0" applyProtection="0"/>
    <xf numFmtId="0" fontId="5" fillId="0" borderId="0"/>
    <xf numFmtId="0" fontId="20" fillId="0" borderId="0" applyNumberFormat="0" applyFill="0" applyBorder="0" applyAlignment="0" applyProtection="0"/>
    <xf numFmtId="0" fontId="18" fillId="0" borderId="0" applyFont="0" applyFill="0" applyBorder="0" applyAlignment="0" applyProtection="0"/>
    <xf numFmtId="202" fontId="18" fillId="0" borderId="0" applyFont="0" applyFill="0" applyBorder="0" applyAlignment="0" applyProtection="0"/>
    <xf numFmtId="0" fontId="7" fillId="29" borderId="14" applyNumberFormat="0" applyFont="0" applyAlignment="0" applyProtection="0"/>
    <xf numFmtId="0" fontId="16" fillId="0" borderId="0" applyFont="0" applyFill="0" applyBorder="0" applyAlignment="0" applyProtection="0"/>
    <xf numFmtId="203" fontId="5" fillId="0" borderId="0" applyFont="0" applyFill="0" applyBorder="0" applyAlignment="0" applyProtection="0"/>
    <xf numFmtId="0" fontId="16" fillId="0" borderId="0" applyFont="0" applyFill="0" applyBorder="0" applyAlignment="0" applyProtection="0"/>
    <xf numFmtId="0" fontId="37" fillId="21" borderId="15" applyNumberFormat="0" applyAlignment="0" applyProtection="0"/>
    <xf numFmtId="204" fontId="10" fillId="0" borderId="0" applyFont="0" applyFill="0" applyBorder="0" applyAlignment="0" applyProtection="0">
      <alignment horizontal="right"/>
    </xf>
    <xf numFmtId="0" fontId="38" fillId="0" borderId="0" applyNumberFormat="0" applyFill="0" applyBorder="0" applyAlignment="0" applyProtection="0"/>
    <xf numFmtId="0" fontId="18" fillId="0" borderId="0"/>
    <xf numFmtId="205" fontId="3" fillId="25" borderId="0"/>
    <xf numFmtId="9" fontId="10" fillId="0" borderId="0" applyFont="0" applyFill="0" applyBorder="0" applyAlignment="0" applyProtection="0">
      <alignment horizontal="right"/>
    </xf>
    <xf numFmtId="206" fontId="3" fillId="0" borderId="0"/>
    <xf numFmtId="0" fontId="5" fillId="0" borderId="0" applyFont="0" applyFill="0" applyBorder="0" applyAlignment="0"/>
    <xf numFmtId="167" fontId="5" fillId="0" borderId="0" applyFont="0" applyFill="0" applyBorder="0" applyAlignment="0" applyProtection="0"/>
    <xf numFmtId="207" fontId="5" fillId="0" borderId="0" applyFont="0" applyFill="0" applyBorder="0" applyAlignment="0" applyProtection="0"/>
    <xf numFmtId="208" fontId="5" fillId="0" borderId="0" applyFill="0" applyBorder="0">
      <alignment horizontal="right"/>
      <protection locked="0"/>
    </xf>
    <xf numFmtId="192" fontId="10" fillId="0" borderId="0" applyFont="0" applyFill="0" applyBorder="0" applyAlignment="0" applyProtection="0"/>
    <xf numFmtId="8" fontId="10" fillId="0" borderId="0" applyFont="0" applyFill="0" applyBorder="0" applyAlignment="0" applyProtection="0"/>
    <xf numFmtId="173" fontId="10" fillId="0" borderId="0" applyFont="0" applyFill="0" applyBorder="0" applyAlignment="0" applyProtection="0">
      <protection locked="0"/>
    </xf>
    <xf numFmtId="191" fontId="10" fillId="0" borderId="0" applyFill="0" applyBorder="0" applyAlignment="0" applyProtection="0"/>
    <xf numFmtId="38" fontId="10" fillId="0" borderId="0" applyFont="0" applyFill="0" applyBorder="0" applyAlignment="0" applyProtection="0"/>
    <xf numFmtId="169" fontId="3" fillId="2" borderId="16">
      <alignment horizontal="right"/>
    </xf>
    <xf numFmtId="209" fontId="39" fillId="2" borderId="0"/>
    <xf numFmtId="210" fontId="3" fillId="2" borderId="0"/>
    <xf numFmtId="0" fontId="40" fillId="0" borderId="0">
      <alignment horizontal="center"/>
    </xf>
    <xf numFmtId="0" fontId="3" fillId="0" borderId="5">
      <alignment horizontal="centerContinuous"/>
    </xf>
    <xf numFmtId="211" fontId="3" fillId="2" borderId="0">
      <alignment horizontal="right"/>
    </xf>
    <xf numFmtId="212" fontId="3" fillId="2" borderId="6">
      <alignment horizontal="right"/>
    </xf>
    <xf numFmtId="213" fontId="5" fillId="0" borderId="0">
      <alignment horizontal="right"/>
      <protection locked="0"/>
    </xf>
    <xf numFmtId="191" fontId="21" fillId="0" borderId="0" applyFont="0" applyFill="0" applyBorder="0" applyAlignment="0" applyProtection="0"/>
    <xf numFmtId="0" fontId="41" fillId="0" borderId="0" applyNumberFormat="0" applyFill="0" applyBorder="0" applyProtection="0">
      <alignment horizontal="right" vertical="center"/>
    </xf>
    <xf numFmtId="0" fontId="42" fillId="23" borderId="8">
      <alignment horizontal="center" vertical="center" wrapText="1"/>
      <protection hidden="1"/>
    </xf>
    <xf numFmtId="173" fontId="10" fillId="0" borderId="0" applyFill="0" applyBorder="0" applyAlignment="0" applyProtection="0">
      <protection locked="0"/>
    </xf>
    <xf numFmtId="214" fontId="21" fillId="0" borderId="0" applyFont="0" applyFill="0" applyBorder="0" applyAlignment="0" applyProtection="0">
      <alignment horizontal="right"/>
    </xf>
    <xf numFmtId="38" fontId="5" fillId="0" borderId="0" applyFont="0" applyFill="0" applyBorder="0" applyAlignment="0" applyProtection="0"/>
    <xf numFmtId="0" fontId="43" fillId="0" borderId="17" applyNumberFormat="0" applyFill="0" applyProtection="0">
      <alignment horizontal="left" vertical="top" wrapText="1"/>
    </xf>
    <xf numFmtId="0" fontId="30" fillId="0" borderId="0" applyNumberFormat="0" applyFill="0" applyBorder="0" applyProtection="0">
      <alignment horizontal="left" vertical="top" wrapText="1"/>
    </xf>
    <xf numFmtId="0" fontId="44" fillId="0" borderId="0" applyNumberFormat="0" applyFill="0" applyProtection="0">
      <alignment horizontal="left" vertical="top" wrapText="1"/>
    </xf>
    <xf numFmtId="0" fontId="45" fillId="0" borderId="0" applyNumberFormat="0" applyFill="0" applyBorder="0" applyProtection="0"/>
    <xf numFmtId="0" fontId="46" fillId="30" borderId="0" applyNumberFormat="0" applyBorder="0" applyProtection="0"/>
    <xf numFmtId="0" fontId="47" fillId="0" borderId="0" applyNumberFormat="0" applyFill="0" applyBorder="0" applyProtection="0">
      <alignment vertical="top"/>
    </xf>
    <xf numFmtId="215" fontId="48" fillId="0" borderId="0" applyFill="0" applyBorder="0" applyProtection="0">
      <alignment horizontal="right" wrapText="1"/>
    </xf>
    <xf numFmtId="216" fontId="48" fillId="0" borderId="0" applyFill="0" applyBorder="0" applyProtection="0">
      <alignment horizontal="right"/>
    </xf>
    <xf numFmtId="4" fontId="18" fillId="0" borderId="0" applyFill="0" applyBorder="0" applyProtection="0">
      <alignment horizontal="right"/>
    </xf>
    <xf numFmtId="184" fontId="49" fillId="0" borderId="0" applyFill="0" applyBorder="0" applyAlignment="0" applyProtection="0"/>
    <xf numFmtId="217" fontId="50" fillId="0" borderId="0" applyFill="0" applyBorder="0" applyAlignment="0" applyProtection="0">
      <alignment horizontal="left"/>
      <protection locked="0"/>
    </xf>
    <xf numFmtId="217" fontId="50" fillId="0" borderId="0" applyFill="0" applyBorder="0" applyAlignment="0" applyProtection="0"/>
    <xf numFmtId="217" fontId="51" fillId="0" borderId="0" applyFill="0" applyBorder="0" applyAlignment="0" applyProtection="0">
      <alignment horizontal="left"/>
      <protection locked="0"/>
    </xf>
    <xf numFmtId="217" fontId="51" fillId="0" borderId="0" applyFill="0" applyBorder="0" applyAlignment="0" applyProtection="0">
      <protection locked="0"/>
    </xf>
    <xf numFmtId="191" fontId="10" fillId="0" borderId="0" applyFill="0" applyBorder="0" applyAlignment="0" applyProtection="0">
      <protection locked="0"/>
    </xf>
    <xf numFmtId="191" fontId="49" fillId="0" borderId="0" applyFill="0" applyBorder="0" applyAlignment="0" applyProtection="0"/>
    <xf numFmtId="49" fontId="52" fillId="0" borderId="0"/>
    <xf numFmtId="218" fontId="5" fillId="0" borderId="0" applyFont="0" applyFill="0" applyBorder="0" applyAlignment="0" applyProtection="0"/>
    <xf numFmtId="219" fontId="5" fillId="0" borderId="0" applyFont="0" applyFill="0" applyBorder="0" applyAlignment="0" applyProtection="0"/>
    <xf numFmtId="0" fontId="53" fillId="0" borderId="0" applyNumberFormat="0" applyFill="0" applyBorder="0" applyAlignment="0" applyProtection="0"/>
    <xf numFmtId="0" fontId="54" fillId="1" borderId="0" applyNumberFormat="0" applyBorder="0" applyProtection="0">
      <alignment horizontal="left" vertical="center"/>
    </xf>
    <xf numFmtId="191" fontId="55" fillId="0" borderId="0" applyNumberFormat="0" applyFill="0" applyBorder="0" applyAlignment="0" applyProtection="0"/>
    <xf numFmtId="0" fontId="5" fillId="0" borderId="0" applyBorder="0"/>
    <xf numFmtId="38" fontId="56" fillId="0" borderId="0" applyFill="0" applyBorder="0" applyAlignment="0" applyProtection="0">
      <alignment horizontal="left"/>
    </xf>
    <xf numFmtId="0" fontId="57" fillId="0" borderId="0"/>
    <xf numFmtId="0" fontId="58" fillId="0" borderId="18" applyNumberFormat="0" applyFill="0" applyAlignment="0" applyProtection="0"/>
    <xf numFmtId="0" fontId="59" fillId="0" borderId="0" applyNumberFormat="0" applyFill="0" applyBorder="0" applyAlignment="0" applyProtection="0"/>
    <xf numFmtId="1" fontId="10" fillId="0" borderId="0" applyFont="0" applyFill="0" applyBorder="0" applyAlignment="0" applyProtection="0"/>
    <xf numFmtId="220" fontId="19" fillId="0" borderId="0" applyFont="0" applyFill="0" applyBorder="0" applyAlignment="0" applyProtection="0"/>
    <xf numFmtId="227" fontId="20" fillId="0" borderId="0" applyFill="0" applyBorder="0" applyAlignment="0" applyProtection="0">
      <alignment horizontal="right"/>
    </xf>
    <xf numFmtId="0" fontId="68" fillId="0" borderId="0" applyAlignment="0"/>
    <xf numFmtId="0" fontId="69" fillId="0" borderId="0" applyAlignment="0"/>
    <xf numFmtId="0" fontId="46" fillId="31" borderId="0" applyAlignment="0"/>
    <xf numFmtId="228" fontId="18" fillId="0" borderId="21" applyFont="0" applyFill="0" applyBorder="0" applyAlignment="0" applyProtection="0"/>
    <xf numFmtId="229" fontId="20" fillId="0" borderId="0" applyFont="0" applyFill="0" applyBorder="0" applyAlignment="0" applyProtection="0"/>
    <xf numFmtId="230" fontId="18" fillId="0" borderId="0" applyFont="0" applyFill="0" applyBorder="0" applyAlignment="0" applyProtection="0"/>
    <xf numFmtId="178" fontId="70" fillId="24" borderId="22" applyFont="0" applyFill="0" applyBorder="0" applyAlignment="0" applyProtection="0"/>
    <xf numFmtId="0" fontId="71" fillId="0" borderId="0" applyAlignment="0"/>
    <xf numFmtId="14" fontId="20" fillId="0" borderId="5" applyFont="0" applyFill="0" applyBorder="0" applyAlignment="0" applyProtection="0"/>
    <xf numFmtId="0" fontId="72" fillId="32" borderId="23"/>
    <xf numFmtId="0" fontId="73" fillId="33" borderId="0" applyAlignment="0"/>
    <xf numFmtId="0" fontId="74" fillId="34" borderId="0" applyAlignment="0"/>
    <xf numFmtId="0" fontId="75" fillId="0" borderId="0" applyAlignment="0"/>
    <xf numFmtId="231" fontId="18" fillId="0" borderId="0" applyFont="0" applyFill="0" applyBorder="0" applyAlignment="0" applyProtection="0">
      <alignment horizontal="right"/>
    </xf>
    <xf numFmtId="191" fontId="76" fillId="0" borderId="0" applyNumberFormat="0" applyFill="0" applyBorder="0" applyAlignment="0" applyProtection="0">
      <alignment horizontal="left"/>
    </xf>
    <xf numFmtId="0" fontId="77" fillId="35" borderId="0" applyAlignment="0"/>
    <xf numFmtId="0" fontId="78" fillId="0" borderId="0" applyAlignment="0"/>
    <xf numFmtId="0" fontId="79" fillId="0" borderId="0" applyAlignment="0"/>
    <xf numFmtId="0" fontId="80" fillId="0" borderId="0" applyAlignment="0"/>
    <xf numFmtId="0" fontId="81" fillId="0" borderId="0" applyAlignment="0"/>
    <xf numFmtId="0" fontId="47" fillId="0" borderId="0" applyAlignment="0"/>
    <xf numFmtId="232" fontId="18" fillId="0" borderId="0" applyFont="0" applyFill="0" applyBorder="0" applyAlignment="0" applyProtection="0">
      <alignment horizontal="right"/>
    </xf>
    <xf numFmtId="0" fontId="82" fillId="0" borderId="0" applyAlignment="0"/>
    <xf numFmtId="233" fontId="18" fillId="0" borderId="0" applyFont="0" applyFill="0" applyBorder="0" applyAlignment="0"/>
  </cellStyleXfs>
  <cellXfs count="568">
    <xf numFmtId="0" fontId="0" fillId="0" borderId="0" xfId="0"/>
    <xf numFmtId="0" fontId="2" fillId="0" borderId="0" xfId="0" applyFont="1" applyBorder="1"/>
    <xf numFmtId="14" fontId="62" fillId="0" borderId="0" xfId="0" applyNumberFormat="1" applyFont="1" applyFill="1" applyBorder="1" applyAlignment="1">
      <alignment horizontal="left"/>
    </xf>
    <xf numFmtId="37" fontId="1" fillId="0" borderId="0" xfId="0" applyNumberFormat="1" applyFont="1"/>
    <xf numFmtId="164" fontId="0" fillId="0" borderId="0" xfId="0" applyNumberFormat="1" applyFont="1"/>
    <xf numFmtId="0" fontId="0" fillId="0" borderId="0" xfId="0" applyFont="1"/>
    <xf numFmtId="0" fontId="0" fillId="0" borderId="0" xfId="0" applyFont="1" applyBorder="1"/>
    <xf numFmtId="0" fontId="63" fillId="0" borderId="1" xfId="0" applyFont="1" applyBorder="1"/>
    <xf numFmtId="0" fontId="64" fillId="0" borderId="1" xfId="0" applyFont="1" applyBorder="1"/>
    <xf numFmtId="0" fontId="0" fillId="0" borderId="1" xfId="0" applyFont="1" applyBorder="1"/>
    <xf numFmtId="221" fontId="63" fillId="0" borderId="0" xfId="0" applyNumberFormat="1" applyFont="1" applyBorder="1"/>
    <xf numFmtId="222" fontId="63" fillId="0" borderId="0" xfId="0" applyNumberFormat="1" applyFont="1" applyBorder="1"/>
    <xf numFmtId="0" fontId="65" fillId="0" borderId="1" xfId="0" applyFont="1" applyBorder="1"/>
    <xf numFmtId="223" fontId="65" fillId="0" borderId="1" xfId="0" applyNumberFormat="1" applyFont="1" applyBorder="1"/>
    <xf numFmtId="0" fontId="65" fillId="0" borderId="0" xfId="0" applyFont="1" applyBorder="1"/>
    <xf numFmtId="223" fontId="66" fillId="0" borderId="0" xfId="0" applyNumberFormat="1" applyFont="1" applyBorder="1"/>
    <xf numFmtId="223" fontId="65" fillId="0" borderId="0" xfId="0" applyNumberFormat="1" applyFont="1" applyBorder="1"/>
    <xf numFmtId="37" fontId="1" fillId="0" borderId="0" xfId="0" applyNumberFormat="1" applyFont="1" applyFill="1" applyBorder="1"/>
    <xf numFmtId="37" fontId="2" fillId="0" borderId="0" xfId="0" applyNumberFormat="1" applyFont="1" applyBorder="1"/>
    <xf numFmtId="0" fontId="63" fillId="0" borderId="0" xfId="0" applyFont="1" applyBorder="1"/>
    <xf numFmtId="37" fontId="60" fillId="0" borderId="0" xfId="0" applyNumberFormat="1" applyFont="1" applyFill="1" applyBorder="1"/>
    <xf numFmtId="0" fontId="0" fillId="0" borderId="0" xfId="0" applyFont="1" applyFill="1" applyBorder="1"/>
    <xf numFmtId="37" fontId="0" fillId="0" borderId="0" xfId="0" applyNumberFormat="1" applyFont="1" applyBorder="1"/>
    <xf numFmtId="37" fontId="60" fillId="0" borderId="0" xfId="0" applyNumberFormat="1" applyFont="1" applyBorder="1"/>
    <xf numFmtId="0" fontId="63" fillId="0" borderId="0" xfId="0" applyFont="1"/>
    <xf numFmtId="0" fontId="67" fillId="0" borderId="0" xfId="0" applyFont="1"/>
    <xf numFmtId="0" fontId="0" fillId="0" borderId="0" xfId="0" applyFont="1" applyBorder="1" applyAlignment="1">
      <alignment horizontal="left" indent="1"/>
    </xf>
    <xf numFmtId="164" fontId="2" fillId="0" borderId="0" xfId="0" applyNumberFormat="1" applyFont="1" applyBorder="1"/>
    <xf numFmtId="0" fontId="0" fillId="0" borderId="0" xfId="0" applyFont="1" applyFill="1" applyBorder="1" applyAlignment="1">
      <alignment horizontal="left" indent="1"/>
    </xf>
    <xf numFmtId="164" fontId="1" fillId="0" borderId="0" xfId="0" applyNumberFormat="1" applyFont="1" applyBorder="1" applyAlignment="1"/>
    <xf numFmtId="221" fontId="60" fillId="0" borderId="0" xfId="0" applyNumberFormat="1" applyFont="1" applyBorder="1"/>
    <xf numFmtId="222" fontId="60" fillId="0" borderId="0" xfId="0" applyNumberFormat="1" applyFont="1" applyBorder="1"/>
    <xf numFmtId="223" fontId="62" fillId="0" borderId="1" xfId="0" applyNumberFormat="1" applyFont="1" applyBorder="1"/>
    <xf numFmtId="37" fontId="2" fillId="0" borderId="0" xfId="0" applyNumberFormat="1" applyFont="1"/>
    <xf numFmtId="37" fontId="0" fillId="0" borderId="0" xfId="0" applyNumberFormat="1" applyFont="1"/>
    <xf numFmtId="14" fontId="65" fillId="0" borderId="0" xfId="0" applyNumberFormat="1" applyFont="1"/>
    <xf numFmtId="37" fontId="1" fillId="0" borderId="0" xfId="0" applyNumberFormat="1" applyFont="1" applyFill="1" applyAlignment="1"/>
    <xf numFmtId="37" fontId="1" fillId="0" borderId="0" xfId="0" applyNumberFormat="1" applyFont="1" applyFill="1" applyBorder="1" applyAlignment="1"/>
    <xf numFmtId="37" fontId="2" fillId="0" borderId="0" xfId="0" applyNumberFormat="1" applyFont="1" applyFill="1" applyBorder="1" applyAlignment="1"/>
    <xf numFmtId="0" fontId="63" fillId="0" borderId="0" xfId="0" applyFont="1" applyBorder="1" applyAlignment="1">
      <alignment horizontal="left"/>
    </xf>
    <xf numFmtId="37" fontId="60" fillId="0" borderId="0" xfId="0" applyNumberFormat="1" applyFont="1" applyBorder="1" applyAlignment="1"/>
    <xf numFmtId="0" fontId="0" fillId="0" borderId="0" xfId="0" applyFont="1" applyBorder="1" applyAlignment="1">
      <alignment horizontal="left"/>
    </xf>
    <xf numFmtId="37" fontId="0" fillId="0" borderId="0" xfId="0" applyNumberFormat="1" applyFont="1" applyFill="1" applyBorder="1" applyAlignment="1"/>
    <xf numFmtId="37" fontId="60" fillId="0" borderId="0" xfId="0" applyNumberFormat="1" applyFont="1" applyFill="1" applyBorder="1" applyAlignment="1"/>
    <xf numFmtId="37" fontId="63" fillId="0" borderId="0" xfId="0" applyNumberFormat="1" applyFont="1" applyFill="1" applyBorder="1" applyAlignment="1"/>
    <xf numFmtId="37" fontId="0" fillId="0" borderId="0" xfId="0" applyNumberFormat="1" applyFont="1" applyBorder="1" applyAlignment="1"/>
    <xf numFmtId="37" fontId="65" fillId="0" borderId="0" xfId="0" applyNumberFormat="1" applyFont="1" applyBorder="1" applyAlignment="1"/>
    <xf numFmtId="0" fontId="0" fillId="0" borderId="0" xfId="0" quotePrefix="1" applyFont="1" applyBorder="1" applyAlignment="1">
      <alignment horizontal="left" indent="1"/>
    </xf>
    <xf numFmtId="164" fontId="0" fillId="0" borderId="1" xfId="0" applyNumberFormat="1" applyFont="1" applyBorder="1"/>
    <xf numFmtId="9" fontId="1" fillId="0" borderId="1" xfId="0" applyNumberFormat="1" applyFont="1" applyBorder="1"/>
    <xf numFmtId="3" fontId="0" fillId="0" borderId="0" xfId="0" applyNumberFormat="1" applyFont="1" applyBorder="1"/>
    <xf numFmtId="37" fontId="63" fillId="0" borderId="0" xfId="0" applyNumberFormat="1" applyFont="1" applyBorder="1"/>
    <xf numFmtId="37" fontId="63" fillId="0" borderId="0" xfId="0" applyNumberFormat="1" applyFont="1"/>
    <xf numFmtId="0" fontId="67" fillId="0" borderId="0" xfId="0" applyFont="1" applyBorder="1"/>
    <xf numFmtId="0" fontId="63" fillId="0" borderId="0" xfId="0" applyFont="1" applyBorder="1" applyAlignment="1">
      <alignment horizontal="left" indent="1"/>
    </xf>
    <xf numFmtId="10" fontId="1" fillId="0" borderId="0" xfId="0" applyNumberFormat="1" applyFont="1"/>
    <xf numFmtId="225" fontId="1" fillId="0" borderId="0" xfId="0" applyNumberFormat="1" applyFont="1"/>
    <xf numFmtId="37" fontId="0" fillId="0" borderId="0" xfId="0" applyNumberFormat="1" applyFont="1" applyFill="1"/>
    <xf numFmtId="4" fontId="0" fillId="0" borderId="0" xfId="0" applyNumberFormat="1" applyFont="1"/>
    <xf numFmtId="164" fontId="1" fillId="0" borderId="0" xfId="0" applyNumberFormat="1" applyFont="1" applyFill="1" applyBorder="1"/>
    <xf numFmtId="0" fontId="67" fillId="0" borderId="0" xfId="0" applyFont="1" applyBorder="1" applyAlignment="1">
      <alignment horizontal="left" indent="1"/>
    </xf>
    <xf numFmtId="37" fontId="0" fillId="0" borderId="0" xfId="0" applyNumberFormat="1" applyFont="1" applyFill="1" applyBorder="1"/>
    <xf numFmtId="3" fontId="0" fillId="0" borderId="0" xfId="0" applyNumberFormat="1"/>
    <xf numFmtId="37" fontId="2" fillId="0" borderId="0" xfId="0" applyNumberFormat="1" applyFont="1" applyFill="1" applyBorder="1"/>
    <xf numFmtId="0" fontId="0" fillId="0" borderId="24" xfId="0" applyFont="1" applyBorder="1"/>
    <xf numFmtId="37" fontId="2" fillId="0" borderId="0" xfId="0" applyNumberFormat="1" applyFont="1" applyFill="1" applyBorder="1" applyAlignment="1">
      <alignment horizontal="left" indent="1"/>
    </xf>
    <xf numFmtId="164" fontId="1" fillId="0" borderId="0" xfId="0" applyNumberFormat="1" applyFont="1" applyBorder="1"/>
    <xf numFmtId="164" fontId="2" fillId="0" borderId="0" xfId="0" applyNumberFormat="1" applyFont="1"/>
    <xf numFmtId="3" fontId="0" fillId="0" borderId="0" xfId="0" applyNumberFormat="1" applyFont="1"/>
    <xf numFmtId="37" fontId="60" fillId="0" borderId="0" xfId="0" applyNumberFormat="1" applyFont="1"/>
    <xf numFmtId="37" fontId="63" fillId="0" borderId="1" xfId="0" applyNumberFormat="1" applyFont="1" applyBorder="1"/>
    <xf numFmtId="37" fontId="1" fillId="0" borderId="0" xfId="0" applyNumberFormat="1" applyFont="1" applyBorder="1"/>
    <xf numFmtId="0" fontId="0" fillId="0" borderId="0" xfId="0" applyFont="1" applyFill="1" applyBorder="1" applyAlignment="1">
      <alignment horizontal="left"/>
    </xf>
    <xf numFmtId="0" fontId="63" fillId="0" borderId="0" xfId="0" applyFont="1" applyFill="1" applyBorder="1" applyAlignment="1">
      <alignment horizontal="left"/>
    </xf>
    <xf numFmtId="37" fontId="63" fillId="0" borderId="1" xfId="0" applyNumberFormat="1" applyFont="1" applyBorder="1" applyAlignment="1">
      <alignment horizontal="left"/>
    </xf>
    <xf numFmtId="222" fontId="63" fillId="0" borderId="20" xfId="0" applyNumberFormat="1" applyFont="1" applyBorder="1"/>
    <xf numFmtId="0" fontId="0" fillId="0" borderId="20" xfId="0" applyFont="1" applyBorder="1"/>
    <xf numFmtId="0" fontId="0" fillId="0" borderId="0" xfId="0" applyFont="1" applyBorder="1" applyAlignment="1">
      <alignment horizontal="centerContinuous"/>
    </xf>
    <xf numFmtId="0" fontId="0" fillId="0" borderId="0" xfId="0" applyFont="1" applyAlignment="1">
      <alignment horizontal="right"/>
    </xf>
    <xf numFmtId="0" fontId="0" fillId="0" borderId="19" xfId="0" applyFont="1" applyBorder="1"/>
    <xf numFmtId="164" fontId="0" fillId="0" borderId="0" xfId="0" applyNumberFormat="1" applyFont="1" applyBorder="1"/>
    <xf numFmtId="0" fontId="0" fillId="0" borderId="0" xfId="0" applyFont="1" applyBorder="1" applyAlignment="1">
      <alignment horizontal="left" indent="2"/>
    </xf>
    <xf numFmtId="226" fontId="0" fillId="0" borderId="0" xfId="0" applyNumberFormat="1" applyFont="1"/>
    <xf numFmtId="0" fontId="63" fillId="0" borderId="0" xfId="0" applyFont="1" applyFill="1" applyBorder="1" applyAlignment="1">
      <alignment horizontal="left" indent="1"/>
    </xf>
    <xf numFmtId="0" fontId="63" fillId="0" borderId="5" xfId="0" applyFont="1" applyBorder="1"/>
    <xf numFmtId="9" fontId="65" fillId="0" borderId="0" xfId="0" applyNumberFormat="1" applyFont="1" applyBorder="1"/>
    <xf numFmtId="194" fontId="65" fillId="0" borderId="0" xfId="0" applyNumberFormat="1" applyFont="1" applyBorder="1"/>
    <xf numFmtId="0" fontId="0" fillId="0" borderId="0" xfId="0" quotePrefix="1" applyFont="1"/>
    <xf numFmtId="234" fontId="1" fillId="37" borderId="0" xfId="0" applyNumberFormat="1" applyFont="1" applyFill="1"/>
    <xf numFmtId="223" fontId="65" fillId="0" borderId="5" xfId="0" applyNumberFormat="1" applyFont="1" applyBorder="1"/>
    <xf numFmtId="3" fontId="1" fillId="0" borderId="0" xfId="0" applyNumberFormat="1" applyFont="1"/>
    <xf numFmtId="37" fontId="1" fillId="37" borderId="0" xfId="0" applyNumberFormat="1" applyFont="1" applyFill="1"/>
    <xf numFmtId="37" fontId="0" fillId="37" borderId="0" xfId="0" applyNumberFormat="1" applyFont="1" applyFill="1"/>
    <xf numFmtId="234" fontId="0" fillId="0" borderId="0" xfId="0" applyNumberFormat="1" applyFont="1"/>
    <xf numFmtId="0" fontId="84" fillId="0" borderId="0" xfId="0" applyFont="1" applyBorder="1" applyAlignment="1">
      <alignment horizontal="left"/>
    </xf>
    <xf numFmtId="37" fontId="1" fillId="0" borderId="29" xfId="0" applyNumberFormat="1" applyFont="1" applyBorder="1"/>
    <xf numFmtId="0" fontId="63" fillId="0" borderId="19" xfId="0" applyFont="1" applyBorder="1"/>
    <xf numFmtId="0" fontId="0" fillId="0" borderId="5" xfId="0" applyFont="1" applyBorder="1"/>
    <xf numFmtId="235" fontId="0" fillId="0" borderId="0" xfId="0" applyNumberFormat="1" applyFont="1"/>
    <xf numFmtId="3" fontId="85" fillId="0" borderId="0" xfId="0" applyNumberFormat="1" applyFont="1"/>
    <xf numFmtId="234" fontId="0" fillId="0" borderId="0" xfId="0" applyNumberFormat="1" applyFont="1" applyBorder="1"/>
    <xf numFmtId="0" fontId="0" fillId="0" borderId="29" xfId="0" applyFont="1" applyBorder="1"/>
    <xf numFmtId="37" fontId="0" fillId="0" borderId="29" xfId="0" applyNumberFormat="1" applyFont="1" applyBorder="1"/>
    <xf numFmtId="0" fontId="0" fillId="0" borderId="29" xfId="0" quotePrefix="1" applyFont="1" applyBorder="1" applyAlignment="1">
      <alignment horizontal="left" indent="1"/>
    </xf>
    <xf numFmtId="0" fontId="0" fillId="0" borderId="29" xfId="0" applyFont="1" applyFill="1" applyBorder="1" applyAlignment="1">
      <alignment horizontal="left" indent="1"/>
    </xf>
    <xf numFmtId="0" fontId="0" fillId="0" borderId="30" xfId="0" applyFont="1" applyBorder="1"/>
    <xf numFmtId="164" fontId="2" fillId="0" borderId="30" xfId="0" applyNumberFormat="1" applyFont="1" applyBorder="1"/>
    <xf numFmtId="0" fontId="0" fillId="0" borderId="23" xfId="0" applyFont="1" applyBorder="1"/>
    <xf numFmtId="164" fontId="0" fillId="0" borderId="23" xfId="0" applyNumberFormat="1" applyFont="1" applyBorder="1"/>
    <xf numFmtId="164" fontId="2" fillId="0" borderId="23" xfId="0" applyNumberFormat="1" applyFont="1" applyBorder="1"/>
    <xf numFmtId="0" fontId="63" fillId="0" borderId="32" xfId="0" applyFont="1" applyBorder="1" applyAlignment="1">
      <alignment horizontal="centerContinuous"/>
    </xf>
    <xf numFmtId="0" fontId="0" fillId="0" borderId="29" xfId="0" applyFont="1" applyBorder="1" applyAlignment="1">
      <alignment horizontal="left" indent="1"/>
    </xf>
    <xf numFmtId="0" fontId="1" fillId="0" borderId="0" xfId="0" applyFont="1" applyFill="1" applyBorder="1" applyAlignment="1">
      <alignment horizontal="center"/>
    </xf>
    <xf numFmtId="235" fontId="1" fillId="36" borderId="25" xfId="0" applyNumberFormat="1" applyFont="1" applyFill="1" applyBorder="1" applyAlignment="1">
      <alignment horizontal="center"/>
    </xf>
    <xf numFmtId="8" fontId="1" fillId="0" borderId="0" xfId="0" applyNumberFormat="1" applyFont="1" applyBorder="1" applyAlignment="1">
      <alignment horizontal="center"/>
    </xf>
    <xf numFmtId="14" fontId="1" fillId="0" borderId="0" xfId="0" applyNumberFormat="1" applyFont="1" applyFill="1" applyBorder="1" applyAlignment="1">
      <alignment horizontal="center"/>
    </xf>
    <xf numFmtId="223" fontId="1" fillId="0" borderId="0" xfId="0" applyNumberFormat="1" applyFont="1" applyBorder="1" applyAlignment="1">
      <alignment horizontal="center"/>
    </xf>
    <xf numFmtId="0" fontId="87" fillId="0" borderId="35" xfId="0" applyFont="1" applyBorder="1" applyAlignment="1">
      <alignment horizontal="left" indent="2"/>
    </xf>
    <xf numFmtId="37" fontId="86" fillId="0" borderId="36" xfId="0" applyNumberFormat="1" applyFont="1" applyBorder="1" applyAlignment="1">
      <alignment horizontal="right"/>
    </xf>
    <xf numFmtId="37" fontId="86" fillId="0" borderId="37" xfId="0" applyNumberFormat="1" applyFont="1" applyBorder="1" applyAlignment="1">
      <alignment horizontal="right"/>
    </xf>
    <xf numFmtId="0" fontId="87" fillId="0" borderId="0" xfId="0" applyFont="1" applyBorder="1" applyAlignment="1">
      <alignment horizontal="center"/>
    </xf>
    <xf numFmtId="37" fontId="86" fillId="0" borderId="0" xfId="0" applyNumberFormat="1" applyFont="1" applyBorder="1" applyAlignment="1">
      <alignment horizontal="right"/>
    </xf>
    <xf numFmtId="37" fontId="0" fillId="0" borderId="36" xfId="0" applyNumberFormat="1" applyFont="1" applyBorder="1"/>
    <xf numFmtId="0" fontId="0" fillId="0" borderId="36" xfId="0" applyFont="1" applyBorder="1"/>
    <xf numFmtId="225" fontId="1" fillId="0" borderId="0" xfId="0" applyNumberFormat="1" applyFont="1" applyBorder="1"/>
    <xf numFmtId="37" fontId="0" fillId="0" borderId="32" xfId="0" applyNumberFormat="1" applyFont="1" applyBorder="1"/>
    <xf numFmtId="37" fontId="0" fillId="0" borderId="29" xfId="0" applyNumberFormat="1" applyFont="1" applyFill="1" applyBorder="1"/>
    <xf numFmtId="37" fontId="63" fillId="0" borderId="1" xfId="0" applyNumberFormat="1" applyFont="1" applyBorder="1" applyAlignment="1"/>
    <xf numFmtId="0" fontId="63" fillId="0" borderId="1" xfId="0" applyFont="1" applyBorder="1" applyAlignment="1">
      <alignment horizontal="left"/>
    </xf>
    <xf numFmtId="164" fontId="2" fillId="0" borderId="1" xfId="0" applyNumberFormat="1" applyFont="1" applyBorder="1"/>
    <xf numFmtId="201" fontId="1" fillId="37" borderId="0" xfId="0" applyNumberFormat="1" applyFont="1" applyFill="1" applyBorder="1" applyAlignment="1">
      <alignment horizontal="center"/>
    </xf>
    <xf numFmtId="0" fontId="2" fillId="0" borderId="0" xfId="0" applyNumberFormat="1" applyFont="1" applyFill="1" applyBorder="1" applyAlignment="1"/>
    <xf numFmtId="201" fontId="1" fillId="0" borderId="0" xfId="0" applyNumberFormat="1" applyFont="1" applyFill="1" applyBorder="1" applyAlignment="1">
      <alignment horizontal="center"/>
    </xf>
    <xf numFmtId="37" fontId="2" fillId="0" borderId="29" xfId="0" applyNumberFormat="1" applyFont="1" applyFill="1" applyBorder="1" applyAlignment="1"/>
    <xf numFmtId="164" fontId="2" fillId="37" borderId="0" xfId="0" applyNumberFormat="1" applyFont="1" applyFill="1" applyBorder="1"/>
    <xf numFmtId="0" fontId="0" fillId="0" borderId="0" xfId="0" applyNumberFormat="1" applyFont="1"/>
    <xf numFmtId="0" fontId="2" fillId="38" borderId="0" xfId="0" applyNumberFormat="1" applyFont="1" applyFill="1" applyBorder="1"/>
    <xf numFmtId="0" fontId="2" fillId="37" borderId="0" xfId="0" applyNumberFormat="1" applyFont="1" applyFill="1" applyBorder="1"/>
    <xf numFmtId="0" fontId="0" fillId="0" borderId="0" xfId="0" applyNumberFormat="1" applyFont="1" applyFill="1" applyBorder="1" applyAlignment="1"/>
    <xf numFmtId="0" fontId="60" fillId="0" borderId="0" xfId="0" applyNumberFormat="1" applyFont="1" applyFill="1" applyBorder="1" applyAlignment="1"/>
    <xf numFmtId="0" fontId="0" fillId="0" borderId="0" xfId="0" quotePrefix="1"/>
    <xf numFmtId="37" fontId="2" fillId="37" borderId="0" xfId="0" applyNumberFormat="1" applyFont="1" applyFill="1" applyBorder="1"/>
    <xf numFmtId="37" fontId="60" fillId="37" borderId="0" xfId="0" applyNumberFormat="1" applyFont="1" applyFill="1" applyBorder="1"/>
    <xf numFmtId="37" fontId="0" fillId="37" borderId="0" xfId="0" applyNumberFormat="1" applyFont="1" applyFill="1" applyBorder="1"/>
    <xf numFmtId="37" fontId="60" fillId="37" borderId="0" xfId="0" applyNumberFormat="1" applyFont="1" applyFill="1"/>
    <xf numFmtId="0" fontId="0" fillId="37" borderId="0" xfId="0" applyFill="1"/>
    <xf numFmtId="37" fontId="63" fillId="37" borderId="0" xfId="0" applyNumberFormat="1" applyFont="1" applyFill="1" applyBorder="1"/>
    <xf numFmtId="37" fontId="63" fillId="37" borderId="0" xfId="0" applyNumberFormat="1" applyFont="1" applyFill="1"/>
    <xf numFmtId="37" fontId="0" fillId="37" borderId="29" xfId="0" applyNumberFormat="1" applyFont="1" applyFill="1" applyBorder="1"/>
    <xf numFmtId="0" fontId="0" fillId="37" borderId="0" xfId="0" applyFill="1" applyBorder="1"/>
    <xf numFmtId="0" fontId="0" fillId="37" borderId="29" xfId="0" applyFill="1" applyBorder="1"/>
    <xf numFmtId="37" fontId="0" fillId="37" borderId="0" xfId="0" applyNumberFormat="1" applyFill="1"/>
    <xf numFmtId="37" fontId="2" fillId="38" borderId="0" xfId="0" applyNumberFormat="1" applyFont="1" applyFill="1" applyBorder="1"/>
    <xf numFmtId="37" fontId="0" fillId="0" borderId="0" xfId="0" applyNumberFormat="1"/>
    <xf numFmtId="37" fontId="2" fillId="0" borderId="32" xfId="0" applyNumberFormat="1" applyFont="1" applyFill="1" applyBorder="1" applyAlignment="1"/>
    <xf numFmtId="37" fontId="2" fillId="37" borderId="29" xfId="0" applyNumberFormat="1" applyFont="1" applyFill="1" applyBorder="1" applyAlignment="1"/>
    <xf numFmtId="37" fontId="2" fillId="37" borderId="32" xfId="0" applyNumberFormat="1" applyFont="1" applyFill="1" applyBorder="1" applyAlignment="1"/>
    <xf numFmtId="37" fontId="0" fillId="39" borderId="0" xfId="0" applyNumberFormat="1" applyFill="1"/>
    <xf numFmtId="37" fontId="0" fillId="37" borderId="29" xfId="0" applyNumberFormat="1" applyFill="1" applyBorder="1"/>
    <xf numFmtId="0" fontId="63" fillId="0" borderId="29" xfId="0" applyFont="1" applyBorder="1" applyAlignment="1">
      <alignment horizontal="left" indent="1"/>
    </xf>
    <xf numFmtId="37" fontId="63" fillId="0" borderId="29" xfId="0" applyNumberFormat="1" applyFont="1" applyBorder="1"/>
    <xf numFmtId="37" fontId="63" fillId="39" borderId="0" xfId="0" applyNumberFormat="1" applyFont="1" applyFill="1" applyBorder="1"/>
    <xf numFmtId="37" fontId="63" fillId="0" borderId="0" xfId="0" applyNumberFormat="1" applyFont="1" applyFill="1" applyBorder="1"/>
    <xf numFmtId="0" fontId="60" fillId="0" borderId="33" xfId="0" applyNumberFormat="1" applyFont="1" applyFill="1" applyBorder="1" applyAlignment="1">
      <alignment horizontal="left" indent="1"/>
    </xf>
    <xf numFmtId="37" fontId="60" fillId="0" borderId="33" xfId="0" applyNumberFormat="1" applyFont="1" applyFill="1" applyBorder="1" applyAlignment="1"/>
    <xf numFmtId="37" fontId="0" fillId="39" borderId="0" xfId="0" applyNumberFormat="1" applyFont="1" applyFill="1"/>
    <xf numFmtId="37" fontId="0" fillId="39" borderId="0" xfId="0" applyNumberFormat="1" applyFont="1" applyFill="1" applyBorder="1"/>
    <xf numFmtId="234" fontId="0" fillId="39" borderId="0" xfId="0" applyNumberFormat="1" applyFont="1" applyFill="1" applyBorder="1"/>
    <xf numFmtId="0" fontId="0" fillId="0" borderId="0" xfId="0" applyNumberFormat="1" applyFont="1" applyBorder="1"/>
    <xf numFmtId="37" fontId="0" fillId="39" borderId="29" xfId="0" applyNumberFormat="1" applyFont="1" applyFill="1" applyBorder="1"/>
    <xf numFmtId="238" fontId="83" fillId="39" borderId="0" xfId="0" applyNumberFormat="1" applyFont="1" applyFill="1" applyBorder="1"/>
    <xf numFmtId="37" fontId="60" fillId="39" borderId="33" xfId="0" applyNumberFormat="1" applyFont="1" applyFill="1" applyBorder="1" applyAlignment="1"/>
    <xf numFmtId="37" fontId="60" fillId="39" borderId="0" xfId="0" applyNumberFormat="1" applyFont="1" applyFill="1" applyBorder="1"/>
    <xf numFmtId="5" fontId="2" fillId="37" borderId="26" xfId="0" applyNumberFormat="1" applyFont="1" applyFill="1" applyBorder="1" applyAlignment="1"/>
    <xf numFmtId="238" fontId="2" fillId="40" borderId="0" xfId="0" applyNumberFormat="1" applyFont="1" applyFill="1" applyBorder="1" applyAlignment="1"/>
    <xf numFmtId="37" fontId="2" fillId="40" borderId="0" xfId="0" applyNumberFormat="1" applyFont="1" applyFill="1" applyBorder="1" applyAlignment="1"/>
    <xf numFmtId="0" fontId="63" fillId="0" borderId="0" xfId="0" applyFont="1" applyFill="1" applyBorder="1"/>
    <xf numFmtId="226" fontId="0" fillId="0" borderId="0" xfId="0" applyNumberFormat="1" applyFont="1" applyBorder="1"/>
    <xf numFmtId="0" fontId="89" fillId="0" borderId="39" xfId="0" applyFont="1" applyBorder="1" applyAlignment="1">
      <alignment horizontal="center"/>
    </xf>
    <xf numFmtId="0" fontId="0" fillId="0" borderId="38" xfId="0" applyFont="1" applyBorder="1"/>
    <xf numFmtId="234" fontId="1" fillId="0" borderId="38" xfId="0" applyNumberFormat="1" applyFont="1" applyBorder="1" applyAlignment="1">
      <alignment horizontal="center"/>
    </xf>
    <xf numFmtId="0" fontId="0" fillId="0" borderId="38" xfId="0" applyFont="1" applyBorder="1" applyAlignment="1">
      <alignment horizontal="center"/>
    </xf>
    <xf numFmtId="234" fontId="1" fillId="0" borderId="40" xfId="0" applyNumberFormat="1" applyFont="1" applyBorder="1" applyAlignment="1">
      <alignment horizontal="center"/>
    </xf>
    <xf numFmtId="0" fontId="89" fillId="0" borderId="41" xfId="0" applyFont="1" applyBorder="1" applyAlignment="1">
      <alignment horizontal="center"/>
    </xf>
    <xf numFmtId="0" fontId="0" fillId="0" borderId="42" xfId="0" applyFont="1" applyBorder="1"/>
    <xf numFmtId="0" fontId="63" fillId="0" borderId="43" xfId="0" applyFont="1" applyBorder="1"/>
    <xf numFmtId="37" fontId="60" fillId="0" borderId="0" xfId="0" applyNumberFormat="1" applyFont="1" applyFill="1"/>
    <xf numFmtId="4" fontId="0" fillId="0" borderId="0" xfId="0" applyNumberFormat="1" applyFont="1" applyFill="1"/>
    <xf numFmtId="0" fontId="0" fillId="0" borderId="0" xfId="0" applyFont="1" applyFill="1"/>
    <xf numFmtId="164" fontId="2" fillId="0" borderId="0" xfId="0" applyNumberFormat="1" applyFont="1" applyFill="1" applyBorder="1"/>
    <xf numFmtId="0" fontId="0" fillId="0" borderId="1" xfId="0" applyFont="1" applyFill="1" applyBorder="1"/>
    <xf numFmtId="222" fontId="60" fillId="0" borderId="0" xfId="0" applyNumberFormat="1" applyFont="1" applyFill="1" applyBorder="1"/>
    <xf numFmtId="223" fontId="62" fillId="0" borderId="1" xfId="0" applyNumberFormat="1" applyFont="1" applyFill="1" applyBorder="1"/>
    <xf numFmtId="37" fontId="0" fillId="0" borderId="0" xfId="0" applyNumberFormat="1" applyFill="1"/>
    <xf numFmtId="37" fontId="63" fillId="0" borderId="0" xfId="0" applyNumberFormat="1" applyFont="1" applyFill="1"/>
    <xf numFmtId="37" fontId="65" fillId="0" borderId="0" xfId="0" applyNumberFormat="1" applyFont="1" applyFill="1" applyBorder="1" applyAlignment="1"/>
    <xf numFmtId="223" fontId="65" fillId="0" borderId="1" xfId="0" applyNumberFormat="1" applyFont="1" applyFill="1" applyBorder="1"/>
    <xf numFmtId="0" fontId="63" fillId="0" borderId="32" xfId="0" applyFont="1" applyFill="1" applyBorder="1" applyAlignment="1">
      <alignment horizontal="centerContinuous"/>
    </xf>
    <xf numFmtId="164" fontId="2" fillId="0" borderId="1" xfId="0" applyNumberFormat="1" applyFont="1" applyFill="1" applyBorder="1"/>
    <xf numFmtId="37" fontId="0" fillId="0" borderId="29" xfId="0" applyNumberFormat="1" applyFill="1" applyBorder="1"/>
    <xf numFmtId="37" fontId="1" fillId="0" borderId="0" xfId="0" applyNumberFormat="1" applyFont="1" applyFill="1"/>
    <xf numFmtId="37" fontId="1" fillId="0" borderId="29" xfId="0" applyNumberFormat="1" applyFont="1" applyFill="1" applyBorder="1"/>
    <xf numFmtId="37" fontId="63" fillId="0" borderId="29" xfId="0" applyNumberFormat="1" applyFont="1" applyFill="1" applyBorder="1"/>
    <xf numFmtId="37" fontId="86" fillId="0" borderId="36" xfId="0" applyNumberFormat="1" applyFont="1" applyFill="1" applyBorder="1" applyAlignment="1">
      <alignment horizontal="right"/>
    </xf>
    <xf numFmtId="37" fontId="86" fillId="0" borderId="37" xfId="0" applyNumberFormat="1" applyFont="1" applyFill="1" applyBorder="1" applyAlignment="1">
      <alignment horizontal="right"/>
    </xf>
    <xf numFmtId="37" fontId="86" fillId="0" borderId="0" xfId="0" applyNumberFormat="1" applyFont="1" applyFill="1" applyBorder="1" applyAlignment="1">
      <alignment horizontal="right"/>
    </xf>
    <xf numFmtId="9" fontId="1" fillId="0" borderId="1" xfId="0" applyNumberFormat="1" applyFont="1" applyFill="1" applyBorder="1"/>
    <xf numFmtId="37" fontId="0" fillId="0" borderId="32" xfId="0" applyNumberFormat="1" applyFont="1" applyFill="1" applyBorder="1"/>
    <xf numFmtId="0" fontId="0" fillId="0" borderId="0" xfId="0" applyNumberFormat="1" applyFont="1" applyFill="1" applyBorder="1"/>
    <xf numFmtId="238" fontId="83" fillId="0" borderId="0" xfId="0" applyNumberFormat="1" applyFont="1" applyFill="1" applyBorder="1"/>
    <xf numFmtId="238" fontId="2" fillId="0" borderId="0" xfId="0" applyNumberFormat="1" applyFont="1" applyFill="1" applyBorder="1" applyAlignment="1"/>
    <xf numFmtId="0" fontId="0" fillId="0" borderId="0" xfId="0" applyFont="1" applyAlignment="1">
      <alignment horizontal="left" indent="1"/>
    </xf>
    <xf numFmtId="0" fontId="0" fillId="0" borderId="0" xfId="0" applyFont="1" applyAlignment="1">
      <alignment horizontal="left" indent="2"/>
    </xf>
    <xf numFmtId="165" fontId="2" fillId="0" borderId="0" xfId="0" applyNumberFormat="1" applyFont="1"/>
    <xf numFmtId="165" fontId="0" fillId="0" borderId="0" xfId="0" applyNumberFormat="1" applyFont="1"/>
    <xf numFmtId="6" fontId="0" fillId="0" borderId="0" xfId="0" applyNumberFormat="1"/>
    <xf numFmtId="3" fontId="1" fillId="0" borderId="0" xfId="0" applyNumberFormat="1" applyFont="1" applyBorder="1"/>
    <xf numFmtId="0" fontId="0" fillId="0" borderId="0" xfId="0" applyBorder="1"/>
    <xf numFmtId="165" fontId="2" fillId="0" borderId="0" xfId="0" applyNumberFormat="1" applyFont="1" applyBorder="1"/>
    <xf numFmtId="0" fontId="0" fillId="0" borderId="30" xfId="0" applyBorder="1"/>
    <xf numFmtId="0" fontId="0" fillId="0" borderId="23" xfId="0" applyBorder="1"/>
    <xf numFmtId="165" fontId="1" fillId="0" borderId="30" xfId="0" applyNumberFormat="1" applyFont="1" applyBorder="1"/>
    <xf numFmtId="165" fontId="1" fillId="0" borderId="0" xfId="0" applyNumberFormat="1" applyFont="1" applyBorder="1"/>
    <xf numFmtId="165" fontId="1" fillId="0" borderId="23" xfId="0" applyNumberFormat="1" applyFont="1" applyBorder="1"/>
    <xf numFmtId="234" fontId="0" fillId="0" borderId="0" xfId="0" applyNumberFormat="1"/>
    <xf numFmtId="234" fontId="0" fillId="0" borderId="0" xfId="0" applyNumberFormat="1" applyBorder="1"/>
    <xf numFmtId="234" fontId="0" fillId="0" borderId="30" xfId="0" applyNumberFormat="1" applyBorder="1"/>
    <xf numFmtId="234" fontId="0" fillId="0" borderId="23" xfId="0" applyNumberFormat="1" applyBorder="1"/>
    <xf numFmtId="234" fontId="2" fillId="0" borderId="30" xfId="0" applyNumberFormat="1" applyFont="1" applyBorder="1"/>
    <xf numFmtId="234" fontId="2" fillId="0" borderId="0" xfId="0" applyNumberFormat="1" applyFont="1" applyBorder="1"/>
    <xf numFmtId="234" fontId="2" fillId="0" borderId="31" xfId="0" applyNumberFormat="1" applyFont="1" applyBorder="1"/>
    <xf numFmtId="234" fontId="2" fillId="0" borderId="29" xfId="0" applyNumberFormat="1" applyFont="1" applyBorder="1"/>
    <xf numFmtId="0" fontId="63" fillId="0" borderId="0" xfId="0" applyFont="1" applyAlignment="1">
      <alignment horizontal="left" indent="1"/>
    </xf>
    <xf numFmtId="0" fontId="63" fillId="0" borderId="29" xfId="0" applyFont="1" applyBorder="1"/>
    <xf numFmtId="0" fontId="0" fillId="0" borderId="31" xfId="0" applyFont="1" applyBorder="1"/>
    <xf numFmtId="0" fontId="0" fillId="0" borderId="34" xfId="0" applyFont="1" applyBorder="1"/>
    <xf numFmtId="223" fontId="62" fillId="0" borderId="0" xfId="0" applyNumberFormat="1" applyFont="1" applyBorder="1"/>
    <xf numFmtId="0" fontId="60" fillId="0" borderId="44" xfId="0" applyNumberFormat="1" applyFont="1" applyFill="1" applyBorder="1" applyAlignment="1"/>
    <xf numFmtId="0" fontId="2" fillId="0" borderId="44" xfId="0" applyNumberFormat="1" applyFont="1" applyFill="1" applyBorder="1" applyAlignment="1"/>
    <xf numFmtId="0" fontId="90" fillId="0" borderId="0" xfId="0" applyNumberFormat="1" applyFont="1" applyFill="1" applyBorder="1" applyAlignment="1"/>
    <xf numFmtId="0" fontId="0" fillId="0" borderId="0" xfId="0" applyAlignment="1"/>
    <xf numFmtId="234" fontId="62" fillId="0" borderId="0" xfId="0" applyNumberFormat="1" applyFont="1" applyFill="1" applyBorder="1"/>
    <xf numFmtId="165" fontId="2" fillId="37" borderId="0" xfId="0" applyNumberFormat="1" applyFont="1" applyFill="1" applyBorder="1"/>
    <xf numFmtId="8" fontId="0" fillId="0" borderId="0" xfId="0" applyNumberFormat="1" applyFont="1"/>
    <xf numFmtId="9" fontId="1" fillId="0" borderId="0" xfId="0" applyNumberFormat="1" applyFont="1"/>
    <xf numFmtId="7" fontId="60" fillId="37" borderId="0" xfId="0" applyNumberFormat="1" applyFont="1" applyFill="1"/>
    <xf numFmtId="8" fontId="1" fillId="37" borderId="0" xfId="0" applyNumberFormat="1" applyFont="1" applyFill="1"/>
    <xf numFmtId="8" fontId="0" fillId="37" borderId="0" xfId="0" applyNumberFormat="1" applyFont="1" applyFill="1"/>
    <xf numFmtId="164" fontId="0" fillId="37" borderId="38" xfId="0" applyNumberFormat="1" applyFont="1" applyFill="1" applyBorder="1" applyAlignment="1">
      <alignment horizontal="center"/>
    </xf>
    <xf numFmtId="164" fontId="0" fillId="37" borderId="0" xfId="0" applyNumberFormat="1" applyFont="1" applyFill="1" applyBorder="1"/>
    <xf numFmtId="164" fontId="1" fillId="37" borderId="0" xfId="0" applyNumberFormat="1" applyFont="1" applyFill="1" applyBorder="1"/>
    <xf numFmtId="236" fontId="1" fillId="37" borderId="27" xfId="0" applyNumberFormat="1" applyFont="1" applyFill="1" applyBorder="1"/>
    <xf numFmtId="237" fontId="1" fillId="37" borderId="28" xfId="0" applyNumberFormat="1" applyFont="1" applyFill="1" applyBorder="1"/>
    <xf numFmtId="224" fontId="0" fillId="37" borderId="0" xfId="0" applyNumberFormat="1" applyFont="1" applyFill="1"/>
    <xf numFmtId="0" fontId="2" fillId="0" borderId="45" xfId="0" applyNumberFormat="1" applyFont="1" applyFill="1" applyBorder="1" applyAlignment="1"/>
    <xf numFmtId="3" fontId="1" fillId="0" borderId="23" xfId="0" applyNumberFormat="1" applyFont="1" applyBorder="1"/>
    <xf numFmtId="165" fontId="2" fillId="37" borderId="23" xfId="0" applyNumberFormat="1" applyFont="1" applyFill="1" applyBorder="1"/>
    <xf numFmtId="165" fontId="2" fillId="0" borderId="23" xfId="0" applyNumberFormat="1" applyFont="1" applyBorder="1"/>
    <xf numFmtId="37" fontId="2" fillId="0" borderId="23" xfId="0" applyNumberFormat="1" applyFont="1" applyBorder="1"/>
    <xf numFmtId="0" fontId="63" fillId="0" borderId="0" xfId="0" applyFont="1" applyAlignment="1">
      <alignment horizontal="right"/>
    </xf>
    <xf numFmtId="0" fontId="63" fillId="0" borderId="0" xfId="0" applyFont="1" applyBorder="1" applyAlignment="1">
      <alignment horizontal="centerContinuous"/>
    </xf>
    <xf numFmtId="0" fontId="2" fillId="0" borderId="46" xfId="0" applyNumberFormat="1" applyFont="1" applyFill="1" applyBorder="1" applyAlignment="1"/>
    <xf numFmtId="0" fontId="2" fillId="0" borderId="33" xfId="0" applyNumberFormat="1" applyFont="1" applyFill="1" applyBorder="1" applyAlignment="1"/>
    <xf numFmtId="0" fontId="0" fillId="0" borderId="19" xfId="0" applyBorder="1"/>
    <xf numFmtId="14" fontId="62" fillId="0" borderId="0" xfId="0" applyNumberFormat="1" applyFont="1" applyAlignment="1">
      <alignment horizontal="left"/>
    </xf>
    <xf numFmtId="0" fontId="0" fillId="0" borderId="24" xfId="0" applyBorder="1"/>
    <xf numFmtId="0" fontId="2" fillId="0" borderId="0" xfId="0" applyFont="1"/>
    <xf numFmtId="0" fontId="1" fillId="0" borderId="0" xfId="0" applyFont="1" applyAlignment="1">
      <alignment horizontal="center"/>
    </xf>
    <xf numFmtId="201" fontId="1" fillId="0" borderId="0" xfId="0" applyNumberFormat="1" applyFont="1" applyAlignment="1">
      <alignment horizontal="center"/>
    </xf>
    <xf numFmtId="0" fontId="0" fillId="0" borderId="1" xfId="0" applyBorder="1"/>
    <xf numFmtId="221" fontId="63" fillId="0" borderId="0" xfId="0" applyNumberFormat="1" applyFont="1"/>
    <xf numFmtId="222" fontId="63" fillId="0" borderId="0" xfId="0" applyNumberFormat="1" applyFont="1"/>
    <xf numFmtId="0" fontId="0" fillId="0" borderId="5" xfId="0" applyBorder="1"/>
    <xf numFmtId="0" fontId="65" fillId="0" borderId="0" xfId="0" applyFont="1"/>
    <xf numFmtId="223" fontId="66" fillId="0" borderId="0" xfId="0" applyNumberFormat="1" applyFont="1"/>
    <xf numFmtId="223" fontId="65" fillId="0" borderId="0" xfId="0" applyNumberFormat="1" applyFont="1"/>
    <xf numFmtId="9" fontId="65" fillId="0" borderId="0" xfId="0" applyNumberFormat="1" applyFont="1"/>
    <xf numFmtId="194" fontId="65" fillId="0" borderId="0" xfId="0" applyNumberFormat="1" applyFont="1"/>
    <xf numFmtId="0" fontId="0" fillId="0" borderId="0" xfId="0" applyAlignment="1">
      <alignment horizontal="left" indent="1"/>
    </xf>
    <xf numFmtId="0" fontId="0" fillId="0" borderId="0" xfId="0" applyAlignment="1">
      <alignment horizontal="left"/>
    </xf>
    <xf numFmtId="0" fontId="63" fillId="0" borderId="0" xfId="0" applyFont="1" applyAlignment="1">
      <alignment horizontal="left"/>
    </xf>
    <xf numFmtId="4" fontId="0" fillId="0" borderId="0" xfId="0" applyNumberFormat="1"/>
    <xf numFmtId="164" fontId="91" fillId="0" borderId="0" xfId="0" applyNumberFormat="1" applyFont="1"/>
    <xf numFmtId="164" fontId="1" fillId="0" borderId="0" xfId="0" applyNumberFormat="1" applyFont="1"/>
    <xf numFmtId="221" fontId="60" fillId="0" borderId="0" xfId="0" applyNumberFormat="1" applyFont="1"/>
    <xf numFmtId="222" fontId="60" fillId="0" borderId="0" xfId="0" applyNumberFormat="1" applyFont="1"/>
    <xf numFmtId="37" fontId="65" fillId="0" borderId="0" xfId="0" applyNumberFormat="1" applyFont="1"/>
    <xf numFmtId="0" fontId="0" fillId="0" borderId="0" xfId="0" quotePrefix="1" applyAlignment="1">
      <alignment horizontal="left" indent="1"/>
    </xf>
    <xf numFmtId="0" fontId="0" fillId="0" borderId="29" xfId="0" quotePrefix="1" applyBorder="1" applyAlignment="1">
      <alignment horizontal="left" indent="1"/>
    </xf>
    <xf numFmtId="37" fontId="0" fillId="0" borderId="29" xfId="0" applyNumberFormat="1" applyBorder="1"/>
    <xf numFmtId="164" fontId="0" fillId="0" borderId="0" xfId="0" applyNumberFormat="1"/>
    <xf numFmtId="235" fontId="0" fillId="0" borderId="0" xfId="0" applyNumberFormat="1"/>
    <xf numFmtId="164" fontId="0" fillId="0" borderId="1" xfId="0" applyNumberFormat="1" applyBorder="1"/>
    <xf numFmtId="37" fontId="2" fillId="0" borderId="32" xfId="0" applyNumberFormat="1" applyFont="1" applyBorder="1"/>
    <xf numFmtId="0" fontId="0" fillId="0" borderId="29" xfId="0" applyBorder="1" applyAlignment="1">
      <alignment horizontal="left" indent="1"/>
    </xf>
    <xf numFmtId="0" fontId="0" fillId="0" borderId="29" xfId="0" applyBorder="1"/>
    <xf numFmtId="37" fontId="2" fillId="0" borderId="29" xfId="0" applyNumberFormat="1" applyFont="1" applyBorder="1"/>
    <xf numFmtId="37" fontId="0" fillId="0" borderId="36" xfId="0" applyNumberFormat="1" applyBorder="1"/>
    <xf numFmtId="0" fontId="0" fillId="0" borderId="36" xfId="0" applyBorder="1"/>
    <xf numFmtId="0" fontId="87" fillId="0" borderId="0" xfId="0" applyFont="1" applyAlignment="1">
      <alignment horizontal="center"/>
    </xf>
    <xf numFmtId="37" fontId="86" fillId="0" borderId="0" xfId="0" applyNumberFormat="1" applyFont="1" applyAlignment="1">
      <alignment horizontal="right"/>
    </xf>
    <xf numFmtId="37" fontId="0" fillId="0" borderId="32" xfId="0" applyNumberFormat="1" applyBorder="1"/>
    <xf numFmtId="0" fontId="67" fillId="0" borderId="0" xfId="0" applyFont="1" applyAlignment="1">
      <alignment horizontal="left" indent="1"/>
    </xf>
    <xf numFmtId="0" fontId="84" fillId="0" borderId="0" xfId="0" applyFont="1" applyAlignment="1">
      <alignment horizontal="left"/>
    </xf>
    <xf numFmtId="238" fontId="83" fillId="0" borderId="0" xfId="0" applyNumberFormat="1" applyFont="1"/>
    <xf numFmtId="0" fontId="60" fillId="0" borderId="33" xfId="0" applyFont="1" applyBorder="1" applyAlignment="1">
      <alignment horizontal="left" indent="1"/>
    </xf>
    <xf numFmtId="37" fontId="60" fillId="0" borderId="33" xfId="0" applyNumberFormat="1" applyFont="1" applyBorder="1"/>
    <xf numFmtId="0" fontId="0" fillId="0" borderId="0" xfId="0" applyAlignment="1">
      <alignment horizontal="left" indent="2"/>
    </xf>
    <xf numFmtId="238" fontId="2" fillId="0" borderId="0" xfId="0" applyNumberFormat="1" applyFont="1"/>
    <xf numFmtId="37" fontId="2" fillId="0" borderId="0" xfId="0" applyNumberFormat="1" applyFont="1" applyAlignment="1">
      <alignment horizontal="left" indent="1"/>
    </xf>
    <xf numFmtId="0" fontId="0" fillId="0" borderId="20" xfId="0" applyBorder="1"/>
    <xf numFmtId="0" fontId="63" fillId="0" borderId="0" xfId="0" applyFont="1" applyAlignment="1">
      <alignment horizontal="centerContinuous"/>
    </xf>
    <xf numFmtId="0" fontId="0" fillId="0" borderId="0" xfId="0" applyAlignment="1">
      <alignment horizontal="centerContinuous"/>
    </xf>
    <xf numFmtId="5" fontId="2" fillId="0" borderId="26" xfId="0" applyNumberFormat="1" applyFont="1" applyBorder="1"/>
    <xf numFmtId="236" fontId="1" fillId="0" borderId="27" xfId="0" applyNumberFormat="1" applyFont="1" applyBorder="1"/>
    <xf numFmtId="0" fontId="0" fillId="0" borderId="0" xfId="0" applyAlignment="1">
      <alignment horizontal="right"/>
    </xf>
    <xf numFmtId="237" fontId="1" fillId="0" borderId="28" xfId="0" applyNumberFormat="1" applyFont="1" applyBorder="1"/>
    <xf numFmtId="224" fontId="0" fillId="0" borderId="0" xfId="0" applyNumberFormat="1"/>
    <xf numFmtId="0" fontId="0" fillId="0" borderId="42" xfId="0" applyBorder="1"/>
    <xf numFmtId="37" fontId="0" fillId="0" borderId="38" xfId="0" applyNumberFormat="1" applyBorder="1" applyAlignment="1">
      <alignment horizontal="center"/>
    </xf>
    <xf numFmtId="200" fontId="0" fillId="0" borderId="0" xfId="0" applyNumberFormat="1"/>
    <xf numFmtId="234" fontId="62" fillId="0" borderId="0" xfId="0" applyNumberFormat="1" applyFont="1"/>
    <xf numFmtId="164" fontId="0" fillId="0" borderId="38" xfId="0" applyNumberFormat="1" applyBorder="1" applyAlignment="1">
      <alignment horizontal="center"/>
    </xf>
    <xf numFmtId="0" fontId="0" fillId="0" borderId="38" xfId="0" applyBorder="1"/>
    <xf numFmtId="37" fontId="1" fillId="0" borderId="38" xfId="0" applyNumberFormat="1" applyFont="1" applyBorder="1" applyAlignment="1">
      <alignment horizontal="center"/>
    </xf>
    <xf numFmtId="200" fontId="2" fillId="0" borderId="0" xfId="0" applyNumberFormat="1" applyFont="1"/>
    <xf numFmtId="0" fontId="0" fillId="0" borderId="38" xfId="0" applyBorder="1" applyAlignment="1">
      <alignment horizontal="center"/>
    </xf>
    <xf numFmtId="226" fontId="0" fillId="0" borderId="0" xfId="0" applyNumberFormat="1"/>
    <xf numFmtId="8" fontId="0" fillId="0" borderId="0" xfId="0" applyNumberFormat="1"/>
    <xf numFmtId="8" fontId="0" fillId="37" borderId="0" xfId="0" applyNumberFormat="1" applyFill="1"/>
    <xf numFmtId="223" fontId="62" fillId="0" borderId="0" xfId="0" applyNumberFormat="1" applyFont="1"/>
    <xf numFmtId="0" fontId="60" fillId="0" borderId="44" xfId="0" applyFont="1" applyBorder="1"/>
    <xf numFmtId="0" fontId="2" fillId="0" borderId="44" xfId="0" applyFont="1" applyBorder="1"/>
    <xf numFmtId="0" fontId="90" fillId="0" borderId="0" xfId="0" applyFont="1"/>
    <xf numFmtId="0" fontId="2" fillId="0" borderId="46" xfId="0" applyFont="1" applyBorder="1"/>
    <xf numFmtId="0" fontId="2" fillId="0" borderId="33" xfId="0" applyFont="1" applyBorder="1"/>
    <xf numFmtId="0" fontId="2" fillId="0" borderId="45" xfId="0" applyFont="1" applyBorder="1"/>
    <xf numFmtId="37" fontId="2" fillId="37" borderId="0" xfId="0" applyNumberFormat="1" applyFont="1" applyFill="1"/>
    <xf numFmtId="0" fontId="0" fillId="0" borderId="34" xfId="0" applyBorder="1"/>
    <xf numFmtId="165" fontId="1" fillId="0" borderId="0" xfId="0" applyNumberFormat="1" applyFont="1"/>
    <xf numFmtId="0" fontId="0" fillId="0" borderId="31" xfId="0" applyBorder="1"/>
    <xf numFmtId="165" fontId="0" fillId="0" borderId="0" xfId="0" applyNumberFormat="1"/>
    <xf numFmtId="234" fontId="2" fillId="0" borderId="0" xfId="0" applyNumberFormat="1" applyFont="1"/>
    <xf numFmtId="0" fontId="63" fillId="0" borderId="0" xfId="0" applyFont="1" applyAlignment="1"/>
    <xf numFmtId="37" fontId="0" fillId="0" borderId="0" xfId="0" applyNumberFormat="1" applyBorder="1"/>
    <xf numFmtId="239" fontId="0" fillId="0" borderId="0" xfId="0" applyNumberFormat="1" applyBorder="1"/>
    <xf numFmtId="0" fontId="0" fillId="0" borderId="32" xfId="0" applyBorder="1"/>
    <xf numFmtId="234" fontId="0" fillId="37" borderId="0" xfId="0" applyNumberFormat="1" applyFill="1" applyBorder="1"/>
    <xf numFmtId="0" fontId="0" fillId="0" borderId="0" xfId="0" applyBorder="1" applyAlignment="1">
      <alignment horizontal="left" indent="1"/>
    </xf>
    <xf numFmtId="0" fontId="1" fillId="37" borderId="0" xfId="0" applyFont="1" applyFill="1" applyAlignment="1">
      <alignment horizontal="center"/>
    </xf>
    <xf numFmtId="0" fontId="92" fillId="0" borderId="0" xfId="0" applyFont="1" applyBorder="1" applyAlignment="1">
      <alignment horizontal="centerContinuous"/>
    </xf>
    <xf numFmtId="0" fontId="1" fillId="0" borderId="0" xfId="0" applyFont="1" applyBorder="1" applyAlignment="1">
      <alignment horizontal="centerContinuous"/>
    </xf>
    <xf numFmtId="239" fontId="1" fillId="37" borderId="0" xfId="0" applyNumberFormat="1" applyFont="1" applyFill="1" applyBorder="1"/>
    <xf numFmtId="0" fontId="93" fillId="37" borderId="47" xfId="0" applyFont="1" applyFill="1" applyBorder="1" applyAlignment="1">
      <alignment horizontal="center"/>
    </xf>
    <xf numFmtId="218" fontId="0" fillId="0" borderId="0" xfId="0" applyNumberFormat="1" applyBorder="1"/>
    <xf numFmtId="218" fontId="1" fillId="37" borderId="0" xfId="0" applyNumberFormat="1" applyFont="1" applyFill="1" applyBorder="1"/>
    <xf numFmtId="37" fontId="0" fillId="0" borderId="0" xfId="0" applyNumberFormat="1" applyFill="1" applyBorder="1"/>
    <xf numFmtId="3" fontId="2" fillId="0" borderId="0" xfId="0" applyNumberFormat="1" applyFont="1"/>
    <xf numFmtId="0" fontId="67" fillId="0" borderId="0" xfId="0" applyFont="1" applyAlignment="1">
      <alignment horizontal="right"/>
    </xf>
    <xf numFmtId="38" fontId="63" fillId="0" borderId="0" xfId="0" applyNumberFormat="1" applyFont="1"/>
    <xf numFmtId="37" fontId="0" fillId="0" borderId="0" xfId="0" quotePrefix="1" applyNumberFormat="1"/>
    <xf numFmtId="0" fontId="63" fillId="0" borderId="29" xfId="0" applyFont="1" applyBorder="1" applyAlignment="1"/>
    <xf numFmtId="164" fontId="0" fillId="0" borderId="29" xfId="0" applyNumberFormat="1" applyBorder="1"/>
    <xf numFmtId="164" fontId="2" fillId="0" borderId="29" xfId="0" applyNumberFormat="1" applyFont="1" applyBorder="1"/>
    <xf numFmtId="39" fontId="1" fillId="37" borderId="0" xfId="0" applyNumberFormat="1" applyFont="1" applyFill="1"/>
    <xf numFmtId="39" fontId="2" fillId="0" borderId="0" xfId="0" applyNumberFormat="1" applyFont="1"/>
    <xf numFmtId="0" fontId="0" fillId="0" borderId="0" xfId="0" applyFill="1" applyBorder="1" applyAlignment="1">
      <alignment horizontal="left" indent="1"/>
    </xf>
    <xf numFmtId="234" fontId="0" fillId="37" borderId="0" xfId="0" applyNumberFormat="1" applyFill="1"/>
    <xf numFmtId="37" fontId="0" fillId="37" borderId="0" xfId="0" applyNumberFormat="1" applyFill="1" applyBorder="1"/>
    <xf numFmtId="37" fontId="0" fillId="37" borderId="0" xfId="0" quotePrefix="1" applyNumberFormat="1" applyFill="1"/>
    <xf numFmtId="223" fontId="65" fillId="0" borderId="0" xfId="0" applyNumberFormat="1" applyFont="1" applyBorder="1" applyAlignment="1">
      <alignment horizontal="center"/>
    </xf>
    <xf numFmtId="37" fontId="2" fillId="0" borderId="0" xfId="0" applyNumberFormat="1" applyFont="1" applyAlignment="1">
      <alignment horizontal="center"/>
    </xf>
    <xf numFmtId="37" fontId="60" fillId="0" borderId="0" xfId="0" applyNumberFormat="1" applyFont="1" applyAlignment="1">
      <alignment horizontal="center"/>
    </xf>
    <xf numFmtId="37" fontId="0" fillId="0" borderId="0" xfId="0" applyNumberFormat="1" applyAlignment="1">
      <alignment horizontal="center"/>
    </xf>
    <xf numFmtId="222" fontId="63" fillId="0" borderId="0" xfId="0" applyNumberFormat="1" applyFont="1" applyBorder="1" applyAlignment="1">
      <alignment horizontal="center"/>
    </xf>
    <xf numFmtId="223" fontId="65" fillId="0" borderId="1" xfId="0" applyNumberFormat="1" applyFont="1" applyBorder="1" applyAlignment="1">
      <alignment horizontal="center"/>
    </xf>
    <xf numFmtId="234" fontId="2" fillId="37" borderId="0" xfId="0" applyNumberFormat="1" applyFont="1" applyFill="1" applyAlignment="1">
      <alignment horizontal="center"/>
    </xf>
    <xf numFmtId="0" fontId="92" fillId="0" borderId="0" xfId="0" applyFont="1" applyFill="1" applyBorder="1" applyAlignment="1">
      <alignment horizontal="centerContinuous"/>
    </xf>
    <xf numFmtId="0" fontId="0" fillId="0" borderId="0" xfId="0" applyFill="1" applyBorder="1"/>
    <xf numFmtId="222" fontId="60" fillId="0" borderId="0" xfId="0" applyNumberFormat="1" applyFont="1" applyFill="1"/>
    <xf numFmtId="223" fontId="62" fillId="0" borderId="0" xfId="0" applyNumberFormat="1" applyFont="1" applyFill="1" applyBorder="1"/>
    <xf numFmtId="0" fontId="63" fillId="0" borderId="0" xfId="0" applyFont="1" applyFill="1" applyBorder="1" applyAlignment="1">
      <alignment horizontal="centerContinuous"/>
    </xf>
    <xf numFmtId="0" fontId="0" fillId="0" borderId="0" xfId="0" applyFill="1"/>
    <xf numFmtId="164" fontId="2" fillId="0" borderId="0" xfId="0" applyNumberFormat="1" applyFont="1" applyFill="1"/>
    <xf numFmtId="37" fontId="2" fillId="0" borderId="0" xfId="0" applyNumberFormat="1" applyFont="1" applyFill="1"/>
    <xf numFmtId="37" fontId="0" fillId="0" borderId="0" xfId="0" quotePrefix="1" applyNumberFormat="1" applyFill="1"/>
    <xf numFmtId="234" fontId="0" fillId="0" borderId="0" xfId="0" applyNumberFormat="1" applyFill="1"/>
    <xf numFmtId="37" fontId="86" fillId="0" borderId="0" xfId="0" applyNumberFormat="1" applyFont="1" applyFill="1" applyAlignment="1">
      <alignment horizontal="right"/>
    </xf>
    <xf numFmtId="9" fontId="1" fillId="0" borderId="0" xfId="0" applyNumberFormat="1" applyFont="1" applyFill="1" applyBorder="1"/>
    <xf numFmtId="238" fontId="83" fillId="0" borderId="0" xfId="0" applyNumberFormat="1" applyFont="1" applyFill="1"/>
    <xf numFmtId="238" fontId="2" fillId="0" borderId="0" xfId="0" applyNumberFormat="1" applyFont="1" applyFill="1"/>
    <xf numFmtId="200" fontId="0" fillId="0" borderId="0" xfId="0" applyNumberFormat="1" applyFill="1"/>
    <xf numFmtId="164" fontId="0" fillId="0" borderId="0" xfId="0" applyNumberFormat="1" applyFill="1"/>
    <xf numFmtId="200" fontId="2" fillId="0" borderId="0" xfId="0" applyNumberFormat="1" applyFont="1" applyFill="1"/>
    <xf numFmtId="165" fontId="1" fillId="0" borderId="0" xfId="0" applyNumberFormat="1" applyFont="1" applyFill="1" applyBorder="1"/>
    <xf numFmtId="164" fontId="1" fillId="0" borderId="0" xfId="0" applyNumberFormat="1" applyFont="1" applyFill="1"/>
    <xf numFmtId="226" fontId="0" fillId="0" borderId="0" xfId="0" applyNumberFormat="1" applyFill="1"/>
    <xf numFmtId="7" fontId="60" fillId="0" borderId="0" xfId="0" applyNumberFormat="1" applyFont="1" applyFill="1"/>
    <xf numFmtId="8" fontId="0" fillId="0" borderId="0" xfId="0" applyNumberFormat="1" applyFill="1"/>
    <xf numFmtId="9" fontId="1" fillId="0" borderId="0" xfId="0" applyNumberFormat="1" applyFont="1" applyFill="1"/>
    <xf numFmtId="164" fontId="91" fillId="0" borderId="0" xfId="0" applyNumberFormat="1" applyFont="1" applyFill="1"/>
    <xf numFmtId="37" fontId="65" fillId="0" borderId="0" xfId="0" applyNumberFormat="1" applyFont="1" applyFill="1"/>
    <xf numFmtId="223" fontId="65" fillId="0" borderId="0" xfId="0" applyNumberFormat="1" applyFont="1" applyFill="1" applyBorder="1"/>
    <xf numFmtId="221" fontId="60" fillId="0" borderId="0" xfId="0" applyNumberFormat="1" applyFont="1" applyFill="1" applyBorder="1"/>
    <xf numFmtId="234" fontId="0" fillId="0" borderId="0" xfId="0" applyNumberFormat="1" applyFill="1" applyBorder="1"/>
    <xf numFmtId="239" fontId="1" fillId="0" borderId="0" xfId="0" applyNumberFormat="1" applyFont="1" applyFill="1" applyBorder="1"/>
    <xf numFmtId="218" fontId="1" fillId="0" borderId="0" xfId="0" applyNumberFormat="1" applyFont="1" applyFill="1" applyBorder="1"/>
    <xf numFmtId="234" fontId="2" fillId="0" borderId="0" xfId="0" applyNumberFormat="1" applyFont="1" applyFill="1" applyBorder="1" applyAlignment="1"/>
    <xf numFmtId="239" fontId="63" fillId="0" borderId="0" xfId="0" applyNumberFormat="1" applyFont="1" applyBorder="1"/>
    <xf numFmtId="239" fontId="60" fillId="0" borderId="0" xfId="0" applyNumberFormat="1" applyFont="1" applyFill="1" applyBorder="1" applyAlignment="1"/>
    <xf numFmtId="39" fontId="0" fillId="0" borderId="0" xfId="0" applyNumberFormat="1"/>
    <xf numFmtId="239" fontId="0" fillId="37" borderId="0" xfId="0" applyNumberFormat="1" applyFill="1" applyBorder="1"/>
    <xf numFmtId="239" fontId="60" fillId="37" borderId="0" xfId="0" applyNumberFormat="1" applyFont="1" applyFill="1" applyBorder="1" applyAlignment="1"/>
    <xf numFmtId="239" fontId="63" fillId="37" borderId="0" xfId="0" applyNumberFormat="1" applyFont="1" applyFill="1" applyBorder="1"/>
    <xf numFmtId="3" fontId="0" fillId="0" borderId="0" xfId="0" quotePrefix="1" applyNumberFormat="1" applyFont="1"/>
    <xf numFmtId="3" fontId="63" fillId="0" borderId="0" xfId="0" applyNumberFormat="1" applyFont="1"/>
    <xf numFmtId="3" fontId="1" fillId="37" borderId="0" xfId="0" applyNumberFormat="1" applyFont="1" applyFill="1" applyBorder="1"/>
    <xf numFmtId="37" fontId="1" fillId="37" borderId="0" xfId="0" applyNumberFormat="1" applyFont="1" applyFill="1" applyBorder="1"/>
    <xf numFmtId="37" fontId="1" fillId="37" borderId="0" xfId="0" applyNumberFormat="1" applyFont="1" applyFill="1" applyBorder="1" applyAlignment="1"/>
    <xf numFmtId="37" fontId="1" fillId="41" borderId="0" xfId="0" applyNumberFormat="1" applyFont="1" applyFill="1" applyBorder="1" applyAlignment="1"/>
    <xf numFmtId="37" fontId="60" fillId="37" borderId="0" xfId="0" applyNumberFormat="1" applyFont="1" applyFill="1" applyBorder="1" applyAlignment="1"/>
    <xf numFmtId="37" fontId="60" fillId="41" borderId="0" xfId="0" applyNumberFormat="1" applyFont="1" applyFill="1" applyBorder="1" applyAlignment="1"/>
    <xf numFmtId="234" fontId="2" fillId="37" borderId="0" xfId="0" applyNumberFormat="1" applyFont="1" applyFill="1" applyBorder="1"/>
    <xf numFmtId="37" fontId="1" fillId="37" borderId="0" xfId="0" applyNumberFormat="1" applyFont="1" applyFill="1" applyAlignment="1"/>
    <xf numFmtId="37" fontId="1" fillId="37" borderId="29" xfId="0" applyNumberFormat="1" applyFont="1" applyFill="1" applyBorder="1"/>
    <xf numFmtId="10" fontId="1" fillId="37" borderId="0" xfId="0" applyNumberFormat="1" applyFont="1" applyFill="1" applyBorder="1"/>
    <xf numFmtId="10" fontId="1" fillId="37" borderId="0" xfId="0" applyNumberFormat="1" applyFont="1" applyFill="1"/>
    <xf numFmtId="9" fontId="0" fillId="0" borderId="0" xfId="0" applyNumberFormat="1" applyFont="1"/>
    <xf numFmtId="0" fontId="0" fillId="37" borderId="0" xfId="0" applyNumberFormat="1" applyFill="1"/>
    <xf numFmtId="0" fontId="63" fillId="37" borderId="0" xfId="0" applyNumberFormat="1" applyFont="1" applyFill="1"/>
    <xf numFmtId="0" fontId="60" fillId="37" borderId="0" xfId="0" applyNumberFormat="1" applyFont="1" applyFill="1"/>
    <xf numFmtId="0" fontId="0" fillId="0" borderId="0" xfId="0" applyNumberFormat="1"/>
    <xf numFmtId="0" fontId="1" fillId="37" borderId="0" xfId="0" applyNumberFormat="1" applyFont="1" applyFill="1" applyBorder="1"/>
    <xf numFmtId="0" fontId="2" fillId="37" borderId="0" xfId="0" applyNumberFormat="1" applyFont="1" applyFill="1"/>
    <xf numFmtId="37" fontId="2" fillId="42" borderId="0" xfId="0" applyNumberFormat="1" applyFont="1" applyFill="1" applyBorder="1"/>
    <xf numFmtId="37" fontId="0" fillId="43" borderId="0" xfId="0" applyNumberFormat="1" applyFill="1"/>
    <xf numFmtId="234" fontId="1" fillId="0" borderId="0" xfId="0" applyNumberFormat="1" applyFont="1"/>
    <xf numFmtId="225" fontId="83" fillId="37" borderId="0" xfId="0" applyNumberFormat="1" applyFont="1" applyFill="1" applyBorder="1"/>
    <xf numFmtId="37" fontId="60" fillId="37" borderId="33" xfId="0" applyNumberFormat="1" applyFont="1" applyFill="1" applyBorder="1" applyAlignment="1"/>
    <xf numFmtId="234" fontId="83" fillId="37" borderId="0" xfId="0" applyNumberFormat="1" applyFont="1" applyFill="1" applyBorder="1"/>
    <xf numFmtId="234" fontId="83" fillId="39" borderId="0" xfId="0" applyNumberFormat="1" applyFont="1" applyFill="1" applyBorder="1"/>
    <xf numFmtId="234" fontId="1" fillId="0" borderId="29" xfId="0" applyNumberFormat="1" applyFont="1" applyBorder="1"/>
    <xf numFmtId="234" fontId="1" fillId="0" borderId="23" xfId="0" applyNumberFormat="1" applyFont="1" applyBorder="1"/>
    <xf numFmtId="37" fontId="83" fillId="37" borderId="0" xfId="0" applyNumberFormat="1" applyFont="1" applyFill="1"/>
    <xf numFmtId="240" fontId="88" fillId="37" borderId="0" xfId="0" applyNumberFormat="1" applyFont="1" applyFill="1"/>
    <xf numFmtId="8" fontId="83" fillId="37" borderId="0" xfId="0" applyNumberFormat="1" applyFont="1" applyFill="1"/>
    <xf numFmtId="9" fontId="1" fillId="0" borderId="0" xfId="0" applyNumberFormat="1" applyFont="1" applyFill="1" applyBorder="1" applyAlignment="1"/>
    <xf numFmtId="234" fontId="2" fillId="37" borderId="0" xfId="0" applyNumberFormat="1" applyFont="1" applyFill="1" applyBorder="1" applyAlignment="1"/>
    <xf numFmtId="234" fontId="0" fillId="37" borderId="0" xfId="0" applyNumberFormat="1" applyFont="1" applyFill="1"/>
    <xf numFmtId="0" fontId="0" fillId="0" borderId="0" xfId="0" applyFont="1" applyBorder="1" applyAlignment="1">
      <alignment horizontal="right"/>
    </xf>
    <xf numFmtId="37" fontId="63" fillId="37" borderId="47" xfId="0" applyNumberFormat="1" applyFont="1" applyFill="1" applyBorder="1"/>
    <xf numFmtId="37" fontId="2" fillId="41" borderId="0" xfId="0" applyNumberFormat="1" applyFont="1" applyFill="1" applyBorder="1" applyAlignment="1"/>
    <xf numFmtId="165" fontId="2" fillId="37" borderId="45" xfId="0" applyNumberFormat="1" applyFont="1" applyFill="1" applyBorder="1"/>
    <xf numFmtId="3" fontId="2" fillId="0" borderId="0" xfId="0" applyNumberFormat="1" applyFont="1" applyFill="1" applyBorder="1" applyAlignment="1"/>
    <xf numFmtId="37" fontId="1" fillId="37" borderId="23" xfId="0" applyNumberFormat="1" applyFont="1" applyFill="1" applyBorder="1"/>
    <xf numFmtId="224" fontId="1" fillId="37" borderId="0" xfId="0" applyNumberFormat="1" applyFont="1" applyFill="1" applyBorder="1"/>
    <xf numFmtId="165" fontId="1" fillId="37" borderId="33" xfId="0" applyNumberFormat="1" applyFont="1" applyFill="1" applyBorder="1"/>
    <xf numFmtId="165" fontId="1" fillId="37" borderId="0" xfId="0" applyNumberFormat="1" applyFont="1" applyFill="1" applyBorder="1"/>
    <xf numFmtId="164" fontId="2" fillId="37" borderId="30" xfId="0" applyNumberFormat="1" applyFont="1" applyFill="1" applyBorder="1"/>
    <xf numFmtId="164" fontId="2" fillId="37" borderId="23" xfId="0" applyNumberFormat="1" applyFont="1" applyFill="1" applyBorder="1"/>
    <xf numFmtId="164" fontId="2" fillId="37" borderId="0" xfId="0" applyNumberFormat="1" applyFont="1" applyFill="1"/>
    <xf numFmtId="234" fontId="0" fillId="37" borderId="30" xfId="0" applyNumberFormat="1" applyFill="1" applyBorder="1"/>
    <xf numFmtId="234" fontId="0" fillId="37" borderId="23" xfId="0" applyNumberFormat="1" applyFill="1" applyBorder="1"/>
    <xf numFmtId="234" fontId="0" fillId="37" borderId="0" xfId="0" applyNumberFormat="1" applyFont="1" applyFill="1" applyBorder="1"/>
    <xf numFmtId="234" fontId="2" fillId="37" borderId="30" xfId="0" applyNumberFormat="1" applyFont="1" applyFill="1" applyBorder="1"/>
    <xf numFmtId="164" fontId="0" fillId="37" borderId="23" xfId="0" applyNumberFormat="1" applyFont="1" applyFill="1" applyBorder="1"/>
    <xf numFmtId="37" fontId="2" fillId="0" borderId="30" xfId="0" applyNumberFormat="1" applyFont="1" applyFill="1" applyBorder="1"/>
    <xf numFmtId="37" fontId="2" fillId="0" borderId="23" xfId="0" applyNumberFormat="1" applyFont="1" applyFill="1" applyBorder="1"/>
    <xf numFmtId="3" fontId="1" fillId="0" borderId="0" xfId="0" applyNumberFormat="1" applyFont="1" applyFill="1"/>
    <xf numFmtId="3" fontId="1" fillId="0" borderId="23" xfId="0" applyNumberFormat="1" applyFont="1" applyFill="1" applyBorder="1"/>
    <xf numFmtId="37" fontId="1" fillId="0" borderId="23" xfId="0" applyNumberFormat="1" applyFont="1" applyFill="1" applyBorder="1"/>
    <xf numFmtId="3" fontId="60" fillId="0" borderId="0" xfId="0" applyNumberFormat="1" applyFont="1" applyFill="1"/>
    <xf numFmtId="3" fontId="60" fillId="0" borderId="23" xfId="0" applyNumberFormat="1" applyFont="1" applyFill="1" applyBorder="1"/>
    <xf numFmtId="164" fontId="0" fillId="0" borderId="0" xfId="0" applyNumberFormat="1" applyFont="1" applyFill="1"/>
    <xf numFmtId="164" fontId="0" fillId="0" borderId="23" xfId="0" applyNumberFormat="1" applyFont="1" applyFill="1" applyBorder="1"/>
    <xf numFmtId="164" fontId="0" fillId="0" borderId="0" xfId="0" applyNumberFormat="1" applyFont="1" applyFill="1" applyBorder="1"/>
    <xf numFmtId="0" fontId="0" fillId="0" borderId="29" xfId="0" applyFont="1" applyFill="1" applyBorder="1"/>
    <xf numFmtId="0" fontId="0" fillId="0" borderId="34" xfId="0" applyFont="1" applyFill="1" applyBorder="1"/>
    <xf numFmtId="224" fontId="1" fillId="0" borderId="23" xfId="0" applyNumberFormat="1" applyFont="1" applyFill="1" applyBorder="1"/>
    <xf numFmtId="0" fontId="0" fillId="0" borderId="23" xfId="0" applyFill="1" applyBorder="1"/>
    <xf numFmtId="165" fontId="2" fillId="0" borderId="0" xfId="0" applyNumberFormat="1" applyFont="1" applyFill="1" applyBorder="1"/>
    <xf numFmtId="165" fontId="1" fillId="0" borderId="30" xfId="0" applyNumberFormat="1" applyFont="1" applyFill="1" applyBorder="1"/>
    <xf numFmtId="165" fontId="1" fillId="0" borderId="23" xfId="0" applyNumberFormat="1" applyFont="1" applyFill="1" applyBorder="1"/>
    <xf numFmtId="165" fontId="2" fillId="0" borderId="0" xfId="0" applyNumberFormat="1" applyFont="1" applyFill="1"/>
    <xf numFmtId="234" fontId="1" fillId="0" borderId="34" xfId="0" applyNumberFormat="1" applyFont="1" applyBorder="1"/>
    <xf numFmtId="164" fontId="0" fillId="0" borderId="23" xfId="0" applyNumberFormat="1" applyFill="1" applyBorder="1"/>
    <xf numFmtId="0" fontId="0" fillId="0" borderId="29" xfId="0" applyFill="1" applyBorder="1"/>
    <xf numFmtId="0" fontId="0" fillId="0" borderId="34" xfId="0" applyFill="1" applyBorder="1"/>
    <xf numFmtId="224" fontId="91" fillId="0" borderId="0" xfId="0" applyNumberFormat="1" applyFont="1" applyFill="1"/>
    <xf numFmtId="224" fontId="1" fillId="0" borderId="0" xfId="0" applyNumberFormat="1" applyFont="1" applyFill="1"/>
    <xf numFmtId="165" fontId="1" fillId="0" borderId="0" xfId="0" applyNumberFormat="1" applyFont="1" applyFill="1"/>
    <xf numFmtId="0" fontId="0" fillId="37" borderId="0" xfId="0" applyFill="1" applyAlignment="1">
      <alignment horizontal="left" indent="1"/>
    </xf>
    <xf numFmtId="37" fontId="0" fillId="37" borderId="38" xfId="0" applyNumberFormat="1" applyFill="1" applyBorder="1" applyAlignment="1">
      <alignment horizontal="center"/>
    </xf>
    <xf numFmtId="200" fontId="0" fillId="37" borderId="0" xfId="0" applyNumberFormat="1" applyFill="1"/>
    <xf numFmtId="0" fontId="63" fillId="37" borderId="0" xfId="0" applyFont="1" applyFill="1" applyAlignment="1">
      <alignment horizontal="left" indent="1"/>
    </xf>
    <xf numFmtId="0" fontId="0" fillId="37" borderId="38" xfId="0" applyFill="1" applyBorder="1"/>
    <xf numFmtId="0" fontId="0" fillId="37" borderId="0" xfId="0" applyFill="1" applyAlignment="1">
      <alignment horizontal="left" indent="2"/>
    </xf>
    <xf numFmtId="37" fontId="1" fillId="37" borderId="38" xfId="0" applyNumberFormat="1" applyFont="1" applyFill="1" applyBorder="1" applyAlignment="1">
      <alignment horizontal="center"/>
    </xf>
    <xf numFmtId="200" fontId="2" fillId="37" borderId="0" xfId="0" applyNumberFormat="1" applyFont="1" applyFill="1"/>
    <xf numFmtId="0" fontId="0" fillId="37" borderId="38" xfId="0" applyFill="1" applyBorder="1" applyAlignment="1">
      <alignment horizontal="center"/>
    </xf>
    <xf numFmtId="0" fontId="63" fillId="37" borderId="0" xfId="0" applyFont="1" applyFill="1" applyAlignment="1">
      <alignment horizontal="left"/>
    </xf>
    <xf numFmtId="234" fontId="1" fillId="37" borderId="38" xfId="0" applyNumberFormat="1" applyFont="1" applyFill="1" applyBorder="1" applyAlignment="1">
      <alignment horizontal="center"/>
    </xf>
    <xf numFmtId="164" fontId="91" fillId="37" borderId="0" xfId="0" applyNumberFormat="1" applyFont="1" applyFill="1"/>
    <xf numFmtId="165" fontId="91" fillId="0" borderId="0" xfId="0" applyNumberFormat="1" applyFont="1" applyFill="1" applyBorder="1"/>
    <xf numFmtId="165" fontId="2" fillId="0" borderId="33" xfId="0" applyNumberFormat="1" applyFont="1" applyFill="1" applyBorder="1"/>
    <xf numFmtId="165" fontId="91" fillId="0" borderId="46" xfId="0" applyNumberFormat="1" applyFont="1" applyFill="1" applyBorder="1"/>
    <xf numFmtId="224" fontId="91" fillId="0" borderId="45" xfId="0" applyNumberFormat="1" applyFont="1" applyFill="1" applyBorder="1"/>
    <xf numFmtId="165" fontId="91" fillId="0" borderId="45" xfId="0" applyNumberFormat="1" applyFont="1" applyFill="1" applyBorder="1"/>
    <xf numFmtId="238" fontId="0" fillId="0" borderId="0" xfId="0" applyNumberFormat="1"/>
    <xf numFmtId="37" fontId="92" fillId="0" borderId="0" xfId="0" applyNumberFormat="1" applyFont="1" applyBorder="1" applyAlignment="1">
      <alignment horizontal="centerContinuous"/>
    </xf>
    <xf numFmtId="0" fontId="67" fillId="0" borderId="0" xfId="0" applyFont="1" applyFill="1"/>
    <xf numFmtId="234" fontId="1" fillId="0" borderId="0" xfId="0" applyNumberFormat="1" applyFont="1" applyFill="1"/>
    <xf numFmtId="234" fontId="83" fillId="0" borderId="0" xfId="0" applyNumberFormat="1" applyFont="1" applyFill="1" applyBorder="1"/>
    <xf numFmtId="0" fontId="87" fillId="0" borderId="36" xfId="0" applyFont="1" applyBorder="1" applyAlignment="1">
      <alignment horizontal="left" indent="2"/>
    </xf>
    <xf numFmtId="0" fontId="60" fillId="0" borderId="0" xfId="0" applyNumberFormat="1" applyFont="1" applyFill="1" applyBorder="1" applyAlignment="1">
      <alignment horizontal="left" indent="1"/>
    </xf>
    <xf numFmtId="8" fontId="0" fillId="0" borderId="0" xfId="0" applyNumberFormat="1" applyFont="1" applyFill="1"/>
    <xf numFmtId="8" fontId="1" fillId="0" borderId="0" xfId="0" applyNumberFormat="1" applyFont="1" applyFill="1"/>
    <xf numFmtId="9" fontId="2" fillId="0" borderId="0" xfId="0" applyNumberFormat="1" applyFont="1" applyFill="1"/>
    <xf numFmtId="37" fontId="63" fillId="0" borderId="47" xfId="0" applyNumberFormat="1" applyFont="1" applyFill="1" applyBorder="1"/>
    <xf numFmtId="8" fontId="1" fillId="0" borderId="0" xfId="0" applyNumberFormat="1" applyFont="1" applyFill="1" applyBorder="1" applyAlignment="1">
      <alignment horizontal="center"/>
    </xf>
    <xf numFmtId="0" fontId="63" fillId="0" borderId="0" xfId="0" applyFont="1" applyFill="1"/>
    <xf numFmtId="0" fontId="0" fillId="0" borderId="0" xfId="0" applyFont="1" applyFill="1" applyBorder="1" applyAlignment="1">
      <alignment horizontal="right"/>
    </xf>
    <xf numFmtId="234" fontId="0" fillId="0" borderId="0" xfId="0" applyNumberFormat="1" applyFont="1" applyFill="1"/>
    <xf numFmtId="0" fontId="0" fillId="0" borderId="33" xfId="0" applyFont="1" applyBorder="1"/>
    <xf numFmtId="0" fontId="1" fillId="0" borderId="0" xfId="0" applyFont="1" applyBorder="1"/>
    <xf numFmtId="0" fontId="1" fillId="0" borderId="0" xfId="0" applyFont="1"/>
    <xf numFmtId="8" fontId="2" fillId="0" borderId="0" xfId="0" applyNumberFormat="1" applyFont="1"/>
    <xf numFmtId="241" fontId="0" fillId="0" borderId="0" xfId="0" applyNumberFormat="1"/>
    <xf numFmtId="1" fontId="0" fillId="0" borderId="0" xfId="0" applyNumberFormat="1"/>
    <xf numFmtId="2" fontId="0" fillId="0" borderId="0" xfId="0" applyNumberFormat="1"/>
    <xf numFmtId="9" fontId="0" fillId="0" borderId="0" xfId="0" applyNumberFormat="1"/>
    <xf numFmtId="200" fontId="0" fillId="37" borderId="0" xfId="0" applyNumberFormat="1" applyFont="1" applyFill="1" applyBorder="1"/>
    <xf numFmtId="37" fontId="63" fillId="37" borderId="48" xfId="0" applyNumberFormat="1" applyFont="1" applyFill="1" applyBorder="1"/>
    <xf numFmtId="0" fontId="63" fillId="0" borderId="20" xfId="0" applyFont="1" applyBorder="1"/>
    <xf numFmtId="235" fontId="63" fillId="0" borderId="43" xfId="0" applyNumberFormat="1" applyFont="1" applyBorder="1"/>
    <xf numFmtId="164" fontId="0" fillId="0" borderId="38" xfId="0" applyNumberFormat="1" applyFont="1" applyFill="1" applyBorder="1" applyAlignment="1">
      <alignment horizontal="center"/>
    </xf>
    <xf numFmtId="37" fontId="1" fillId="37" borderId="23" xfId="0" applyNumberFormat="1" applyFont="1" applyFill="1" applyBorder="1" applyAlignment="1"/>
    <xf numFmtId="37" fontId="60" fillId="37" borderId="23" xfId="0" applyNumberFormat="1" applyFont="1" applyFill="1" applyBorder="1"/>
    <xf numFmtId="242" fontId="63" fillId="0" borderId="49" xfId="0" applyNumberFormat="1" applyFont="1" applyBorder="1"/>
    <xf numFmtId="0" fontId="0" fillId="0" borderId="0" xfId="0" applyNumberFormat="1" applyFont="1" applyFill="1"/>
    <xf numFmtId="0" fontId="2" fillId="0" borderId="0" xfId="0" applyNumberFormat="1" applyFont="1" applyFill="1" applyBorder="1"/>
    <xf numFmtId="234" fontId="2" fillId="0" borderId="0" xfId="0" applyNumberFormat="1" applyFont="1" applyFill="1" applyBorder="1"/>
    <xf numFmtId="3" fontId="0" fillId="0" borderId="0" xfId="0" applyNumberFormat="1" applyFont="1" applyFill="1"/>
    <xf numFmtId="10" fontId="1" fillId="0" borderId="0" xfId="0" applyNumberFormat="1" applyFont="1" applyFill="1" applyBorder="1"/>
    <xf numFmtId="10" fontId="1" fillId="0" borderId="0" xfId="0" applyNumberFormat="1" applyFont="1" applyFill="1"/>
    <xf numFmtId="14" fontId="65" fillId="0" borderId="5" xfId="0" applyNumberFormat="1" applyFont="1" applyBorder="1"/>
    <xf numFmtId="221" fontId="60" fillId="0" borderId="49" xfId="0" applyNumberFormat="1" applyFont="1" applyFill="1" applyBorder="1"/>
    <xf numFmtId="0" fontId="0" fillId="0" borderId="5" xfId="0" applyFont="1" applyFill="1" applyBorder="1"/>
    <xf numFmtId="0" fontId="0" fillId="0" borderId="49" xfId="0" applyFont="1" applyFill="1" applyBorder="1"/>
    <xf numFmtId="221" fontId="63" fillId="0" borderId="49" xfId="0" applyNumberFormat="1" applyFont="1" applyFill="1" applyBorder="1"/>
    <xf numFmtId="223" fontId="65" fillId="0" borderId="5" xfId="0" applyNumberFormat="1" applyFont="1" applyFill="1" applyBorder="1"/>
    <xf numFmtId="242" fontId="63" fillId="0" borderId="0" xfId="0" applyNumberFormat="1" applyFont="1" applyBorder="1"/>
    <xf numFmtId="242" fontId="63" fillId="0" borderId="0" xfId="0" applyNumberFormat="1" applyFont="1" applyFill="1" applyBorder="1"/>
    <xf numFmtId="0" fontId="0" fillId="0" borderId="0" xfId="0" applyNumberFormat="1" applyFill="1"/>
    <xf numFmtId="0" fontId="63" fillId="0" borderId="0" xfId="0" applyNumberFormat="1" applyFont="1" applyFill="1"/>
    <xf numFmtId="0" fontId="2" fillId="0" borderId="0" xfId="0" applyNumberFormat="1" applyFont="1" applyFill="1"/>
    <xf numFmtId="0" fontId="0" fillId="0" borderId="0" xfId="0" applyFill="1" applyAlignment="1">
      <alignment horizontal="centerContinuous"/>
    </xf>
    <xf numFmtId="234" fontId="1" fillId="37" borderId="0" xfId="0" applyNumberFormat="1" applyFont="1" applyFill="1" applyBorder="1"/>
    <xf numFmtId="244" fontId="18" fillId="0" borderId="0" xfId="0" applyNumberFormat="1" applyFont="1" applyAlignment="1">
      <alignment horizontal="right"/>
    </xf>
    <xf numFmtId="37" fontId="83" fillId="37" borderId="0" xfId="0" applyNumberFormat="1" applyFont="1" applyFill="1" applyBorder="1"/>
    <xf numFmtId="37" fontId="88" fillId="37" borderId="0" xfId="0" applyNumberFormat="1" applyFont="1" applyFill="1" applyBorder="1"/>
    <xf numFmtId="234" fontId="95" fillId="37" borderId="0" xfId="0" applyNumberFormat="1" applyFont="1" applyFill="1" applyBorder="1"/>
    <xf numFmtId="37" fontId="95" fillId="37" borderId="0" xfId="0" applyNumberFormat="1" applyFont="1" applyFill="1" applyBorder="1"/>
    <xf numFmtId="37" fontId="83" fillId="39" borderId="0" xfId="0" applyNumberFormat="1" applyFont="1" applyFill="1"/>
    <xf numFmtId="37" fontId="91" fillId="0" borderId="29" xfId="0" applyNumberFormat="1" applyFont="1" applyBorder="1"/>
    <xf numFmtId="37" fontId="83" fillId="0" borderId="0" xfId="0" applyNumberFormat="1" applyFont="1" applyBorder="1"/>
    <xf numFmtId="37" fontId="88" fillId="0" borderId="0" xfId="0" applyNumberFormat="1" applyFont="1" applyBorder="1"/>
    <xf numFmtId="0" fontId="0" fillId="0" borderId="50" xfId="0" applyBorder="1"/>
  </cellXfs>
  <cellStyles count="209">
    <cellStyle name="$" xfId="1" xr:uid="{00000000-0005-0000-0000-000000000000}"/>
    <cellStyle name="$m" xfId="2" xr:uid="{00000000-0005-0000-0000-000001000000}"/>
    <cellStyle name="$q" xfId="3" xr:uid="{00000000-0005-0000-0000-000002000000}"/>
    <cellStyle name="$q*" xfId="4" xr:uid="{00000000-0005-0000-0000-000003000000}"/>
    <cellStyle name="$qA" xfId="5" xr:uid="{00000000-0005-0000-0000-000004000000}"/>
    <cellStyle name="$qRange" xfId="6" xr:uid="{00000000-0005-0000-0000-000005000000}"/>
    <cellStyle name="%" xfId="7" xr:uid="{00000000-0005-0000-0000-000006000000}"/>
    <cellStyle name="******************************************" xfId="8" xr:uid="{00000000-0005-0000-0000-000007000000}"/>
    <cellStyle name="10Q" xfId="184" xr:uid="{00000000-0005-0000-0000-000008000000}"/>
    <cellStyle name="2 Decimal Places_MA Software Comps - List_AccretionDilution OTGS v16.xls Chart 1" xfId="9" xr:uid="{00000000-0005-0000-0000-000009000000}"/>
    <cellStyle name="20% - Accent1 2" xfId="10" xr:uid="{00000000-0005-0000-0000-00000A000000}"/>
    <cellStyle name="20% - Accent2 2" xfId="11" xr:uid="{00000000-0005-0000-0000-00000B000000}"/>
    <cellStyle name="20% - Accent3 2" xfId="12" xr:uid="{00000000-0005-0000-0000-00000C000000}"/>
    <cellStyle name="20% - Accent4 2" xfId="13" xr:uid="{00000000-0005-0000-0000-00000D000000}"/>
    <cellStyle name="20% - Accent5 2" xfId="14" xr:uid="{00000000-0005-0000-0000-00000E000000}"/>
    <cellStyle name="20% - Accent6 2" xfId="15" xr:uid="{00000000-0005-0000-0000-00000F000000}"/>
    <cellStyle name="40% - Accent1 2" xfId="16" xr:uid="{00000000-0005-0000-0000-000010000000}"/>
    <cellStyle name="40% - Accent2 2" xfId="17" xr:uid="{00000000-0005-0000-0000-000011000000}"/>
    <cellStyle name="40% - Accent3 2" xfId="18" xr:uid="{00000000-0005-0000-0000-000012000000}"/>
    <cellStyle name="40% - Accent4 2" xfId="19" xr:uid="{00000000-0005-0000-0000-000013000000}"/>
    <cellStyle name="40% - Accent5 2" xfId="20" xr:uid="{00000000-0005-0000-0000-000014000000}"/>
    <cellStyle name="40% - Accent6 2" xfId="21" xr:uid="{00000000-0005-0000-0000-000015000000}"/>
    <cellStyle name="60% - Accent1 2" xfId="22" xr:uid="{00000000-0005-0000-0000-000016000000}"/>
    <cellStyle name="60% - Accent2 2" xfId="23" xr:uid="{00000000-0005-0000-0000-000017000000}"/>
    <cellStyle name="60% - Accent3 2" xfId="24" xr:uid="{00000000-0005-0000-0000-000018000000}"/>
    <cellStyle name="60% - Accent4 2" xfId="25" xr:uid="{00000000-0005-0000-0000-000019000000}"/>
    <cellStyle name="60% - Accent5 2" xfId="26" xr:uid="{00000000-0005-0000-0000-00001A000000}"/>
    <cellStyle name="60% - Accent6 2" xfId="27" xr:uid="{00000000-0005-0000-0000-00001B000000}"/>
    <cellStyle name="Accent1 2" xfId="28" xr:uid="{00000000-0005-0000-0000-00001C000000}"/>
    <cellStyle name="Accent2 2" xfId="29" xr:uid="{00000000-0005-0000-0000-00001D000000}"/>
    <cellStyle name="Accent3 2" xfId="30" xr:uid="{00000000-0005-0000-0000-00001E000000}"/>
    <cellStyle name="Accent4 2" xfId="31" xr:uid="{00000000-0005-0000-0000-00001F000000}"/>
    <cellStyle name="Accent5 2" xfId="32" xr:uid="{00000000-0005-0000-0000-000020000000}"/>
    <cellStyle name="Accent6 2" xfId="33" xr:uid="{00000000-0005-0000-0000-000021000000}"/>
    <cellStyle name="AFE" xfId="34" xr:uid="{00000000-0005-0000-0000-000022000000}"/>
    <cellStyle name="Bad 2" xfId="35" xr:uid="{00000000-0005-0000-0000-000023000000}"/>
    <cellStyle name="Balance" xfId="36" xr:uid="{00000000-0005-0000-0000-000024000000}"/>
    <cellStyle name="BalanceSheet" xfId="37" xr:uid="{00000000-0005-0000-0000-000025000000}"/>
    <cellStyle name="Body_$Numeric" xfId="38" xr:uid="{00000000-0005-0000-0000-000026000000}"/>
    <cellStyle name="Bold Header" xfId="39" xr:uid="{00000000-0005-0000-0000-000027000000}"/>
    <cellStyle name="Calculation 2" xfId="40" xr:uid="{00000000-0005-0000-0000-000028000000}"/>
    <cellStyle name="CashFlow" xfId="41" xr:uid="{00000000-0005-0000-0000-000029000000}"/>
    <cellStyle name="ChartingText" xfId="185" xr:uid="{00000000-0005-0000-0000-00002A000000}"/>
    <cellStyle name="Check" xfId="42" xr:uid="{00000000-0005-0000-0000-00002B000000}"/>
    <cellStyle name="Check Cell 2" xfId="43" xr:uid="{00000000-0005-0000-0000-00002C000000}"/>
    <cellStyle name="CHPTop" xfId="186" xr:uid="{00000000-0005-0000-0000-00002D000000}"/>
    <cellStyle name="ColHeading" xfId="44" xr:uid="{00000000-0005-0000-0000-00002E000000}"/>
    <cellStyle name="colheadleft" xfId="45" xr:uid="{00000000-0005-0000-0000-00002F000000}"/>
    <cellStyle name="colheadright" xfId="46" xr:uid="{00000000-0005-0000-0000-000030000000}"/>
    <cellStyle name="ColumnHeaderNormal" xfId="187" xr:uid="{00000000-0005-0000-0000-000031000000}"/>
    <cellStyle name="Comma 2" xfId="47" xr:uid="{00000000-0005-0000-0000-000032000000}"/>
    <cellStyle name="Comma0" xfId="48" xr:uid="{00000000-0005-0000-0000-000033000000}"/>
    <cellStyle name="Comma2" xfId="49" xr:uid="{00000000-0005-0000-0000-000034000000}"/>
    <cellStyle name="Company" xfId="50" xr:uid="{00000000-0005-0000-0000-000035000000}"/>
    <cellStyle name="CurRatio" xfId="51" xr:uid="{00000000-0005-0000-0000-000036000000}"/>
    <cellStyle name="Currency--" xfId="188" xr:uid="{00000000-0005-0000-0000-000037000000}"/>
    <cellStyle name="Currency [1]" xfId="52" xr:uid="{00000000-0005-0000-0000-000038000000}"/>
    <cellStyle name="Currency [2]" xfId="53" xr:uid="{00000000-0005-0000-0000-000039000000}"/>
    <cellStyle name="Currency0" xfId="54" xr:uid="{00000000-0005-0000-0000-00003A000000}"/>
    <cellStyle name="Currency2" xfId="55" xr:uid="{00000000-0005-0000-0000-00003B000000}"/>
    <cellStyle name="d_yield" xfId="56" xr:uid="{00000000-0005-0000-0000-00003C000000}"/>
    <cellStyle name="d_yield_CW's MAKER MODEL" xfId="57" xr:uid="{00000000-0005-0000-0000-00003D000000}"/>
    <cellStyle name="d_yield_valuation" xfId="58" xr:uid="{00000000-0005-0000-0000-00003E000000}"/>
    <cellStyle name="Date [d-mmm-yy]" xfId="59" xr:uid="{00000000-0005-0000-0000-00003F000000}"/>
    <cellStyle name="Date [mm-dd-yy]" xfId="189" xr:uid="{00000000-0005-0000-0000-000040000000}"/>
    <cellStyle name="Date [mm-dd-yyyy]" xfId="190" xr:uid="{00000000-0005-0000-0000-000041000000}"/>
    <cellStyle name="Date [mm-d-yyyy]" xfId="191" xr:uid="{00000000-0005-0000-0000-000042000000}"/>
    <cellStyle name="Date [mmm-d-yyyy]" xfId="60" xr:uid="{00000000-0005-0000-0000-000043000000}"/>
    <cellStyle name="Date [mmm-yyyy]" xfId="61" xr:uid="{00000000-0005-0000-0000-000044000000}"/>
    <cellStyle name="Dates" xfId="62" xr:uid="{00000000-0005-0000-0000-000045000000}"/>
    <cellStyle name="DateYear" xfId="63" xr:uid="{00000000-0005-0000-0000-000046000000}"/>
    <cellStyle name="Dezimal_Capital expenditure planning FY 2000" xfId="64" xr:uid="{00000000-0005-0000-0000-000047000000}"/>
    <cellStyle name="Dollar" xfId="65" xr:uid="{00000000-0005-0000-0000-000048000000}"/>
    <cellStyle name="Dollars" xfId="66" xr:uid="{00000000-0005-0000-0000-000049000000}"/>
    <cellStyle name="DollarWhole" xfId="67" xr:uid="{00000000-0005-0000-0000-00004A000000}"/>
    <cellStyle name="eps" xfId="68" xr:uid="{00000000-0005-0000-0000-00004B000000}"/>
    <cellStyle name="eps$" xfId="69" xr:uid="{00000000-0005-0000-0000-00004C000000}"/>
    <cellStyle name="eps$A" xfId="70" xr:uid="{00000000-0005-0000-0000-00004D000000}"/>
    <cellStyle name="eps$E" xfId="71" xr:uid="{00000000-0005-0000-0000-00004E000000}"/>
    <cellStyle name="epsA" xfId="72" xr:uid="{00000000-0005-0000-0000-00004F000000}"/>
    <cellStyle name="EPSActual" xfId="73" xr:uid="{00000000-0005-0000-0000-000050000000}"/>
    <cellStyle name="epsE" xfId="74" xr:uid="{00000000-0005-0000-0000-000051000000}"/>
    <cellStyle name="EPSEstimate" xfId="75" xr:uid="{00000000-0005-0000-0000-000052000000}"/>
    <cellStyle name="Euro" xfId="76" xr:uid="{00000000-0005-0000-0000-000053000000}"/>
    <cellStyle name="Explanatory Text 2" xfId="77" xr:uid="{00000000-0005-0000-0000-000054000000}"/>
    <cellStyle name="fy_eps$" xfId="78" xr:uid="{00000000-0005-0000-0000-000055000000}"/>
    <cellStyle name="g_rate" xfId="79" xr:uid="{00000000-0005-0000-0000-000056000000}"/>
    <cellStyle name="g_rate_CW's MAKER MODEL" xfId="80" xr:uid="{00000000-0005-0000-0000-000057000000}"/>
    <cellStyle name="g_rate_valuation" xfId="81" xr:uid="{00000000-0005-0000-0000-000058000000}"/>
    <cellStyle name="General" xfId="82" xr:uid="{00000000-0005-0000-0000-000059000000}"/>
    <cellStyle name="Good 2" xfId="83" xr:uid="{00000000-0005-0000-0000-00005A000000}"/>
    <cellStyle name="GrowthRate" xfId="84" xr:uid="{00000000-0005-0000-0000-00005B000000}"/>
    <cellStyle name="GrowthSeq" xfId="85" xr:uid="{00000000-0005-0000-0000-00005C000000}"/>
    <cellStyle name="Hard Number Input" xfId="86" xr:uid="{00000000-0005-0000-0000-00005D000000}"/>
    <cellStyle name="Heading 1 2" xfId="87" xr:uid="{00000000-0005-0000-0000-00005E000000}"/>
    <cellStyle name="Heading 2 2" xfId="88" xr:uid="{00000000-0005-0000-0000-00005F000000}"/>
    <cellStyle name="Heading 3 2" xfId="89" xr:uid="{00000000-0005-0000-0000-000060000000}"/>
    <cellStyle name="Heading 4 2" xfId="90" xr:uid="{00000000-0005-0000-0000-000061000000}"/>
    <cellStyle name="Historical Number" xfId="91" xr:uid="{00000000-0005-0000-0000-000062000000}"/>
    <cellStyle name="iemens" xfId="92" xr:uid="{00000000-0005-0000-0000-000064000000}"/>
    <cellStyle name="Income" xfId="93" xr:uid="{00000000-0005-0000-0000-000065000000}"/>
    <cellStyle name="IncomeStatement" xfId="94" xr:uid="{00000000-0005-0000-0000-000066000000}"/>
    <cellStyle name="Input 2" xfId="95" xr:uid="{00000000-0005-0000-0000-000067000000}"/>
    <cellStyle name="Input Fixed [0]" xfId="96" xr:uid="{00000000-0005-0000-0000-000068000000}"/>
    <cellStyle name="Integer" xfId="97" xr:uid="{00000000-0005-0000-0000-000069000000}"/>
    <cellStyle name="Inverse Header" xfId="98" xr:uid="{00000000-0005-0000-0000-00006A000000}"/>
    <cellStyle name="Invisible" xfId="192" xr:uid="{00000000-0005-0000-0000-00006B000000}"/>
    <cellStyle name="Item" xfId="99" xr:uid="{00000000-0005-0000-0000-00006C000000}"/>
    <cellStyle name="ItemTypeClass" xfId="100" xr:uid="{00000000-0005-0000-0000-00006D000000}"/>
    <cellStyle name="Linked Cell 2" xfId="101" xr:uid="{00000000-0005-0000-0000-00006E000000}"/>
    <cellStyle name="LTGR" xfId="102" xr:uid="{00000000-0005-0000-0000-00006F000000}"/>
    <cellStyle name="m" xfId="103" xr:uid="{00000000-0005-0000-0000-000070000000}"/>
    <cellStyle name="m$" xfId="104" xr:uid="{00000000-0005-0000-0000-000071000000}"/>
    <cellStyle name="m/d/yy" xfId="193" xr:uid="{00000000-0005-0000-0000-000072000000}"/>
    <cellStyle name="m_CW's MAKER MODEL" xfId="105" xr:uid="{00000000-0005-0000-0000-000073000000}"/>
    <cellStyle name="m_valuation" xfId="106" xr:uid="{00000000-0005-0000-0000-000074000000}"/>
    <cellStyle name="Margin" xfId="107" xr:uid="{00000000-0005-0000-0000-000075000000}"/>
    <cellStyle name="Margins" xfId="108" xr:uid="{00000000-0005-0000-0000-000076000000}"/>
    <cellStyle name="mm" xfId="109" xr:uid="{00000000-0005-0000-0000-000077000000}"/>
    <cellStyle name="Multiple" xfId="110" xr:uid="{00000000-0005-0000-0000-000078000000}"/>
    <cellStyle name="MyStyle" xfId="194" xr:uid="{00000000-0005-0000-0000-000079000000}"/>
    <cellStyle name="NA is zero" xfId="111" xr:uid="{00000000-0005-0000-0000-00007A000000}"/>
    <cellStyle name="Neutral 2" xfId="112" xr:uid="{00000000-0005-0000-0000-00007B000000}"/>
    <cellStyle name="NewColumnHeaderNormal" xfId="195" xr:uid="{00000000-0005-0000-0000-00007C000000}"/>
    <cellStyle name="NewSectionHeaderNormal" xfId="196" xr:uid="{00000000-0005-0000-0000-00007D000000}"/>
    <cellStyle name="NewTitleNormal" xfId="197" xr:uid="{00000000-0005-0000-0000-00007E000000}"/>
    <cellStyle name="Normal" xfId="0" builtinId="0"/>
    <cellStyle name="Normal--" xfId="198" xr:uid="{00000000-0005-0000-0000-000080000000}"/>
    <cellStyle name="Normal [0]" xfId="113" xr:uid="{00000000-0005-0000-0000-000081000000}"/>
    <cellStyle name="Normal [1]" xfId="114" xr:uid="{00000000-0005-0000-0000-000082000000}"/>
    <cellStyle name="Normal [2]" xfId="115" xr:uid="{00000000-0005-0000-0000-000083000000}"/>
    <cellStyle name="Normal [3]" xfId="116" xr:uid="{00000000-0005-0000-0000-000084000000}"/>
    <cellStyle name="Normal 2" xfId="117" xr:uid="{00000000-0005-0000-0000-000085000000}"/>
    <cellStyle name="Normal Bold" xfId="118" xr:uid="{00000000-0005-0000-0000-000086000000}"/>
    <cellStyle name="Normal Pct" xfId="119" xr:uid="{00000000-0005-0000-0000-000087000000}"/>
    <cellStyle name="NormalX" xfId="120" xr:uid="{00000000-0005-0000-0000-000088000000}"/>
    <cellStyle name="Note 2" xfId="121" xr:uid="{00000000-0005-0000-0000-000089000000}"/>
    <cellStyle name="NPPESalesPct" xfId="122" xr:uid="{00000000-0005-0000-0000-00008A000000}"/>
    <cellStyle name="Number" xfId="123" xr:uid="{00000000-0005-0000-0000-00008B000000}"/>
    <cellStyle name="NWI%S" xfId="124" xr:uid="{00000000-0005-0000-0000-00008C000000}"/>
    <cellStyle name="Output 2" xfId="125" xr:uid="{00000000-0005-0000-0000-00008D000000}"/>
    <cellStyle name="P/E" xfId="126" xr:uid="{00000000-0005-0000-0000-00008E000000}"/>
    <cellStyle name="Palatino" xfId="127" xr:uid="{00000000-0005-0000-0000-00008F000000}"/>
    <cellStyle name="pc1" xfId="128" xr:uid="{00000000-0005-0000-0000-000090000000}"/>
    <cellStyle name="pe" xfId="129" xr:uid="{00000000-0005-0000-0000-000091000000}"/>
    <cellStyle name="PE/LTGR" xfId="130" xr:uid="{00000000-0005-0000-0000-000092000000}"/>
    <cellStyle name="PEG" xfId="131" xr:uid="{00000000-0005-0000-0000-000093000000}"/>
    <cellStyle name="Percent [0]" xfId="132" xr:uid="{00000000-0005-0000-0000-000094000000}"/>
    <cellStyle name="Percent [1]" xfId="133" xr:uid="{00000000-0005-0000-0000-000095000000}"/>
    <cellStyle name="Percent [2]" xfId="134" xr:uid="{00000000-0005-0000-0000-000096000000}"/>
    <cellStyle name="PercentChange" xfId="135" xr:uid="{00000000-0005-0000-0000-000097000000}"/>
    <cellStyle name="PercentPresentation" xfId="136" xr:uid="{00000000-0005-0000-0000-000098000000}"/>
    <cellStyle name="PerShare" xfId="137" xr:uid="{00000000-0005-0000-0000-000099000000}"/>
    <cellStyle name="POPS" xfId="138" xr:uid="{00000000-0005-0000-0000-00009A000000}"/>
    <cellStyle name="Presentation" xfId="139" xr:uid="{00000000-0005-0000-0000-00009B000000}"/>
    <cellStyle name="PresentationZero" xfId="140" xr:uid="{00000000-0005-0000-0000-00009C000000}"/>
    <cellStyle name="price" xfId="141" xr:uid="{00000000-0005-0000-0000-00009D000000}"/>
    <cellStyle name="q" xfId="142" xr:uid="{00000000-0005-0000-0000-00009E000000}"/>
    <cellStyle name="q_CW's MAKER MODEL" xfId="143" xr:uid="{00000000-0005-0000-0000-00009F000000}"/>
    <cellStyle name="QEPS-h" xfId="144" xr:uid="{00000000-0005-0000-0000-0000A0000000}"/>
    <cellStyle name="QEPS-H1" xfId="145" xr:uid="{00000000-0005-0000-0000-0000A1000000}"/>
    <cellStyle name="qRange" xfId="146" xr:uid="{00000000-0005-0000-0000-0000A2000000}"/>
    <cellStyle name="range" xfId="147" xr:uid="{00000000-0005-0000-0000-0000A3000000}"/>
    <cellStyle name="RatioX" xfId="148" xr:uid="{00000000-0005-0000-0000-0000A4000000}"/>
    <cellStyle name="Red font" xfId="199" xr:uid="{00000000-0005-0000-0000-0000A5000000}"/>
    <cellStyle name="Report" xfId="149" xr:uid="{00000000-0005-0000-0000-0000A6000000}"/>
    <cellStyle name="Right" xfId="150" xr:uid="{00000000-0005-0000-0000-0000A7000000}"/>
    <cellStyle name="SectionHeaderNormal" xfId="200" xr:uid="{00000000-0005-0000-0000-0000A8000000}"/>
    <cellStyle name="SectionHeading" xfId="151" xr:uid="{00000000-0005-0000-0000-0000A9000000}"/>
    <cellStyle name="Shares" xfId="152" xr:uid="{00000000-0005-0000-0000-0000AA000000}"/>
    <cellStyle name="StockPrice" xfId="153" xr:uid="{00000000-0005-0000-0000-0000AB000000}"/>
    <cellStyle name="Style 1" xfId="154" xr:uid="{00000000-0005-0000-0000-0000AC000000}"/>
    <cellStyle name="Style 21" xfId="155" xr:uid="{00000000-0005-0000-0000-0000AD000000}"/>
    <cellStyle name="Style 22" xfId="156" xr:uid="{00000000-0005-0000-0000-0000AE000000}"/>
    <cellStyle name="Style 23" xfId="157" xr:uid="{00000000-0005-0000-0000-0000AF000000}"/>
    <cellStyle name="Style 24" xfId="158" xr:uid="{00000000-0005-0000-0000-0000B0000000}"/>
    <cellStyle name="Style 26" xfId="159" xr:uid="{00000000-0005-0000-0000-0000B1000000}"/>
    <cellStyle name="Style 27" xfId="160" xr:uid="{00000000-0005-0000-0000-0000B2000000}"/>
    <cellStyle name="Style 34" xfId="161" xr:uid="{00000000-0005-0000-0000-0000B3000000}"/>
    <cellStyle name="Style 37" xfId="162" xr:uid="{00000000-0005-0000-0000-0000B4000000}"/>
    <cellStyle name="Style 63" xfId="163" xr:uid="{00000000-0005-0000-0000-0000B5000000}"/>
    <cellStyle name="SubDollar" xfId="164" xr:uid="{00000000-0005-0000-0000-0000B6000000}"/>
    <cellStyle name="SubGrowth" xfId="165" xr:uid="{00000000-0005-0000-0000-0000B7000000}"/>
    <cellStyle name="SubGrowthRate" xfId="166" xr:uid="{00000000-0005-0000-0000-0000B8000000}"/>
    <cellStyle name="SubMargins" xfId="167" xr:uid="{00000000-0005-0000-0000-0000B9000000}"/>
    <cellStyle name="SubPenetration" xfId="168" xr:uid="{00000000-0005-0000-0000-0000BA000000}"/>
    <cellStyle name="Subscribers" xfId="169" xr:uid="{00000000-0005-0000-0000-0000BB000000}"/>
    <cellStyle name="SubScript" xfId="201" xr:uid="{00000000-0005-0000-0000-0000BC000000}"/>
    <cellStyle name="SubVariable" xfId="170" xr:uid="{00000000-0005-0000-0000-0000BD000000}"/>
    <cellStyle name="SuperScript" xfId="202" xr:uid="{00000000-0005-0000-0000-0000BE000000}"/>
    <cellStyle name="tcn" xfId="171" xr:uid="{00000000-0005-0000-0000-0000BF000000}"/>
    <cellStyle name="TextBold" xfId="203" xr:uid="{00000000-0005-0000-0000-0000C0000000}"/>
    <cellStyle name="TextItalic" xfId="204" xr:uid="{00000000-0005-0000-0000-0000C1000000}"/>
    <cellStyle name="TextNormal" xfId="205" xr:uid="{00000000-0005-0000-0000-0000C2000000}"/>
    <cellStyle name="Times" xfId="206" xr:uid="{00000000-0005-0000-0000-0000C3000000}"/>
    <cellStyle name="Times [1]" xfId="172" xr:uid="{00000000-0005-0000-0000-0000C4000000}"/>
    <cellStyle name="Times [2]" xfId="173" xr:uid="{00000000-0005-0000-0000-0000C5000000}"/>
    <cellStyle name="Title 2" xfId="174" xr:uid="{00000000-0005-0000-0000-0000C6000000}"/>
    <cellStyle name="title2" xfId="175" xr:uid="{00000000-0005-0000-0000-0000C7000000}"/>
    <cellStyle name="TitleII" xfId="176" xr:uid="{00000000-0005-0000-0000-0000C8000000}"/>
    <cellStyle name="TitleNormal" xfId="207" xr:uid="{00000000-0005-0000-0000-0000C9000000}"/>
    <cellStyle name="Titles" xfId="177" xr:uid="{00000000-0005-0000-0000-0000CA000000}"/>
    <cellStyle name="TitleSub" xfId="178" xr:uid="{00000000-0005-0000-0000-0000CB000000}"/>
    <cellStyle name="tn" xfId="179" xr:uid="{00000000-0005-0000-0000-0000CC000000}"/>
    <cellStyle name="Total 2" xfId="180" xr:uid="{00000000-0005-0000-0000-0000CD000000}"/>
    <cellStyle name="Warning Text 2" xfId="181" xr:uid="{00000000-0005-0000-0000-0000CE000000}"/>
    <cellStyle name="WholeNumber" xfId="182" xr:uid="{00000000-0005-0000-0000-0000CF000000}"/>
    <cellStyle name="Year&quot;E&quot;" xfId="183" xr:uid="{00000000-0005-0000-0000-0000D0000000}"/>
    <cellStyle name="Years" xfId="208" xr:uid="{00000000-0005-0000-0000-0000D1000000}"/>
  </cellStyles>
  <dxfs count="29">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s>
  <tableStyles count="0" defaultTableStyle="TableStyleMedium2" defaultPivotStyle="PivotStyleLight16"/>
  <colors>
    <mruColors>
      <color rgb="FF0000FF"/>
      <color rgb="FF008000"/>
      <color rgb="FFFFFF99"/>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3B52B-7575-45E6-8A2F-DC16607EC912}">
  <sheetPr>
    <pageSetUpPr fitToPage="1"/>
  </sheetPr>
  <dimension ref="C1:O81"/>
  <sheetViews>
    <sheetView topLeftCell="A39" zoomScaleNormal="100" workbookViewId="0">
      <selection activeCell="G76" sqref="G76"/>
    </sheetView>
  </sheetViews>
  <sheetFormatPr defaultColWidth="8.85546875" defaultRowHeight="15"/>
  <cols>
    <col min="1" max="2" width="1.7109375" style="5" customWidth="1"/>
    <col min="3" max="3" width="48" style="5" customWidth="1"/>
    <col min="4" max="4" width="12" style="5" customWidth="1"/>
    <col min="5" max="6" width="11.42578125" style="5" customWidth="1"/>
    <col min="7" max="7" width="2.28515625" style="5" customWidth="1"/>
    <col min="8" max="8" width="11.42578125" style="5" customWidth="1"/>
    <col min="9" max="9" width="26.140625" style="5" bestFit="1" customWidth="1"/>
    <col min="10" max="10" width="10.28515625" style="5" bestFit="1" customWidth="1"/>
    <col min="11" max="11" width="19.5703125" style="5" bestFit="1" customWidth="1"/>
    <col min="12" max="14" width="15.7109375" style="5" customWidth="1"/>
    <col min="15" max="16384" width="8.85546875" style="5"/>
  </cols>
  <sheetData>
    <row r="1" spans="3:15" ht="15.75" thickBot="1"/>
    <row r="2" spans="3:15" ht="15.75" thickBot="1">
      <c r="C2" s="96" t="str">
        <f>"Financial Statement Model for "&amp;D5</f>
        <v xml:space="preserve">Financial Statement Model for Qualcomm </v>
      </c>
      <c r="D2" s="79"/>
      <c r="E2" s="79"/>
      <c r="F2" s="79"/>
      <c r="H2" s="87"/>
    </row>
    <row r="3" spans="3:15">
      <c r="C3" s="2" t="s">
        <v>338</v>
      </c>
      <c r="D3" s="64"/>
      <c r="E3" s="64"/>
      <c r="F3" s="64"/>
    </row>
    <row r="4" spans="3:15">
      <c r="J4" s="6"/>
      <c r="K4" s="6"/>
    </row>
    <row r="5" spans="3:15">
      <c r="C5" s="1" t="s">
        <v>5</v>
      </c>
      <c r="D5" s="112" t="s">
        <v>331</v>
      </c>
      <c r="F5"/>
      <c r="J5" s="6"/>
      <c r="K5" s="6"/>
    </row>
    <row r="6" spans="3:15">
      <c r="C6" s="1" t="s">
        <v>6</v>
      </c>
      <c r="D6" s="112" t="s">
        <v>330</v>
      </c>
      <c r="F6"/>
      <c r="J6" s="6"/>
      <c r="K6" s="6"/>
    </row>
    <row r="7" spans="3:15">
      <c r="C7" s="5" t="s">
        <v>109</v>
      </c>
      <c r="D7" s="113">
        <v>1</v>
      </c>
      <c r="F7"/>
      <c r="I7"/>
      <c r="J7" s="6"/>
      <c r="K7" s="6"/>
    </row>
    <row r="8" spans="3:15">
      <c r="C8" s="5" t="s">
        <v>73</v>
      </c>
      <c r="D8" s="114"/>
      <c r="F8"/>
      <c r="J8" s="6"/>
      <c r="K8" s="6"/>
    </row>
    <row r="9" spans="3:15">
      <c r="C9" s="5" t="s">
        <v>9</v>
      </c>
      <c r="D9" s="115"/>
      <c r="F9"/>
      <c r="J9" s="6"/>
      <c r="K9" s="6"/>
    </row>
    <row r="10" spans="3:15">
      <c r="C10" s="1" t="s">
        <v>8</v>
      </c>
      <c r="D10" s="116">
        <v>44561</v>
      </c>
      <c r="J10" s="6"/>
      <c r="K10" s="6"/>
    </row>
    <row r="11" spans="3:15" ht="15" customHeight="1">
      <c r="C11" t="s">
        <v>292</v>
      </c>
      <c r="D11" s="130"/>
      <c r="H11"/>
      <c r="I11"/>
      <c r="J11"/>
      <c r="K11" s="6"/>
    </row>
    <row r="12" spans="3:15">
      <c r="H12"/>
      <c r="I12"/>
      <c r="J12"/>
      <c r="K12" s="524"/>
      <c r="L12" s="266"/>
    </row>
    <row r="13" spans="3:15">
      <c r="C13" s="7" t="s">
        <v>19</v>
      </c>
      <c r="D13" s="9"/>
      <c r="E13" s="9"/>
      <c r="F13" s="9"/>
      <c r="H13"/>
      <c r="I13"/>
      <c r="J13"/>
      <c r="K13" s="525"/>
      <c r="L13" s="1"/>
    </row>
    <row r="14" spans="3:15">
      <c r="C14" s="6" t="s">
        <v>10</v>
      </c>
      <c r="D14" s="10">
        <f>E14-1</f>
        <v>2019</v>
      </c>
      <c r="E14" s="10">
        <f>F14-1</f>
        <v>2020</v>
      </c>
      <c r="F14" s="10">
        <f>YEAR(D10)</f>
        <v>2021</v>
      </c>
      <c r="H14"/>
      <c r="I14"/>
      <c r="J14"/>
      <c r="K14" s="266"/>
      <c r="L14" s="266"/>
    </row>
    <row r="15" spans="3:15">
      <c r="C15" s="12" t="s">
        <v>7</v>
      </c>
      <c r="D15" s="89">
        <f>EOMONTH(E15,-12)</f>
        <v>43830</v>
      </c>
      <c r="E15" s="89">
        <f>EOMONTH(F15,-12)</f>
        <v>44196</v>
      </c>
      <c r="F15" s="89">
        <f>D10</f>
        <v>44561</v>
      </c>
      <c r="H15"/>
      <c r="I15"/>
      <c r="J15"/>
      <c r="K15" s="526"/>
      <c r="O15"/>
    </row>
    <row r="16" spans="3:15">
      <c r="C16" s="14"/>
      <c r="D16" s="15"/>
      <c r="E16" s="16"/>
      <c r="F16" s="16"/>
      <c r="H16"/>
      <c r="I16"/>
      <c r="J16"/>
      <c r="K16"/>
      <c r="L16"/>
      <c r="M16"/>
      <c r="N16"/>
      <c r="O16"/>
    </row>
    <row r="17" spans="3:14">
      <c r="C17" s="6" t="s">
        <v>11</v>
      </c>
      <c r="D17" s="417">
        <v>24273</v>
      </c>
      <c r="E17" s="417">
        <v>23531</v>
      </c>
      <c r="F17" s="417">
        <v>33566</v>
      </c>
      <c r="H17"/>
      <c r="I17"/>
      <c r="J17"/>
      <c r="L17"/>
      <c r="M17"/>
      <c r="N17"/>
    </row>
    <row r="18" spans="3:14" ht="15" customHeight="1">
      <c r="C18" s="6" t="s">
        <v>14</v>
      </c>
      <c r="D18" s="419">
        <v>-8599</v>
      </c>
      <c r="E18" s="419">
        <v>-9255</v>
      </c>
      <c r="F18" s="419">
        <v>-14262</v>
      </c>
      <c r="H18"/>
      <c r="I18"/>
      <c r="J18"/>
      <c r="L18"/>
      <c r="M18"/>
      <c r="N18"/>
    </row>
    <row r="19" spans="3:14" ht="15" customHeight="1">
      <c r="C19" s="19" t="s">
        <v>13</v>
      </c>
      <c r="D19" s="421">
        <f>D17+D18</f>
        <v>15674</v>
      </c>
      <c r="E19" s="421">
        <v>14276</v>
      </c>
      <c r="F19" s="421">
        <v>19304</v>
      </c>
      <c r="H19"/>
      <c r="I19"/>
      <c r="J19"/>
      <c r="L19"/>
      <c r="M19"/>
      <c r="N19"/>
    </row>
    <row r="20" spans="3:14" ht="15" customHeight="1">
      <c r="C20" s="21" t="s">
        <v>52</v>
      </c>
      <c r="D20" s="419">
        <v>-5398</v>
      </c>
      <c r="E20" s="419">
        <v>-5975</v>
      </c>
      <c r="F20" s="419">
        <v>-7176</v>
      </c>
      <c r="H20"/>
      <c r="I20"/>
      <c r="J20"/>
      <c r="L20"/>
      <c r="M20"/>
      <c r="N20"/>
    </row>
    <row r="21" spans="3:14" ht="15" customHeight="1">
      <c r="C21" s="21" t="s">
        <v>16</v>
      </c>
      <c r="D21" s="419">
        <f>-2195-414</f>
        <v>-2609</v>
      </c>
      <c r="E21" s="419">
        <v>-2046</v>
      </c>
      <c r="F21" s="419">
        <v>-2339</v>
      </c>
      <c r="H21"/>
      <c r="I21"/>
      <c r="J21"/>
      <c r="L21"/>
      <c r="M21"/>
      <c r="N21"/>
    </row>
    <row r="22" spans="3:14">
      <c r="C22" s="19" t="s">
        <v>3</v>
      </c>
      <c r="D22" s="142">
        <f>SUM(D19:D21)</f>
        <v>7667</v>
      </c>
      <c r="E22" s="142">
        <v>6255</v>
      </c>
      <c r="F22" s="142">
        <v>9789</v>
      </c>
      <c r="H22"/>
      <c r="I22"/>
      <c r="J22"/>
      <c r="L22"/>
      <c r="M22"/>
      <c r="N22"/>
    </row>
    <row r="23" spans="3:14">
      <c r="C23" s="6" t="s">
        <v>4</v>
      </c>
      <c r="D23" s="417">
        <v>0</v>
      </c>
      <c r="E23" s="417">
        <v>0</v>
      </c>
      <c r="F23" s="417">
        <v>0</v>
      </c>
      <c r="H23"/>
      <c r="I23"/>
      <c r="J23"/>
      <c r="L23"/>
      <c r="M23"/>
      <c r="N23"/>
    </row>
    <row r="24" spans="3:14">
      <c r="C24" s="6" t="s">
        <v>17</v>
      </c>
      <c r="D24" s="417">
        <v>-627</v>
      </c>
      <c r="E24" s="417">
        <v>-602</v>
      </c>
      <c r="F24" s="417">
        <v>-559</v>
      </c>
      <c r="H24"/>
      <c r="I24"/>
      <c r="J24"/>
      <c r="L24"/>
      <c r="M24"/>
      <c r="N24"/>
    </row>
    <row r="25" spans="3:14">
      <c r="C25" s="21" t="s">
        <v>53</v>
      </c>
      <c r="D25" s="417">
        <v>441</v>
      </c>
      <c r="E25" s="417">
        <v>66</v>
      </c>
      <c r="F25" s="417">
        <v>1044</v>
      </c>
      <c r="H25"/>
      <c r="I25"/>
      <c r="J25"/>
      <c r="L25"/>
      <c r="M25"/>
      <c r="N25"/>
    </row>
    <row r="26" spans="3:14">
      <c r="C26" s="19" t="s">
        <v>12</v>
      </c>
      <c r="D26" s="142">
        <f>SUM(D22:D25)</f>
        <v>7481</v>
      </c>
      <c r="E26" s="142">
        <v>5719</v>
      </c>
      <c r="F26" s="142">
        <v>10274</v>
      </c>
      <c r="H26"/>
      <c r="I26"/>
      <c r="J26"/>
      <c r="L26"/>
      <c r="M26"/>
      <c r="N26"/>
    </row>
    <row r="27" spans="3:14">
      <c r="C27" s="6" t="s">
        <v>15</v>
      </c>
      <c r="D27" s="417">
        <v>-3095</v>
      </c>
      <c r="E27" s="417">
        <v>-521</v>
      </c>
      <c r="F27" s="417">
        <v>-1231</v>
      </c>
      <c r="H27"/>
      <c r="I27"/>
      <c r="J27"/>
      <c r="L27"/>
      <c r="M27"/>
      <c r="N27"/>
    </row>
    <row r="28" spans="3:14">
      <c r="C28" s="19" t="s">
        <v>2</v>
      </c>
      <c r="D28" s="142">
        <f>SUM(D26:D27)</f>
        <v>4386</v>
      </c>
      <c r="E28" s="142">
        <v>5198</v>
      </c>
      <c r="F28" s="142">
        <v>9043</v>
      </c>
      <c r="H28" s="24"/>
      <c r="L28"/>
      <c r="M28"/>
      <c r="N28"/>
    </row>
    <row r="29" spans="3:14">
      <c r="C29" s="28"/>
      <c r="D29" s="135"/>
      <c r="E29" s="135"/>
      <c r="F29" s="135"/>
    </row>
    <row r="30" spans="3:14">
      <c r="C30" s="72" t="s">
        <v>49</v>
      </c>
      <c r="D30" s="91">
        <v>1401</v>
      </c>
      <c r="E30" s="91">
        <v>1393</v>
      </c>
      <c r="F30" s="91">
        <v>1582</v>
      </c>
      <c r="H30" s="5" t="s">
        <v>133</v>
      </c>
    </row>
    <row r="31" spans="3:14">
      <c r="C31" s="73" t="s">
        <v>47</v>
      </c>
      <c r="D31" s="144">
        <f>D22+D30</f>
        <v>9068</v>
      </c>
      <c r="E31" s="144">
        <f t="shared" ref="E31:F31" si="0">E22+E30</f>
        <v>7648</v>
      </c>
      <c r="F31" s="144">
        <f t="shared" si="0"/>
        <v>11371</v>
      </c>
      <c r="H31" s="24" t="s">
        <v>97</v>
      </c>
    </row>
    <row r="32" spans="3:14">
      <c r="C32" s="72" t="s">
        <v>74</v>
      </c>
      <c r="D32" s="91">
        <v>1037</v>
      </c>
      <c r="E32" s="91">
        <v>1212</v>
      </c>
      <c r="F32" s="91">
        <v>1663</v>
      </c>
      <c r="H32" s="5" t="s">
        <v>133</v>
      </c>
    </row>
    <row r="33" spans="3:15">
      <c r="C33" s="73" t="s">
        <v>72</v>
      </c>
      <c r="D33" s="144">
        <f>SUM(D31:D32)</f>
        <v>10105</v>
      </c>
      <c r="E33" s="144">
        <f t="shared" ref="E33:F33" si="1">SUM(E31:E32)</f>
        <v>8860</v>
      </c>
      <c r="F33" s="144">
        <f t="shared" si="1"/>
        <v>13034</v>
      </c>
      <c r="H33" s="24" t="s">
        <v>98</v>
      </c>
    </row>
    <row r="34" spans="3:15">
      <c r="C34" s="28"/>
      <c r="D34" s="135"/>
      <c r="E34" s="135"/>
      <c r="F34" s="135"/>
    </row>
    <row r="35" spans="3:15">
      <c r="C35" s="25" t="s">
        <v>143</v>
      </c>
      <c r="D35" s="135"/>
      <c r="E35" s="135"/>
      <c r="F35" s="135"/>
    </row>
    <row r="36" spans="3:15">
      <c r="C36" s="26" t="s">
        <v>1</v>
      </c>
      <c r="D36" s="136"/>
      <c r="E36" s="422">
        <f>E17/D17-1</f>
        <v>-3.056894491822193E-2</v>
      </c>
      <c r="F36" s="422">
        <f t="shared" ref="F36" si="2">F17/E17-1</f>
        <v>0.42645871403680258</v>
      </c>
      <c r="H36" s="5" t="s">
        <v>134</v>
      </c>
      <c r="J36" s="59"/>
      <c r="K36" s="59"/>
      <c r="L36" s="59"/>
      <c r="M36" s="59"/>
      <c r="N36" s="59"/>
      <c r="O36" s="59"/>
    </row>
    <row r="37" spans="3:15">
      <c r="C37" s="26" t="s">
        <v>231</v>
      </c>
      <c r="D37" s="422">
        <f>D19/D17</f>
        <v>0.64573806286820745</v>
      </c>
      <c r="E37" s="422">
        <f t="shared" ref="E37:F37" si="3">E19/E17</f>
        <v>0.606689048489227</v>
      </c>
      <c r="F37" s="422">
        <f t="shared" si="3"/>
        <v>0.57510576178275641</v>
      </c>
      <c r="H37" s="5" t="s">
        <v>145</v>
      </c>
      <c r="J37" s="59"/>
      <c r="K37" s="59"/>
      <c r="L37" s="59"/>
      <c r="M37" s="59"/>
      <c r="N37" s="59"/>
      <c r="O37" s="59"/>
    </row>
    <row r="38" spans="3:15">
      <c r="C38" s="26" t="s">
        <v>232</v>
      </c>
      <c r="D38" s="422">
        <f>-D20/D17</f>
        <v>0.22238701437811559</v>
      </c>
      <c r="E38" s="422">
        <f t="shared" ref="E38:F38" si="4">-E20/E17</f>
        <v>0.25392036037567467</v>
      </c>
      <c r="F38" s="422">
        <f t="shared" si="4"/>
        <v>0.21378776142525174</v>
      </c>
      <c r="H38" s="5" t="s">
        <v>135</v>
      </c>
      <c r="J38" s="59"/>
      <c r="K38" s="59"/>
      <c r="L38" s="59"/>
      <c r="M38" s="59"/>
      <c r="N38" s="59"/>
      <c r="O38" s="59"/>
    </row>
    <row r="39" spans="3:15">
      <c r="C39" s="26" t="s">
        <v>234</v>
      </c>
      <c r="D39" s="422">
        <f>-D21/D17</f>
        <v>0.10748568368145676</v>
      </c>
      <c r="E39" s="422">
        <f t="shared" ref="E39:F39" si="5">-E21/E17</f>
        <v>8.6949130933661981E-2</v>
      </c>
      <c r="F39" s="422">
        <f t="shared" si="5"/>
        <v>6.9683608413275339E-2</v>
      </c>
      <c r="H39" s="5" t="s">
        <v>136</v>
      </c>
      <c r="J39" s="59"/>
      <c r="K39" s="59"/>
      <c r="L39" s="59"/>
      <c r="M39" s="59"/>
      <c r="N39" s="59"/>
      <c r="O39" s="59"/>
    </row>
    <row r="40" spans="3:15">
      <c r="C40" s="26" t="s">
        <v>0</v>
      </c>
      <c r="D40" s="422">
        <f>-D27/D26</f>
        <v>0.41371474401817937</v>
      </c>
      <c r="E40" s="422">
        <f t="shared" ref="E40:F40" si="6">-E27/E26</f>
        <v>9.1099842629830396E-2</v>
      </c>
      <c r="F40" s="422">
        <f t="shared" si="6"/>
        <v>0.11981701382129648</v>
      </c>
      <c r="H40" s="5" t="s">
        <v>137</v>
      </c>
      <c r="J40" s="29"/>
      <c r="K40" s="29"/>
      <c r="L40" s="29"/>
      <c r="M40" s="29"/>
      <c r="N40" s="29"/>
      <c r="O40" s="29"/>
    </row>
    <row r="41" spans="3:15">
      <c r="C41" s="28"/>
    </row>
    <row r="42" spans="3:15">
      <c r="C42" s="7" t="s">
        <v>20</v>
      </c>
      <c r="D42" s="13"/>
      <c r="E42" s="13"/>
      <c r="F42" s="13"/>
    </row>
    <row r="43" spans="3:15">
      <c r="C43" s="35" t="str">
        <f>C14</f>
        <v xml:space="preserve">Fiscal year  </v>
      </c>
      <c r="D43" s="30"/>
      <c r="E43" s="30">
        <f>E14</f>
        <v>2020</v>
      </c>
      <c r="F43" s="30">
        <f>F14</f>
        <v>2021</v>
      </c>
    </row>
    <row r="44" spans="3:15">
      <c r="C44" s="9" t="str">
        <f>C15</f>
        <v>Fiscal year end date</v>
      </c>
      <c r="D44" s="32"/>
      <c r="E44" s="32">
        <f>E15</f>
        <v>44196</v>
      </c>
      <c r="F44" s="32">
        <f>F15</f>
        <v>44561</v>
      </c>
    </row>
    <row r="45" spans="3:15">
      <c r="C45" s="5" t="s">
        <v>138</v>
      </c>
      <c r="D45" s="36"/>
      <c r="E45" s="423">
        <v>11214</v>
      </c>
      <c r="F45" s="423">
        <v>12414</v>
      </c>
      <c r="K45"/>
      <c r="L45"/>
    </row>
    <row r="46" spans="3:15">
      <c r="C46" s="5" t="s">
        <v>54</v>
      </c>
      <c r="D46" s="36"/>
      <c r="E46" s="423">
        <v>4003</v>
      </c>
      <c r="F46" s="423">
        <v>3579</v>
      </c>
      <c r="K46"/>
      <c r="L46"/>
    </row>
    <row r="47" spans="3:15">
      <c r="C47" s="5" t="s">
        <v>55</v>
      </c>
      <c r="D47" s="36"/>
      <c r="E47" s="423">
        <v>2598</v>
      </c>
      <c r="F47" s="423">
        <v>3228</v>
      </c>
      <c r="K47"/>
      <c r="L47"/>
    </row>
    <row r="48" spans="3:15">
      <c r="C48" s="6" t="s">
        <v>108</v>
      </c>
      <c r="D48" s="37"/>
      <c r="E48" s="418">
        <v>704</v>
      </c>
      <c r="F48" s="418">
        <v>854</v>
      </c>
      <c r="K48"/>
      <c r="L48"/>
    </row>
    <row r="49" spans="3:12">
      <c r="C49" s="21" t="s">
        <v>21</v>
      </c>
      <c r="D49" s="37"/>
      <c r="E49" s="418">
        <v>3711</v>
      </c>
      <c r="F49" s="418">
        <v>4559</v>
      </c>
      <c r="K49"/>
      <c r="L49"/>
    </row>
    <row r="50" spans="3:12">
      <c r="C50" s="21" t="s">
        <v>332</v>
      </c>
      <c r="D50" s="37"/>
      <c r="E50" s="418">
        <v>1351</v>
      </c>
      <c r="F50" s="418">
        <v>1591</v>
      </c>
      <c r="K50"/>
      <c r="L50"/>
    </row>
    <row r="51" spans="3:12">
      <c r="C51" s="21" t="s">
        <v>333</v>
      </c>
      <c r="D51" s="37"/>
      <c r="E51" s="418">
        <v>6323</v>
      </c>
      <c r="F51" s="418">
        <v>7246</v>
      </c>
      <c r="K51"/>
      <c r="L51"/>
    </row>
    <row r="52" spans="3:12">
      <c r="C52" s="21" t="s">
        <v>334</v>
      </c>
      <c r="D52" s="37"/>
      <c r="E52" s="418">
        <v>1653</v>
      </c>
      <c r="F52" s="418">
        <v>1458</v>
      </c>
      <c r="K52"/>
      <c r="L52"/>
    </row>
    <row r="53" spans="3:12">
      <c r="C53" s="21" t="s">
        <v>56</v>
      </c>
      <c r="D53" s="37"/>
      <c r="E53" s="418">
        <v>4037</v>
      </c>
      <c r="F53" s="418">
        <v>6311</v>
      </c>
      <c r="H53" s="68"/>
      <c r="K53"/>
      <c r="L53"/>
    </row>
    <row r="54" spans="3:12">
      <c r="C54" s="39" t="s">
        <v>22</v>
      </c>
      <c r="D54" s="40"/>
      <c r="E54" s="420">
        <f>SUM(E45:E53)</f>
        <v>35594</v>
      </c>
      <c r="F54" s="420">
        <f>SUM(F45:F53)</f>
        <v>41240</v>
      </c>
      <c r="I54" s="68"/>
      <c r="J54" s="68"/>
    </row>
    <row r="55" spans="3:12">
      <c r="C55" s="41"/>
      <c r="D55" s="42"/>
      <c r="E55" s="138"/>
      <c r="F55" s="138"/>
      <c r="I55" s="68"/>
      <c r="J55" s="68"/>
      <c r="K55"/>
      <c r="L55"/>
    </row>
    <row r="56" spans="3:12">
      <c r="C56" s="41" t="s">
        <v>57</v>
      </c>
      <c r="D56" s="37"/>
      <c r="E56" s="418">
        <v>2248</v>
      </c>
      <c r="F56" s="418">
        <v>2750</v>
      </c>
      <c r="I56" s="68"/>
      <c r="J56" s="68"/>
      <c r="K56"/>
    </row>
    <row r="57" spans="3:12">
      <c r="C57" s="41" t="s">
        <v>335</v>
      </c>
      <c r="D57" s="37"/>
      <c r="E57" s="418">
        <v>1053</v>
      </c>
      <c r="F57" s="418">
        <v>1531</v>
      </c>
      <c r="I57" s="68"/>
      <c r="J57" s="68"/>
      <c r="K57"/>
    </row>
    <row r="58" spans="3:12">
      <c r="C58" s="41" t="s">
        <v>58</v>
      </c>
      <c r="D58" s="37"/>
      <c r="E58" s="418">
        <v>568</v>
      </c>
      <c r="F58" s="418">
        <v>612</v>
      </c>
      <c r="I58" s="68"/>
      <c r="J58" s="68"/>
      <c r="K58"/>
    </row>
    <row r="59" spans="3:12">
      <c r="C59" s="41" t="s">
        <v>117</v>
      </c>
      <c r="D59" s="37"/>
      <c r="E59" s="418">
        <v>4303</v>
      </c>
      <c r="F59" s="418">
        <v>5014</v>
      </c>
      <c r="I59" s="68"/>
      <c r="J59" s="68"/>
      <c r="K59"/>
    </row>
    <row r="60" spans="3:12">
      <c r="C60" s="41" t="s">
        <v>60</v>
      </c>
      <c r="D60" s="37"/>
      <c r="E60" s="418">
        <v>500</v>
      </c>
      <c r="F60" s="418">
        <v>500</v>
      </c>
      <c r="I60" s="68"/>
      <c r="J60" s="68"/>
      <c r="K60"/>
    </row>
    <row r="61" spans="3:12">
      <c r="C61" s="41" t="s">
        <v>337</v>
      </c>
      <c r="D61" s="37"/>
      <c r="E61" s="418">
        <v>761</v>
      </c>
      <c r="F61" s="418">
        <v>364</v>
      </c>
      <c r="I61" s="68"/>
      <c r="J61" s="68"/>
      <c r="K61"/>
    </row>
    <row r="62" spans="3:12">
      <c r="C62" s="41" t="s">
        <v>336</v>
      </c>
      <c r="D62" s="37"/>
      <c r="E62" s="418">
        <v>1872</v>
      </c>
      <c r="F62" s="418">
        <v>1713</v>
      </c>
      <c r="I62" s="68"/>
      <c r="J62" s="68"/>
      <c r="K62"/>
    </row>
    <row r="63" spans="3:12">
      <c r="C63" s="41" t="s">
        <v>122</v>
      </c>
      <c r="D63" s="37"/>
      <c r="E63" s="418">
        <f>15226</f>
        <v>15226</v>
      </c>
      <c r="F63" s="418">
        <f>15245</f>
        <v>15245</v>
      </c>
      <c r="K63"/>
    </row>
    <row r="64" spans="3:12" ht="15.75" customHeight="1">
      <c r="C64" s="41" t="s">
        <v>59</v>
      </c>
      <c r="D64" s="37"/>
      <c r="E64" s="418">
        <v>2986</v>
      </c>
      <c r="F64" s="418">
        <v>3561</v>
      </c>
      <c r="G64" s="6"/>
      <c r="I64" s="68"/>
      <c r="J64" s="68"/>
      <c r="K64"/>
    </row>
    <row r="65" spans="3:10">
      <c r="C65" s="39" t="s">
        <v>24</v>
      </c>
      <c r="D65" s="43"/>
      <c r="E65" s="420">
        <f>SUM(E56:E64)</f>
        <v>29517</v>
      </c>
      <c r="F65" s="420">
        <f>SUM(F56:F64)</f>
        <v>31290</v>
      </c>
      <c r="I65" s="68"/>
      <c r="J65" s="68"/>
    </row>
    <row r="66" spans="3:10">
      <c r="C66" s="39"/>
      <c r="D66" s="43"/>
      <c r="E66" s="139"/>
      <c r="F66" s="139"/>
      <c r="I66" s="68"/>
      <c r="J66" s="68"/>
    </row>
    <row r="67" spans="3:10">
      <c r="C67" s="41" t="s">
        <v>61</v>
      </c>
      <c r="D67" s="37"/>
      <c r="E67" s="418">
        <v>586</v>
      </c>
      <c r="F67" s="91">
        <v>0</v>
      </c>
      <c r="I67" s="68"/>
      <c r="J67" s="68"/>
    </row>
    <row r="68" spans="3:10" ht="15.75" customHeight="1">
      <c r="C68" s="41" t="s">
        <v>44</v>
      </c>
      <c r="D68" s="38"/>
      <c r="E68" s="418">
        <v>5284</v>
      </c>
      <c r="F68" s="91">
        <v>9822</v>
      </c>
      <c r="I68" s="68"/>
      <c r="J68" s="68"/>
    </row>
    <row r="69" spans="3:10" ht="15.75" customHeight="1">
      <c r="C69" s="41" t="s">
        <v>121</v>
      </c>
      <c r="D69" s="37"/>
      <c r="E69" s="418">
        <v>207</v>
      </c>
      <c r="F69" s="91">
        <v>128</v>
      </c>
    </row>
    <row r="70" spans="3:10">
      <c r="C70" s="39" t="s">
        <v>25</v>
      </c>
      <c r="D70" s="44"/>
      <c r="E70" s="420">
        <f>SUM(E67:E69)</f>
        <v>6077</v>
      </c>
      <c r="F70" s="420">
        <f>SUM(F67:F69)</f>
        <v>9950</v>
      </c>
    </row>
    <row r="71" spans="3:10">
      <c r="C71" s="6"/>
      <c r="D71" s="45"/>
      <c r="E71" s="45"/>
      <c r="F71" s="45"/>
    </row>
    <row r="72" spans="3:10">
      <c r="C72" s="14" t="s">
        <v>26</v>
      </c>
      <c r="D72" s="46"/>
      <c r="E72" s="46">
        <f>ROUND(E54-E65-E70,3)</f>
        <v>0</v>
      </c>
      <c r="F72" s="46">
        <f>ROUND(F54-F65-F70,3)</f>
        <v>0</v>
      </c>
    </row>
    <row r="73" spans="3:10">
      <c r="E73" s="34"/>
      <c r="F73" s="34"/>
    </row>
    <row r="74" spans="3:10">
      <c r="C74" s="24" t="s">
        <v>142</v>
      </c>
      <c r="D74" s="68"/>
      <c r="E74" s="34"/>
      <c r="F74" s="34"/>
    </row>
    <row r="75" spans="3:10">
      <c r="C75" s="72" t="s">
        <v>147</v>
      </c>
      <c r="D75" s="91">
        <v>-887</v>
      </c>
      <c r="E75" s="91">
        <v>-1407</v>
      </c>
      <c r="F75" s="417">
        <v>-1888</v>
      </c>
      <c r="G75" s="6"/>
      <c r="H75"/>
      <c r="I75"/>
    </row>
    <row r="76" spans="3:10">
      <c r="C76" s="72" t="s">
        <v>149</v>
      </c>
      <c r="D76" s="91">
        <v>-674</v>
      </c>
      <c r="E76" s="91">
        <v>-772</v>
      </c>
      <c r="F76" s="417">
        <v>-1000</v>
      </c>
      <c r="G76" s="6"/>
      <c r="H76" s="87" t="s">
        <v>339</v>
      </c>
      <c r="I76"/>
    </row>
    <row r="77" spans="3:10">
      <c r="C77" s="41" t="s">
        <v>139</v>
      </c>
      <c r="D77" s="91">
        <v>-3034</v>
      </c>
      <c r="E77" s="91">
        <v>-2972</v>
      </c>
      <c r="F77" s="91">
        <v>-3097</v>
      </c>
      <c r="H77" t="s">
        <v>340</v>
      </c>
      <c r="I77"/>
    </row>
    <row r="78" spans="3:10">
      <c r="C78" s="72" t="s">
        <v>140</v>
      </c>
      <c r="D78" s="424">
        <v>-883</v>
      </c>
      <c r="E78" s="417">
        <v>-1408</v>
      </c>
      <c r="F78" s="417">
        <v>-1408</v>
      </c>
      <c r="H78" t="s">
        <v>340</v>
      </c>
      <c r="I78"/>
    </row>
    <row r="79" spans="3:10">
      <c r="C79" s="72" t="s">
        <v>141</v>
      </c>
      <c r="D79" s="136"/>
      <c r="E79" s="425">
        <v>2.0999999999999999E-3</v>
      </c>
      <c r="F79" s="425">
        <v>1.2999999999999999E-3</v>
      </c>
      <c r="G79" s="6"/>
      <c r="H79" s="5" t="s">
        <v>341</v>
      </c>
    </row>
    <row r="80" spans="3:10">
      <c r="C80" s="72" t="s">
        <v>115</v>
      </c>
      <c r="D80" s="426" t="s">
        <v>343</v>
      </c>
      <c r="E80" s="426" t="s">
        <v>343</v>
      </c>
      <c r="F80" s="426" t="s">
        <v>343</v>
      </c>
      <c r="G80" s="6"/>
      <c r="H80" s="87" t="s">
        <v>342</v>
      </c>
    </row>
    <row r="81" spans="3:6">
      <c r="C81" s="65"/>
      <c r="D81" s="100"/>
      <c r="E81" s="93"/>
      <c r="F81" s="93"/>
    </row>
  </sheetData>
  <conditionalFormatting sqref="C39">
    <cfRule type="expression" dxfId="28" priority="3">
      <formula>#REF!=$C39</formula>
    </cfRule>
  </conditionalFormatting>
  <dataValidations disablePrompts="1" count="2">
    <dataValidation type="list" allowBlank="1" showInputMessage="1" showErrorMessage="1" sqref="D7" xr:uid="{06CABD5E-35B9-41C4-8F96-E9B135A3820C}">
      <formula1>"0,1"</formula1>
    </dataValidation>
    <dataValidation type="list" allowBlank="1" showInputMessage="1" showErrorMessage="1" sqref="C3" xr:uid="{3CFE8E7F-88C7-4A16-AA8B-542D25B76047}">
      <formula1>"$ bns except per share, $ mm except per share,$ in thousands except per share"</formula1>
    </dataValidation>
  </dataValidations>
  <pageMargins left="0.7" right="0.7" top="0.75" bottom="0.75" header="0.3" footer="0.3"/>
  <pageSetup scale="58" fitToHeight="0"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5C6D7-A2DC-4BF2-91F8-3723DDC7EE9A}">
  <sheetPr>
    <pageSetUpPr fitToPage="1"/>
  </sheetPr>
  <dimension ref="B1:T157"/>
  <sheetViews>
    <sheetView zoomScaleNormal="100" workbookViewId="0">
      <selection activeCell="N38" sqref="N38"/>
    </sheetView>
  </sheetViews>
  <sheetFormatPr defaultColWidth="8.85546875" defaultRowHeight="15"/>
  <cols>
    <col min="1" max="2" width="1.7109375" style="5" customWidth="1"/>
    <col min="3" max="3" width="46.7109375" style="5" bestFit="1" customWidth="1"/>
    <col min="4" max="11" width="11.42578125" style="5" customWidth="1"/>
    <col min="12" max="12" width="2.28515625" style="5" customWidth="1"/>
    <col min="13" max="13" width="11.42578125" style="5" customWidth="1"/>
    <col min="14" max="14" width="11.85546875" style="5" customWidth="1"/>
    <col min="15" max="17" width="10.28515625" style="5" bestFit="1" customWidth="1"/>
    <col min="18" max="19" width="9.42578125" style="5" bestFit="1" customWidth="1"/>
    <col min="20" max="16384" width="8.85546875" style="5"/>
  </cols>
  <sheetData>
    <row r="1" spans="3:19" ht="15.75" thickBot="1"/>
    <row r="2" spans="3:19" ht="15.75" thickBot="1">
      <c r="C2" s="96" t="str">
        <f>"Financial Statement Model for "&amp;D5</f>
        <v>Financial Statement Model for Apple</v>
      </c>
      <c r="D2" s="79"/>
      <c r="E2" s="79"/>
      <c r="F2" s="79"/>
      <c r="G2" s="79"/>
      <c r="H2" s="79"/>
      <c r="I2" s="79"/>
      <c r="J2" s="79"/>
      <c r="K2" s="79"/>
    </row>
    <row r="3" spans="3:19">
      <c r="C3" s="2" t="s">
        <v>46</v>
      </c>
      <c r="D3" s="64"/>
      <c r="E3" s="64"/>
      <c r="F3" s="64"/>
      <c r="G3" s="64"/>
      <c r="H3" s="64"/>
      <c r="I3" s="6"/>
      <c r="J3" s="6"/>
      <c r="K3" s="6"/>
    </row>
    <row r="4" spans="3:19">
      <c r="O4" s="6"/>
      <c r="P4" s="6"/>
    </row>
    <row r="5" spans="3:19">
      <c r="C5" s="1" t="s">
        <v>5</v>
      </c>
      <c r="D5" s="112" t="s">
        <v>50</v>
      </c>
      <c r="O5" s="6"/>
      <c r="P5" s="6"/>
    </row>
    <row r="6" spans="3:19">
      <c r="C6" s="1" t="s">
        <v>6</v>
      </c>
      <c r="D6" s="112" t="s">
        <v>51</v>
      </c>
      <c r="O6" s="6"/>
      <c r="P6" s="6"/>
    </row>
    <row r="7" spans="3:19">
      <c r="C7" s="5" t="s">
        <v>109</v>
      </c>
      <c r="D7" s="113">
        <v>1</v>
      </c>
      <c r="O7" s="6"/>
      <c r="P7" s="6"/>
    </row>
    <row r="8" spans="3:19">
      <c r="C8" s="5" t="s">
        <v>73</v>
      </c>
      <c r="D8" s="114">
        <v>171.25</v>
      </c>
      <c r="O8" s="6"/>
      <c r="P8" s="6"/>
    </row>
    <row r="9" spans="3:19">
      <c r="C9" s="5" t="s">
        <v>9</v>
      </c>
      <c r="D9" s="115">
        <v>43500</v>
      </c>
      <c r="O9" s="6"/>
      <c r="P9" s="6"/>
    </row>
    <row r="10" spans="3:19">
      <c r="C10" s="1" t="s">
        <v>8</v>
      </c>
      <c r="D10" s="116">
        <v>43372</v>
      </c>
      <c r="O10" s="6"/>
      <c r="P10" s="6"/>
    </row>
    <row r="11" spans="3:19" ht="15" customHeight="1">
      <c r="C11" t="s">
        <v>292</v>
      </c>
      <c r="D11" s="132">
        <v>4745.3980000000001</v>
      </c>
      <c r="O11" s="6"/>
      <c r="P11" s="6"/>
    </row>
    <row r="12" spans="3:19">
      <c r="O12" s="6"/>
      <c r="P12" s="6"/>
    </row>
    <row r="13" spans="3:19">
      <c r="C13" s="7" t="s">
        <v>19</v>
      </c>
      <c r="D13" s="9"/>
      <c r="E13" s="9"/>
      <c r="F13" s="9"/>
      <c r="G13" s="9"/>
      <c r="H13" s="9"/>
      <c r="I13" s="9"/>
      <c r="J13" s="9"/>
      <c r="K13" s="9"/>
      <c r="Q13" s="6"/>
    </row>
    <row r="14" spans="3:19">
      <c r="C14" s="6" t="s">
        <v>10</v>
      </c>
      <c r="D14" s="10">
        <f>E14-1</f>
        <v>2016</v>
      </c>
      <c r="E14" s="10">
        <f>F14-1</f>
        <v>2017</v>
      </c>
      <c r="F14" s="10">
        <f>YEAR(D10)</f>
        <v>2018</v>
      </c>
      <c r="G14" s="11">
        <f>F14+1</f>
        <v>2019</v>
      </c>
      <c r="H14" s="11">
        <f>G14+1</f>
        <v>2020</v>
      </c>
      <c r="I14" s="11">
        <f>H14+1</f>
        <v>2021</v>
      </c>
      <c r="J14" s="11">
        <f>I14+1</f>
        <v>2022</v>
      </c>
      <c r="K14" s="11">
        <f>J14+1</f>
        <v>2023</v>
      </c>
      <c r="Q14" s="6"/>
    </row>
    <row r="15" spans="3:19">
      <c r="C15" s="12" t="s">
        <v>7</v>
      </c>
      <c r="D15" s="89">
        <f>EOMONTH(E15,-12)</f>
        <v>42643</v>
      </c>
      <c r="E15" s="89">
        <f>EOMONTH(F15,-12)</f>
        <v>43008</v>
      </c>
      <c r="F15" s="89">
        <f>D10</f>
        <v>43372</v>
      </c>
      <c r="G15" s="89">
        <f>EOMONTH(F15,12)</f>
        <v>43738</v>
      </c>
      <c r="H15" s="89">
        <f>EOMONTH(G15,12)</f>
        <v>44104</v>
      </c>
      <c r="I15" s="89">
        <f>EOMONTH(H15,12)</f>
        <v>44469</v>
      </c>
      <c r="J15" s="89">
        <f>EOMONTH(I15,12)</f>
        <v>44834</v>
      </c>
      <c r="K15" s="89">
        <f>EOMONTH(J15,12)</f>
        <v>45199</v>
      </c>
      <c r="M15" s="84" t="s">
        <v>86</v>
      </c>
      <c r="N15" s="97"/>
      <c r="O15" s="97"/>
      <c r="P15" s="97"/>
      <c r="Q15" s="97"/>
      <c r="R15" s="97"/>
      <c r="S15" s="97"/>
    </row>
    <row r="16" spans="3:19">
      <c r="C16" s="14"/>
      <c r="D16" s="15"/>
      <c r="E16" s="16"/>
      <c r="F16" s="16"/>
      <c r="G16" s="85"/>
      <c r="H16" s="86"/>
      <c r="I16" s="86"/>
      <c r="J16" s="16"/>
      <c r="K16" s="16"/>
    </row>
    <row r="17" spans="3:14">
      <c r="C17" s="6" t="s">
        <v>11</v>
      </c>
      <c r="D17" s="17">
        <v>215639</v>
      </c>
      <c r="E17" s="17">
        <v>229234</v>
      </c>
      <c r="F17" s="17">
        <v>265595</v>
      </c>
      <c r="G17" s="63">
        <f>F17*(1+G36)</f>
        <v>254971.19999999998</v>
      </c>
      <c r="H17" s="63">
        <f>G17*(1+H36)</f>
        <v>270269.47200000001</v>
      </c>
      <c r="I17" s="63">
        <f>H17*(1+I36)</f>
        <v>288918.06556800002</v>
      </c>
      <c r="J17" s="63">
        <f>I17*(1+J36)</f>
        <v>308853.41209219198</v>
      </c>
      <c r="K17" s="63">
        <f>J17*(1+K36)</f>
        <v>330164.29752655321</v>
      </c>
      <c r="M17" s="5" t="s">
        <v>87</v>
      </c>
    </row>
    <row r="18" spans="3:14">
      <c r="C18" s="6" t="s">
        <v>14</v>
      </c>
      <c r="D18" s="17">
        <v>-131376</v>
      </c>
      <c r="E18" s="17">
        <v>-141048</v>
      </c>
      <c r="F18" s="17">
        <v>-163756</v>
      </c>
      <c r="G18" s="63">
        <f>G19-G17</f>
        <v>-158592.08639999997</v>
      </c>
      <c r="H18" s="63">
        <f>H19-H17</f>
        <v>-167296.80316800001</v>
      </c>
      <c r="I18" s="63">
        <f>I19-I17</f>
        <v>-178551.36452102399</v>
      </c>
      <c r="J18" s="63">
        <f>J19-J17</f>
        <v>-190871.40867297465</v>
      </c>
      <c r="K18" s="63">
        <f>K19-K17</f>
        <v>-204041.53587140987</v>
      </c>
      <c r="M18" s="5" t="s">
        <v>88</v>
      </c>
    </row>
    <row r="19" spans="3:14">
      <c r="C19" s="19" t="s">
        <v>13</v>
      </c>
      <c r="D19" s="20">
        <f>SUM(D17:D18)</f>
        <v>84263</v>
      </c>
      <c r="E19" s="20">
        <f>SUM(E17:E18)</f>
        <v>88186</v>
      </c>
      <c r="F19" s="20">
        <f>SUM(F17:F18)</f>
        <v>101839</v>
      </c>
      <c r="G19" s="20">
        <f>G17*G37</f>
        <v>96379.113599999997</v>
      </c>
      <c r="H19" s="20">
        <f>H17*H37</f>
        <v>102972.66883200001</v>
      </c>
      <c r="I19" s="20">
        <f>I17*I37</f>
        <v>110366.70104697601</v>
      </c>
      <c r="J19" s="20">
        <f>J17*J37</f>
        <v>117982.00341921733</v>
      </c>
      <c r="K19" s="20">
        <f>K17*K37</f>
        <v>126122.76165514333</v>
      </c>
      <c r="M19" s="87" t="s">
        <v>89</v>
      </c>
    </row>
    <row r="20" spans="3:14">
      <c r="C20" s="21" t="s">
        <v>52</v>
      </c>
      <c r="D20" s="17">
        <v>-10045</v>
      </c>
      <c r="E20" s="17">
        <v>-11581</v>
      </c>
      <c r="F20" s="17">
        <v>-14236</v>
      </c>
      <c r="G20" s="63">
        <f>-G38*G17</f>
        <v>-15808.214399999999</v>
      </c>
      <c r="H20" s="63">
        <f>-H38*H17</f>
        <v>-17026.976736000001</v>
      </c>
      <c r="I20" s="63">
        <f>-I38*I17</f>
        <v>-18201.838130784003</v>
      </c>
      <c r="J20" s="63">
        <f>-J38*J17</f>
        <v>-19457.764961808094</v>
      </c>
      <c r="K20" s="63">
        <f>-K38*K17</f>
        <v>-20800.350744172854</v>
      </c>
      <c r="M20" s="87" t="s">
        <v>233</v>
      </c>
    </row>
    <row r="21" spans="3:14">
      <c r="C21" s="21" t="s">
        <v>16</v>
      </c>
      <c r="D21" s="17">
        <v>-14194</v>
      </c>
      <c r="E21" s="17">
        <v>-15261</v>
      </c>
      <c r="F21" s="17">
        <v>-16705</v>
      </c>
      <c r="G21" s="63">
        <f>-G17*G39</f>
        <v>-18867.868799999997</v>
      </c>
      <c r="H21" s="63">
        <f>-H17*H39</f>
        <v>-18648.593568000004</v>
      </c>
      <c r="I21" s="63">
        <f>-I17*I39</f>
        <v>-19935.346524192002</v>
      </c>
      <c r="J21" s="63">
        <f>-J17*J39</f>
        <v>-21310.885434361247</v>
      </c>
      <c r="K21" s="63">
        <f>-K17*K39</f>
        <v>-22781.336529332173</v>
      </c>
      <c r="M21" s="87" t="s">
        <v>235</v>
      </c>
    </row>
    <row r="22" spans="3:14">
      <c r="C22" s="19" t="s">
        <v>3</v>
      </c>
      <c r="D22" s="20">
        <f t="shared" ref="D22:K22" si="0">D19+D20+D21</f>
        <v>60024</v>
      </c>
      <c r="E22" s="20">
        <f>E19+E20+E21</f>
        <v>61344</v>
      </c>
      <c r="F22" s="20">
        <f>F19+F20+F21</f>
        <v>70898</v>
      </c>
      <c r="G22" s="20">
        <f t="shared" si="0"/>
        <v>61703.030400000003</v>
      </c>
      <c r="H22" s="20">
        <f>H19+H20+H21</f>
        <v>67297.098528000002</v>
      </c>
      <c r="I22" s="20">
        <f t="shared" si="0"/>
        <v>72229.516392000005</v>
      </c>
      <c r="J22" s="20">
        <f t="shared" si="0"/>
        <v>77213.353023047996</v>
      </c>
      <c r="K22" s="20">
        <f t="shared" si="0"/>
        <v>82541.074381638304</v>
      </c>
      <c r="M22" s="24" t="s">
        <v>90</v>
      </c>
    </row>
    <row r="23" spans="3:14">
      <c r="C23" s="6" t="s">
        <v>4</v>
      </c>
      <c r="D23" s="17">
        <v>3999</v>
      </c>
      <c r="E23" s="17">
        <v>5201</v>
      </c>
      <c r="F23" s="17">
        <v>5686</v>
      </c>
      <c r="G23" s="61">
        <f ca="1">G156</f>
        <v>4744.4371106301642</v>
      </c>
      <c r="H23" s="61">
        <f t="shared" ref="H23:K23" ca="1" si="1">H156</f>
        <v>4090.2133392642463</v>
      </c>
      <c r="I23" s="61">
        <f t="shared" ca="1" si="1"/>
        <v>3592.0870665129901</v>
      </c>
      <c r="J23" s="61">
        <f t="shared" ca="1" si="1"/>
        <v>3200.5876330043361</v>
      </c>
      <c r="K23" s="61">
        <f t="shared" ca="1" si="1"/>
        <v>2913.259316698618</v>
      </c>
      <c r="M23" s="5" t="s">
        <v>95</v>
      </c>
    </row>
    <row r="24" spans="3:14">
      <c r="C24" s="6" t="s">
        <v>17</v>
      </c>
      <c r="D24" s="17">
        <v>-1456</v>
      </c>
      <c r="E24" s="17">
        <v>-2323</v>
      </c>
      <c r="F24" s="17">
        <v>-3240</v>
      </c>
      <c r="G24" s="61">
        <f ca="1">-G142</f>
        <v>-3223.1468651501777</v>
      </c>
      <c r="H24" s="61">
        <f t="shared" ref="H24:K24" ca="1" si="2">-H142</f>
        <v>-3223.5392651501775</v>
      </c>
      <c r="I24" s="61">
        <f t="shared" ca="1" si="2"/>
        <v>-3223.5392651501775</v>
      </c>
      <c r="J24" s="61">
        <f t="shared" ca="1" si="2"/>
        <v>-3223.5392651501775</v>
      </c>
      <c r="K24" s="61">
        <f t="shared" ca="1" si="2"/>
        <v>-3223.5392651501775</v>
      </c>
      <c r="M24" s="5" t="s">
        <v>94</v>
      </c>
    </row>
    <row r="25" spans="3:14">
      <c r="C25" s="21" t="s">
        <v>53</v>
      </c>
      <c r="D25" s="17">
        <v>-1195</v>
      </c>
      <c r="E25" s="17">
        <v>-133</v>
      </c>
      <c r="F25" s="17">
        <v>-441</v>
      </c>
      <c r="G25" s="61">
        <f>F25</f>
        <v>-441</v>
      </c>
      <c r="H25" s="61">
        <f>G25</f>
        <v>-441</v>
      </c>
      <c r="I25" s="61">
        <f>H25</f>
        <v>-441</v>
      </c>
      <c r="J25" s="61">
        <f>I25</f>
        <v>-441</v>
      </c>
      <c r="K25" s="61">
        <f>J25</f>
        <v>-441</v>
      </c>
      <c r="M25" s="5" t="s">
        <v>91</v>
      </c>
    </row>
    <row r="26" spans="3:14">
      <c r="C26" s="19" t="s">
        <v>12</v>
      </c>
      <c r="D26" s="20">
        <f t="shared" ref="D26:K26" si="3">SUM(D22:D25)</f>
        <v>61372</v>
      </c>
      <c r="E26" s="20">
        <f>SUM(E22:E25)</f>
        <v>64089</v>
      </c>
      <c r="F26" s="20">
        <f>SUM(F22:F25)</f>
        <v>72903</v>
      </c>
      <c r="G26" s="20">
        <f ca="1">SUM(G22:G25)</f>
        <v>62783.320645479995</v>
      </c>
      <c r="H26" s="20">
        <f ca="1">SUM(H22:H25)</f>
        <v>67722.77260211407</v>
      </c>
      <c r="I26" s="20">
        <f t="shared" ca="1" si="3"/>
        <v>72157.064193362821</v>
      </c>
      <c r="J26" s="20">
        <f t="shared" ca="1" si="3"/>
        <v>76749.40139090216</v>
      </c>
      <c r="K26" s="20">
        <f t="shared" ca="1" si="3"/>
        <v>81789.794433186747</v>
      </c>
      <c r="M26" s="24" t="s">
        <v>96</v>
      </c>
      <c r="N26" s="24"/>
    </row>
    <row r="27" spans="3:14">
      <c r="C27" s="6" t="s">
        <v>15</v>
      </c>
      <c r="D27" s="17">
        <v>-15685</v>
      </c>
      <c r="E27" s="17">
        <v>-15738</v>
      </c>
      <c r="F27" s="17">
        <v>-13372</v>
      </c>
      <c r="G27" s="63">
        <f ca="1">-G40*G26</f>
        <v>-10484.81454779516</v>
      </c>
      <c r="H27" s="63">
        <f ca="1">-H40*H26</f>
        <v>-11512.871342359393</v>
      </c>
      <c r="I27" s="63">
        <f ca="1">-I40*I26</f>
        <v>-12194.543848678317</v>
      </c>
      <c r="J27" s="63">
        <f ca="1">-J40*J26</f>
        <v>-12970.648835062466</v>
      </c>
      <c r="K27" s="63">
        <f ca="1">-K40*K26</f>
        <v>-13822.475259208561</v>
      </c>
      <c r="M27" s="5" t="s">
        <v>92</v>
      </c>
    </row>
    <row r="28" spans="3:14">
      <c r="C28" s="19" t="s">
        <v>2</v>
      </c>
      <c r="D28" s="23">
        <f t="shared" ref="D28" si="4">SUM(D26:D27)</f>
        <v>45687</v>
      </c>
      <c r="E28" s="23">
        <f t="shared" ref="E28:K28" si="5">SUM(E26:E27)</f>
        <v>48351</v>
      </c>
      <c r="F28" s="23">
        <f t="shared" si="5"/>
        <v>59531</v>
      </c>
      <c r="G28" s="20">
        <f t="shared" ca="1" si="5"/>
        <v>52298.506097684833</v>
      </c>
      <c r="H28" s="20">
        <f t="shared" ca="1" si="5"/>
        <v>56209.901259754675</v>
      </c>
      <c r="I28" s="20">
        <f t="shared" ca="1" si="5"/>
        <v>59962.520344684504</v>
      </c>
      <c r="J28" s="20">
        <f t="shared" ca="1" si="5"/>
        <v>63778.752555839696</v>
      </c>
      <c r="K28" s="20">
        <f t="shared" ca="1" si="5"/>
        <v>67967.319173978191</v>
      </c>
      <c r="M28" s="24" t="s">
        <v>93</v>
      </c>
    </row>
    <row r="29" spans="3:14">
      <c r="C29" s="28"/>
      <c r="D29" s="34"/>
      <c r="E29" s="34"/>
      <c r="F29" s="34"/>
      <c r="G29" s="34"/>
      <c r="H29" s="34"/>
      <c r="I29" s="34"/>
      <c r="J29" s="34"/>
      <c r="K29" s="34"/>
    </row>
    <row r="30" spans="3:14">
      <c r="C30" s="72" t="s">
        <v>49</v>
      </c>
      <c r="D30" s="3">
        <v>10505</v>
      </c>
      <c r="E30" s="3">
        <v>10157</v>
      </c>
      <c r="F30" s="3">
        <v>10903</v>
      </c>
      <c r="G30" s="57">
        <f>G106</f>
        <v>11085.020171261172</v>
      </c>
      <c r="H30" s="57">
        <f>H106</f>
        <v>11711.890744865921</v>
      </c>
      <c r="I30" s="57">
        <f>I106</f>
        <v>12226.380531123083</v>
      </c>
      <c r="J30" s="57">
        <f>J106</f>
        <v>13365.451007770575</v>
      </c>
      <c r="K30" s="57">
        <f>K106</f>
        <v>14603.503412486743</v>
      </c>
      <c r="M30" s="5" t="s">
        <v>159</v>
      </c>
    </row>
    <row r="31" spans="3:14">
      <c r="C31" s="73" t="s">
        <v>47</v>
      </c>
      <c r="D31" s="69">
        <f t="shared" ref="D31:K31" si="6">D22+D30</f>
        <v>70529</v>
      </c>
      <c r="E31" s="69">
        <f>E22+E30</f>
        <v>71501</v>
      </c>
      <c r="F31" s="69">
        <f>F22+F30</f>
        <v>81801</v>
      </c>
      <c r="G31" s="186">
        <f t="shared" si="6"/>
        <v>72788.050571261178</v>
      </c>
      <c r="H31" s="186">
        <f t="shared" si="6"/>
        <v>79008.989272865918</v>
      </c>
      <c r="I31" s="186">
        <f t="shared" si="6"/>
        <v>84455.896923123088</v>
      </c>
      <c r="J31" s="186">
        <f t="shared" si="6"/>
        <v>90578.804030818574</v>
      </c>
      <c r="K31" s="186">
        <f t="shared" si="6"/>
        <v>97144.577794125042</v>
      </c>
      <c r="M31" s="24" t="s">
        <v>97</v>
      </c>
    </row>
    <row r="32" spans="3:14">
      <c r="C32" s="72" t="s">
        <v>74</v>
      </c>
      <c r="D32" s="3">
        <v>4210</v>
      </c>
      <c r="E32" s="3">
        <v>4840</v>
      </c>
      <c r="F32" s="3">
        <v>5340</v>
      </c>
      <c r="G32" s="57">
        <f>F32*(1+G36)</f>
        <v>5126.3999999999996</v>
      </c>
      <c r="H32" s="57">
        <f>G32*(1+H36)</f>
        <v>5433.9839999999995</v>
      </c>
      <c r="I32" s="57">
        <f>H32*(1+I36)</f>
        <v>5808.9288959999994</v>
      </c>
      <c r="J32" s="57">
        <f>I32*(1+J36)</f>
        <v>6209.7449898239993</v>
      </c>
      <c r="K32" s="57">
        <f>J32*(1+K36)</f>
        <v>6638.2173941218552</v>
      </c>
      <c r="M32" s="5" t="s">
        <v>99</v>
      </c>
    </row>
    <row r="33" spans="2:20">
      <c r="C33" s="73" t="s">
        <v>72</v>
      </c>
      <c r="D33" s="69">
        <f t="shared" ref="D33:K33" si="7">SUM(D31:D32)</f>
        <v>74739</v>
      </c>
      <c r="E33" s="69">
        <f>SUM(E31:E32)</f>
        <v>76341</v>
      </c>
      <c r="F33" s="69">
        <f>SUM(F31:F32)</f>
        <v>87141</v>
      </c>
      <c r="G33" s="186">
        <f t="shared" si="7"/>
        <v>77914.450571261172</v>
      </c>
      <c r="H33" s="186">
        <f t="shared" si="7"/>
        <v>84442.973272865915</v>
      </c>
      <c r="I33" s="186">
        <f t="shared" si="7"/>
        <v>90264.825819123085</v>
      </c>
      <c r="J33" s="186">
        <f t="shared" si="7"/>
        <v>96788.549020642575</v>
      </c>
      <c r="K33" s="186">
        <f t="shared" si="7"/>
        <v>103782.79518824689</v>
      </c>
      <c r="M33" s="24" t="s">
        <v>98</v>
      </c>
    </row>
    <row r="34" spans="2:20">
      <c r="C34" s="28"/>
      <c r="G34" s="58"/>
    </row>
    <row r="35" spans="2:20">
      <c r="C35" s="25" t="s">
        <v>18</v>
      </c>
    </row>
    <row r="36" spans="2:20">
      <c r="C36" s="26" t="s">
        <v>1</v>
      </c>
      <c r="D36" s="27"/>
      <c r="E36" s="27">
        <f>E17/D17-1</f>
        <v>6.304518199398057E-2</v>
      </c>
      <c r="F36" s="27">
        <f>F17/E17-1</f>
        <v>0.15861957650261305</v>
      </c>
      <c r="G36" s="66">
        <v>-0.04</v>
      </c>
      <c r="H36" s="66">
        <v>0.06</v>
      </c>
      <c r="I36" s="66">
        <v>6.9000000000000006E-2</v>
      </c>
      <c r="J36" s="27">
        <f t="shared" ref="J36:K40" si="8">I36</f>
        <v>6.9000000000000006E-2</v>
      </c>
      <c r="K36" s="27">
        <f t="shared" si="8"/>
        <v>6.9000000000000006E-2</v>
      </c>
      <c r="M36" s="5" t="s">
        <v>151</v>
      </c>
      <c r="O36" s="59"/>
      <c r="P36" s="59"/>
      <c r="Q36" s="59"/>
      <c r="R36" s="59"/>
      <c r="S36" s="59"/>
      <c r="T36" s="59"/>
    </row>
    <row r="37" spans="2:20">
      <c r="C37" s="26" t="s">
        <v>231</v>
      </c>
      <c r="D37" s="27">
        <f>D19/D17</f>
        <v>0.39075955648097049</v>
      </c>
      <c r="E37" s="27">
        <f>E19/E17</f>
        <v>0.38469860491899105</v>
      </c>
      <c r="F37" s="27">
        <f>F19/F17</f>
        <v>0.38343718820007905</v>
      </c>
      <c r="G37" s="66">
        <v>0.378</v>
      </c>
      <c r="H37" s="66">
        <v>0.38100000000000001</v>
      </c>
      <c r="I37" s="66">
        <v>0.38200000000000001</v>
      </c>
      <c r="J37" s="27">
        <f t="shared" si="8"/>
        <v>0.38200000000000001</v>
      </c>
      <c r="K37" s="27">
        <f t="shared" si="8"/>
        <v>0.38200000000000001</v>
      </c>
      <c r="M37" s="5" t="s">
        <v>152</v>
      </c>
      <c r="O37" s="59"/>
      <c r="P37" s="59"/>
      <c r="Q37" s="59"/>
      <c r="R37" s="59"/>
      <c r="S37" s="59"/>
      <c r="T37" s="59"/>
    </row>
    <row r="38" spans="2:20">
      <c r="C38" s="26" t="s">
        <v>232</v>
      </c>
      <c r="D38" s="27">
        <f>-D20/D17</f>
        <v>4.6582482760539605E-2</v>
      </c>
      <c r="E38" s="27">
        <f>-E20/E17</f>
        <v>5.0520428906706681E-2</v>
      </c>
      <c r="F38" s="27">
        <f>-F20/F17</f>
        <v>5.3600406634161032E-2</v>
      </c>
      <c r="G38" s="66">
        <v>6.2E-2</v>
      </c>
      <c r="H38" s="66">
        <v>6.3E-2</v>
      </c>
      <c r="I38" s="66">
        <v>6.3E-2</v>
      </c>
      <c r="J38" s="27">
        <f t="shared" si="8"/>
        <v>6.3E-2</v>
      </c>
      <c r="K38" s="27">
        <f t="shared" si="8"/>
        <v>6.3E-2</v>
      </c>
      <c r="M38" s="5" t="s">
        <v>153</v>
      </c>
      <c r="O38" s="59"/>
      <c r="P38" s="59"/>
      <c r="Q38" s="59"/>
      <c r="R38" s="59"/>
      <c r="S38" s="59"/>
      <c r="T38" s="59"/>
    </row>
    <row r="39" spans="2:20">
      <c r="C39" s="26" t="s">
        <v>234</v>
      </c>
      <c r="D39" s="27">
        <f>-D21/D17</f>
        <v>6.5822972653369755E-2</v>
      </c>
      <c r="E39" s="27">
        <f>-E21/E17</f>
        <v>6.6573893924984945E-2</v>
      </c>
      <c r="F39" s="27">
        <f>-F21/F17</f>
        <v>6.2896515371147807E-2</v>
      </c>
      <c r="G39" s="66">
        <v>7.3999999999999996E-2</v>
      </c>
      <c r="H39" s="66">
        <v>6.9000000000000006E-2</v>
      </c>
      <c r="I39" s="66">
        <v>6.9000000000000006E-2</v>
      </c>
      <c r="J39" s="27">
        <f t="shared" si="8"/>
        <v>6.9000000000000006E-2</v>
      </c>
      <c r="K39" s="27">
        <f t="shared" si="8"/>
        <v>6.9000000000000006E-2</v>
      </c>
      <c r="M39" s="5" t="s">
        <v>153</v>
      </c>
      <c r="O39" s="59"/>
      <c r="P39" s="59"/>
      <c r="Q39" s="59"/>
      <c r="R39" s="59"/>
      <c r="S39" s="59"/>
      <c r="T39" s="59"/>
    </row>
    <row r="40" spans="2:20">
      <c r="C40" s="26" t="s">
        <v>0</v>
      </c>
      <c r="D40" s="27">
        <f>-(D27/D26)</f>
        <v>0.25557257381216192</v>
      </c>
      <c r="E40" s="27">
        <f>-(E27/E26)</f>
        <v>0.24556476150353415</v>
      </c>
      <c r="F40" s="27">
        <f>-(F27/F26)</f>
        <v>0.18342180705869443</v>
      </c>
      <c r="G40" s="66">
        <v>0.16700000000000001</v>
      </c>
      <c r="H40" s="66">
        <v>0.17</v>
      </c>
      <c r="I40" s="66">
        <v>0.16900000000000001</v>
      </c>
      <c r="J40" s="27">
        <f t="shared" si="8"/>
        <v>0.16900000000000001</v>
      </c>
      <c r="K40" s="27">
        <f t="shared" si="8"/>
        <v>0.16900000000000001</v>
      </c>
      <c r="M40" s="5" t="s">
        <v>153</v>
      </c>
      <c r="O40" s="29"/>
      <c r="P40" s="29"/>
      <c r="Q40" s="29"/>
      <c r="R40" s="29"/>
      <c r="S40" s="29"/>
      <c r="T40" s="29"/>
    </row>
    <row r="41" spans="2:20">
      <c r="C41" s="28"/>
      <c r="G41" s="58"/>
    </row>
    <row r="42" spans="2:20">
      <c r="C42" s="7" t="s">
        <v>20</v>
      </c>
      <c r="D42" s="13"/>
      <c r="E42" s="13"/>
      <c r="F42" s="13"/>
      <c r="G42" s="9"/>
      <c r="H42" s="9"/>
      <c r="I42" s="9"/>
      <c r="J42" s="9"/>
      <c r="K42" s="9"/>
    </row>
    <row r="43" spans="2:20">
      <c r="C43" s="35" t="str">
        <f>C14</f>
        <v xml:space="preserve">Fiscal year  </v>
      </c>
      <c r="D43" s="30"/>
      <c r="E43" s="30">
        <f t="shared" ref="E43:K44" si="9">E14</f>
        <v>2017</v>
      </c>
      <c r="F43" s="30">
        <f t="shared" si="9"/>
        <v>2018</v>
      </c>
      <c r="G43" s="31">
        <f t="shared" si="9"/>
        <v>2019</v>
      </c>
      <c r="H43" s="31">
        <f t="shared" si="9"/>
        <v>2020</v>
      </c>
      <c r="I43" s="31">
        <f t="shared" si="9"/>
        <v>2021</v>
      </c>
      <c r="J43" s="31">
        <f t="shared" si="9"/>
        <v>2022</v>
      </c>
      <c r="K43" s="31">
        <f t="shared" si="9"/>
        <v>2023</v>
      </c>
    </row>
    <row r="44" spans="2:20">
      <c r="C44" s="9" t="str">
        <f>C15</f>
        <v>Fiscal year end date</v>
      </c>
      <c r="D44" s="32"/>
      <c r="E44" s="32">
        <f t="shared" si="9"/>
        <v>43008</v>
      </c>
      <c r="F44" s="32">
        <f t="shared" si="9"/>
        <v>43372</v>
      </c>
      <c r="G44" s="32">
        <f t="shared" si="9"/>
        <v>43738</v>
      </c>
      <c r="H44" s="32">
        <f t="shared" si="9"/>
        <v>44104</v>
      </c>
      <c r="I44" s="32">
        <f t="shared" si="9"/>
        <v>44469</v>
      </c>
      <c r="J44" s="32">
        <f t="shared" si="9"/>
        <v>44834</v>
      </c>
      <c r="K44" s="32">
        <f t="shared" si="9"/>
        <v>45199</v>
      </c>
    </row>
    <row r="45" spans="2:20">
      <c r="B45" s="5" t="s">
        <v>317</v>
      </c>
      <c r="C45" s="5" t="s">
        <v>138</v>
      </c>
      <c r="D45" s="36"/>
      <c r="E45" s="36">
        <f>20289+53892+194714</f>
        <v>268895</v>
      </c>
      <c r="F45" s="36">
        <f>25913+40388+170799</f>
        <v>237100</v>
      </c>
      <c r="G45" s="193">
        <f ca="1">G90+F45</f>
        <v>202199.73246575586</v>
      </c>
      <c r="H45" s="193">
        <f ca="1">H90+G45</f>
        <v>176523.72487352614</v>
      </c>
      <c r="I45" s="193">
        <f ca="1">I90+H45</f>
        <v>156076.92943323214</v>
      </c>
      <c r="J45" s="193">
        <f ca="1">J90+I45</f>
        <v>140273.77732642859</v>
      </c>
      <c r="K45" s="193">
        <f ca="1">K90+J45</f>
        <v>129472.4557012212</v>
      </c>
      <c r="M45" s="5" t="s">
        <v>118</v>
      </c>
    </row>
    <row r="46" spans="2:20">
      <c r="B46" s="5" t="s">
        <v>317</v>
      </c>
      <c r="C46" s="5" t="s">
        <v>54</v>
      </c>
      <c r="D46" s="36"/>
      <c r="E46" s="36">
        <v>17874</v>
      </c>
      <c r="F46" s="36">
        <v>23186</v>
      </c>
      <c r="G46" s="193">
        <f>F46*(1+G36)</f>
        <v>22258.559999999998</v>
      </c>
      <c r="H46" s="193">
        <f>G46*(1+H36)</f>
        <v>23594.0736</v>
      </c>
      <c r="I46" s="193">
        <f>H46*(1+I36)</f>
        <v>25222.064678399998</v>
      </c>
      <c r="J46" s="193">
        <f>I46*(1+J36)</f>
        <v>26962.387141209598</v>
      </c>
      <c r="K46" s="193">
        <f>J46*(1+K36)</f>
        <v>28822.791853953058</v>
      </c>
      <c r="M46" s="5" t="s">
        <v>103</v>
      </c>
    </row>
    <row r="47" spans="2:20">
      <c r="B47" s="5" t="s">
        <v>317</v>
      </c>
      <c r="C47" s="5" t="s">
        <v>55</v>
      </c>
      <c r="D47" s="36"/>
      <c r="E47" s="36">
        <v>4855</v>
      </c>
      <c r="F47" s="36">
        <v>3956</v>
      </c>
      <c r="G47" s="193">
        <f>F47*G18/F18</f>
        <v>3831.2507254598299</v>
      </c>
      <c r="H47" s="193">
        <f>G47*H18/G18</f>
        <v>4041.5383456643303</v>
      </c>
      <c r="I47" s="193">
        <f>H47*I18/H18</f>
        <v>4313.4248396710409</v>
      </c>
      <c r="J47" s="193">
        <f>I47*J18/I18</f>
        <v>4611.0511536083422</v>
      </c>
      <c r="K47" s="193">
        <f>J47*K18/J18</f>
        <v>4929.2136832073174</v>
      </c>
      <c r="M47" s="5" t="s">
        <v>104</v>
      </c>
    </row>
    <row r="48" spans="2:20">
      <c r="B48" s="5" t="s">
        <v>317</v>
      </c>
      <c r="C48" s="6" t="s">
        <v>108</v>
      </c>
      <c r="D48" s="37"/>
      <c r="E48" s="37">
        <f>17799+13936</f>
        <v>31735</v>
      </c>
      <c r="F48" s="37">
        <f>25809+12087</f>
        <v>37896</v>
      </c>
      <c r="G48" s="193">
        <f>F48*(1+G36)</f>
        <v>36380.159999999996</v>
      </c>
      <c r="H48" s="193">
        <f>G48*(1+H36)</f>
        <v>38562.969599999997</v>
      </c>
      <c r="I48" s="193">
        <f>H48*(1+I36)</f>
        <v>41223.814502399997</v>
      </c>
      <c r="J48" s="193">
        <f>I48*(1+J36)</f>
        <v>44068.257703065596</v>
      </c>
      <c r="K48" s="193">
        <f>J48*(1+K36)</f>
        <v>47108.967484577122</v>
      </c>
      <c r="M48" s="5" t="s">
        <v>103</v>
      </c>
      <c r="N48" s="34"/>
    </row>
    <row r="49" spans="2:14">
      <c r="B49" s="5" t="s">
        <v>317</v>
      </c>
      <c r="C49" s="21" t="s">
        <v>21</v>
      </c>
      <c r="D49" s="37"/>
      <c r="E49" s="37">
        <v>33783</v>
      </c>
      <c r="F49" s="37">
        <v>41304</v>
      </c>
      <c r="G49" s="193">
        <f>G99</f>
        <v>45042.85982873883</v>
      </c>
      <c r="H49" s="193">
        <f t="shared" ref="H49:K49" si="10">H99</f>
        <v>48611.181883872909</v>
      </c>
      <c r="I49" s="193">
        <f t="shared" si="10"/>
        <v>51947.567835949827</v>
      </c>
      <c r="J49" s="193">
        <f t="shared" si="10"/>
        <v>55218.714198720052</v>
      </c>
      <c r="K49" s="193">
        <f t="shared" si="10"/>
        <v>58399.73337534142</v>
      </c>
      <c r="M49" s="5" t="s">
        <v>105</v>
      </c>
    </row>
    <row r="50" spans="2:14">
      <c r="B50" s="5" t="s">
        <v>317</v>
      </c>
      <c r="C50" s="21" t="s">
        <v>56</v>
      </c>
      <c r="D50" s="37"/>
      <c r="E50" s="37">
        <v>18177</v>
      </c>
      <c r="F50" s="37">
        <v>22283</v>
      </c>
      <c r="G50" s="193">
        <f>F50*(1+G36)</f>
        <v>21391.68</v>
      </c>
      <c r="H50" s="193">
        <f>G50*(1+H36)</f>
        <v>22675.180800000002</v>
      </c>
      <c r="I50" s="193">
        <f>H50*(1+I36)</f>
        <v>24239.7682752</v>
      </c>
      <c r="J50" s="193">
        <f>I50*(1+J36)</f>
        <v>25912.3122861888</v>
      </c>
      <c r="K50" s="193">
        <f>J50*(1+K36)</f>
        <v>27700.261833935827</v>
      </c>
      <c r="M50" s="5" t="s">
        <v>103</v>
      </c>
    </row>
    <row r="51" spans="2:14">
      <c r="C51" s="39" t="s">
        <v>22</v>
      </c>
      <c r="D51" s="40"/>
      <c r="E51" s="40">
        <f t="shared" ref="E51:K51" si="11">SUM(E45:E50)</f>
        <v>375319</v>
      </c>
      <c r="F51" s="40">
        <f t="shared" si="11"/>
        <v>365725</v>
      </c>
      <c r="G51" s="194">
        <f t="shared" ca="1" si="11"/>
        <v>331104.24301995453</v>
      </c>
      <c r="H51" s="194">
        <f t="shared" ca="1" si="11"/>
        <v>314008.66910306341</v>
      </c>
      <c r="I51" s="194">
        <f t="shared" ca="1" si="11"/>
        <v>303023.56956485298</v>
      </c>
      <c r="J51" s="194">
        <f t="shared" ca="1" si="11"/>
        <v>297046.49980922102</v>
      </c>
      <c r="K51" s="194">
        <f t="shared" ca="1" si="11"/>
        <v>296433.42393223592</v>
      </c>
    </row>
    <row r="52" spans="2:14">
      <c r="C52" s="41"/>
      <c r="D52" s="42"/>
      <c r="E52" s="42"/>
      <c r="F52" s="42"/>
      <c r="G52" s="193"/>
      <c r="H52" s="193"/>
      <c r="I52" s="193"/>
      <c r="J52" s="193"/>
      <c r="K52" s="193"/>
    </row>
    <row r="53" spans="2:14">
      <c r="B53" s="5" t="s">
        <v>317</v>
      </c>
      <c r="C53" s="41" t="s">
        <v>57</v>
      </c>
      <c r="D53" s="37"/>
      <c r="E53" s="37">
        <v>44242</v>
      </c>
      <c r="F53" s="37">
        <v>55888</v>
      </c>
      <c r="G53" s="193">
        <f>F53*G18/F18</f>
        <v>54125.616922269706</v>
      </c>
      <c r="H53" s="193">
        <f t="shared" ref="H53:K53" si="12">G53*H18/G18</f>
        <v>57096.434545623881</v>
      </c>
      <c r="I53" s="193">
        <f t="shared" si="12"/>
        <v>60937.484185928995</v>
      </c>
      <c r="J53" s="193">
        <f t="shared" si="12"/>
        <v>65142.170594758099</v>
      </c>
      <c r="K53" s="193">
        <f t="shared" si="12"/>
        <v>69636.980365796408</v>
      </c>
      <c r="M53" s="5" t="s">
        <v>104</v>
      </c>
    </row>
    <row r="54" spans="2:14">
      <c r="B54" s="5" t="s">
        <v>317</v>
      </c>
      <c r="C54" s="41" t="s">
        <v>117</v>
      </c>
      <c r="D54" s="37"/>
      <c r="E54" s="37">
        <v>30551</v>
      </c>
      <c r="F54" s="37">
        <v>32687</v>
      </c>
      <c r="G54" s="193">
        <f>F54*(1+G36)</f>
        <v>31379.52</v>
      </c>
      <c r="H54" s="193">
        <f t="shared" ref="H54:K54" si="13">G54*(1+H36)</f>
        <v>33262.2912</v>
      </c>
      <c r="I54" s="193">
        <f t="shared" si="13"/>
        <v>35557.389292799999</v>
      </c>
      <c r="J54" s="193">
        <f t="shared" si="13"/>
        <v>38010.849154003197</v>
      </c>
      <c r="K54" s="193">
        <f t="shared" si="13"/>
        <v>40633.597745629413</v>
      </c>
      <c r="M54" s="5" t="s">
        <v>103</v>
      </c>
    </row>
    <row r="55" spans="2:14">
      <c r="B55" s="5" t="s">
        <v>317</v>
      </c>
      <c r="C55" s="41" t="s">
        <v>58</v>
      </c>
      <c r="D55" s="37"/>
      <c r="E55" s="37">
        <f>7548+2836</f>
        <v>10384</v>
      </c>
      <c r="F55" s="37">
        <f>7543+2797</f>
        <v>10340</v>
      </c>
      <c r="G55" s="193">
        <f>F55*(1+G36)</f>
        <v>9926.4</v>
      </c>
      <c r="H55" s="193">
        <f t="shared" ref="H55:K55" si="14">G55*(1+H36)</f>
        <v>10521.984</v>
      </c>
      <c r="I55" s="193">
        <f t="shared" si="14"/>
        <v>11248.000896</v>
      </c>
      <c r="J55" s="193">
        <f t="shared" si="14"/>
        <v>12024.112957824</v>
      </c>
      <c r="K55" s="193">
        <f t="shared" si="14"/>
        <v>12853.776751913854</v>
      </c>
      <c r="M55" s="5" t="s">
        <v>103</v>
      </c>
      <c r="N55" s="34"/>
    </row>
    <row r="56" spans="2:14">
      <c r="B56" s="5" t="s">
        <v>317</v>
      </c>
      <c r="C56" s="41" t="s">
        <v>60</v>
      </c>
      <c r="D56" s="37"/>
      <c r="E56" s="37">
        <v>11977</v>
      </c>
      <c r="F56" s="37">
        <v>11964</v>
      </c>
      <c r="G56" s="193">
        <f ca="1">G135</f>
        <v>12000</v>
      </c>
      <c r="H56" s="193">
        <f ca="1">H135</f>
        <v>12000</v>
      </c>
      <c r="I56" s="193">
        <f ca="1">I135</f>
        <v>12000</v>
      </c>
      <c r="J56" s="193">
        <f ca="1">J135</f>
        <v>12000</v>
      </c>
      <c r="K56" s="193">
        <f ca="1">K135</f>
        <v>12000</v>
      </c>
      <c r="M56" s="5" t="s">
        <v>187</v>
      </c>
    </row>
    <row r="57" spans="2:14">
      <c r="B57" s="5" t="s">
        <v>317</v>
      </c>
      <c r="C57" s="41" t="s">
        <v>122</v>
      </c>
      <c r="D57" s="37"/>
      <c r="E57" s="37">
        <f>6496+97207</f>
        <v>103703</v>
      </c>
      <c r="F57" s="37">
        <f>8784+93735</f>
        <v>102519</v>
      </c>
      <c r="G57" s="193">
        <f t="shared" ref="G57" si="15">F57</f>
        <v>102519</v>
      </c>
      <c r="H57" s="193">
        <f t="shared" ref="H57" si="16">G57</f>
        <v>102519</v>
      </c>
      <c r="I57" s="193">
        <f t="shared" ref="I57" si="17">H57</f>
        <v>102519</v>
      </c>
      <c r="J57" s="193">
        <f t="shared" ref="J57" si="18">I57</f>
        <v>102519</v>
      </c>
      <c r="K57" s="193">
        <f t="shared" ref="K57" si="19">J57</f>
        <v>102519</v>
      </c>
      <c r="M57" s="5" t="s">
        <v>100</v>
      </c>
    </row>
    <row r="58" spans="2:14" ht="15.75" customHeight="1">
      <c r="B58" s="5" t="s">
        <v>317</v>
      </c>
      <c r="C58" s="41" t="s">
        <v>59</v>
      </c>
      <c r="D58" s="37"/>
      <c r="E58" s="37">
        <v>40415</v>
      </c>
      <c r="F58" s="37">
        <v>45180</v>
      </c>
      <c r="G58" s="193">
        <f>F58*(1+G36)</f>
        <v>43372.799999999996</v>
      </c>
      <c r="H58" s="193">
        <f t="shared" ref="H58:K58" si="20">G58*(1+H36)</f>
        <v>45975.167999999998</v>
      </c>
      <c r="I58" s="193">
        <f t="shared" si="20"/>
        <v>49147.454591999995</v>
      </c>
      <c r="J58" s="193">
        <f t="shared" si="20"/>
        <v>52538.628958847992</v>
      </c>
      <c r="K58" s="193">
        <f t="shared" si="20"/>
        <v>56163.794357008504</v>
      </c>
      <c r="L58" s="6"/>
      <c r="M58" t="s">
        <v>103</v>
      </c>
    </row>
    <row r="59" spans="2:14">
      <c r="C59" s="39" t="s">
        <v>24</v>
      </c>
      <c r="D59" s="43"/>
      <c r="E59" s="43">
        <f t="shared" ref="E59:K59" si="21">SUM(E53:E58)</f>
        <v>241272</v>
      </c>
      <c r="F59" s="43">
        <f t="shared" si="21"/>
        <v>258578</v>
      </c>
      <c r="G59" s="194">
        <f t="shared" ca="1" si="21"/>
        <v>253323.33692226969</v>
      </c>
      <c r="H59" s="194">
        <f t="shared" ca="1" si="21"/>
        <v>261374.87774562387</v>
      </c>
      <c r="I59" s="194">
        <f t="shared" ca="1" si="21"/>
        <v>271409.32896672899</v>
      </c>
      <c r="J59" s="194">
        <f t="shared" ca="1" si="21"/>
        <v>282234.7616654333</v>
      </c>
      <c r="K59" s="194">
        <f t="shared" ca="1" si="21"/>
        <v>293807.14922034822</v>
      </c>
    </row>
    <row r="60" spans="2:14">
      <c r="C60" s="39"/>
      <c r="D60" s="43"/>
      <c r="E60" s="43"/>
      <c r="F60" s="43"/>
      <c r="G60" s="57"/>
      <c r="H60" s="57"/>
      <c r="I60" s="57"/>
      <c r="J60" s="57"/>
      <c r="K60" s="57"/>
    </row>
    <row r="61" spans="2:14">
      <c r="B61" s="5" t="s">
        <v>317</v>
      </c>
      <c r="C61" s="41" t="s">
        <v>61</v>
      </c>
      <c r="D61" s="37"/>
      <c r="E61" s="37">
        <v>35867</v>
      </c>
      <c r="F61" s="3">
        <v>40201</v>
      </c>
      <c r="G61" s="193">
        <f>F61+G32</f>
        <v>45327.4</v>
      </c>
      <c r="H61" s="193">
        <f t="shared" ref="H61:K61" si="22">G61+H32</f>
        <v>50761.383999999998</v>
      </c>
      <c r="I61" s="193">
        <f t="shared" si="22"/>
        <v>56570.312895999996</v>
      </c>
      <c r="J61" s="193">
        <f t="shared" si="22"/>
        <v>62780.057885823997</v>
      </c>
      <c r="K61" s="193">
        <f t="shared" si="22"/>
        <v>69418.275279945854</v>
      </c>
      <c r="M61" s="5" t="s">
        <v>155</v>
      </c>
    </row>
    <row r="62" spans="2:14" ht="15.75" customHeight="1">
      <c r="B62" s="5" t="s">
        <v>317</v>
      </c>
      <c r="C62" s="41" t="s">
        <v>44</v>
      </c>
      <c r="D62" s="38"/>
      <c r="E62" s="38">
        <f>98330</f>
        <v>98330</v>
      </c>
      <c r="F62" s="3">
        <v>70400</v>
      </c>
      <c r="G62" s="193">
        <f ca="1">G119</f>
        <v>35907.506097684833</v>
      </c>
      <c r="H62" s="193">
        <f t="shared" ref="H62:K62" ca="1" si="23">H119</f>
        <v>5326.4073574395152</v>
      </c>
      <c r="I62" s="193">
        <f t="shared" ca="1" si="23"/>
        <v>-21502.07229787598</v>
      </c>
      <c r="J62" s="193">
        <f t="shared" ca="1" si="23"/>
        <v>-44514.319742036285</v>
      </c>
      <c r="K62" s="193">
        <f t="shared" ca="1" si="23"/>
        <v>-63338.000568058094</v>
      </c>
      <c r="M62" s="5" t="s">
        <v>107</v>
      </c>
      <c r="N62" s="34"/>
    </row>
    <row r="63" spans="2:14" ht="15.75" customHeight="1">
      <c r="B63" s="5" t="s">
        <v>317</v>
      </c>
      <c r="C63" s="41" t="s">
        <v>121</v>
      </c>
      <c r="D63" s="37"/>
      <c r="E63" s="37">
        <v>-150</v>
      </c>
      <c r="F63" s="3">
        <v>-3454</v>
      </c>
      <c r="G63" s="193">
        <f>F63</f>
        <v>-3454</v>
      </c>
      <c r="H63" s="193">
        <f>G63</f>
        <v>-3454</v>
      </c>
      <c r="I63" s="193">
        <f>H63</f>
        <v>-3454</v>
      </c>
      <c r="J63" s="193">
        <f>I63</f>
        <v>-3454</v>
      </c>
      <c r="K63" s="193">
        <f>J63</f>
        <v>-3454</v>
      </c>
      <c r="M63" s="5" t="s">
        <v>100</v>
      </c>
    </row>
    <row r="64" spans="2:14">
      <c r="C64" s="39" t="s">
        <v>25</v>
      </c>
      <c r="D64" s="44"/>
      <c r="E64" s="44">
        <f t="shared" ref="E64:K64" si="24">SUM(E61:E63)</f>
        <v>134047</v>
      </c>
      <c r="F64" s="44">
        <f t="shared" si="24"/>
        <v>107147</v>
      </c>
      <c r="G64" s="194">
        <f t="shared" ca="1" si="24"/>
        <v>77780.906097684841</v>
      </c>
      <c r="H64" s="194">
        <f t="shared" ca="1" si="24"/>
        <v>52633.791357439513</v>
      </c>
      <c r="I64" s="194">
        <f t="shared" ca="1" si="24"/>
        <v>31614.240598124015</v>
      </c>
      <c r="J64" s="194">
        <f t="shared" ca="1" si="24"/>
        <v>14811.738143787712</v>
      </c>
      <c r="K64" s="194">
        <f t="shared" ca="1" si="24"/>
        <v>2626.2747118877596</v>
      </c>
    </row>
    <row r="65" spans="2:14">
      <c r="C65" s="6"/>
      <c r="D65" s="45"/>
      <c r="E65" s="45"/>
      <c r="F65" s="45"/>
    </row>
    <row r="66" spans="2:14">
      <c r="C66" s="14" t="s">
        <v>26</v>
      </c>
      <c r="D66" s="46"/>
      <c r="E66" s="46">
        <f>ROUND(E51-E59-E64,3)</f>
        <v>0</v>
      </c>
      <c r="F66" s="46">
        <f t="shared" ref="F66:K66" si="25">ROUND(F51-F59-F64,3)</f>
        <v>0</v>
      </c>
      <c r="G66" s="46">
        <f t="shared" ca="1" si="25"/>
        <v>0</v>
      </c>
      <c r="H66" s="46">
        <f t="shared" ca="1" si="25"/>
        <v>0</v>
      </c>
      <c r="I66" s="46">
        <f t="shared" ca="1" si="25"/>
        <v>0</v>
      </c>
      <c r="J66" s="46">
        <f t="shared" ca="1" si="25"/>
        <v>0</v>
      </c>
      <c r="K66" s="46">
        <f t="shared" ca="1" si="25"/>
        <v>0</v>
      </c>
    </row>
    <row r="67" spans="2:14">
      <c r="E67" s="34"/>
      <c r="F67" s="34"/>
      <c r="H67" s="34"/>
      <c r="I67" s="34"/>
      <c r="J67" s="34"/>
      <c r="K67" s="34"/>
    </row>
    <row r="68" spans="2:14">
      <c r="C68" s="7" t="s">
        <v>32</v>
      </c>
      <c r="D68" s="13"/>
      <c r="E68" s="13"/>
      <c r="F68" s="13"/>
      <c r="G68" s="13"/>
      <c r="H68" s="13"/>
      <c r="I68" s="13"/>
      <c r="J68" s="13"/>
      <c r="K68" s="13"/>
    </row>
    <row r="69" spans="2:14">
      <c r="C69" s="35" t="str">
        <f>C14</f>
        <v xml:space="preserve">Fiscal year  </v>
      </c>
      <c r="D69" s="30"/>
      <c r="E69" s="30"/>
      <c r="F69" s="30"/>
      <c r="G69" s="31">
        <f t="shared" ref="G69:K70" si="26">G14</f>
        <v>2019</v>
      </c>
      <c r="H69" s="31">
        <f t="shared" si="26"/>
        <v>2020</v>
      </c>
      <c r="I69" s="31">
        <f t="shared" si="26"/>
        <v>2021</v>
      </c>
      <c r="J69" s="31">
        <f t="shared" si="26"/>
        <v>2022</v>
      </c>
      <c r="K69" s="31">
        <f t="shared" si="26"/>
        <v>2023</v>
      </c>
    </row>
    <row r="70" spans="2:14">
      <c r="C70" s="9" t="str">
        <f>C15</f>
        <v>Fiscal year end date</v>
      </c>
      <c r="D70" s="32"/>
      <c r="E70" s="32"/>
      <c r="F70" s="32"/>
      <c r="G70" s="32">
        <f t="shared" si="26"/>
        <v>43738</v>
      </c>
      <c r="H70" s="32">
        <f t="shared" si="26"/>
        <v>44104</v>
      </c>
      <c r="I70" s="32">
        <f t="shared" si="26"/>
        <v>44469</v>
      </c>
      <c r="J70" s="32">
        <f t="shared" si="26"/>
        <v>44834</v>
      </c>
      <c r="K70" s="32">
        <f t="shared" si="26"/>
        <v>45199</v>
      </c>
    </row>
    <row r="72" spans="2:14">
      <c r="B72" s="5" t="s">
        <v>317</v>
      </c>
      <c r="C72" s="6" t="s">
        <v>2</v>
      </c>
      <c r="D72" s="50"/>
      <c r="E72" s="50"/>
      <c r="F72" s="50"/>
      <c r="G72" s="193">
        <f ca="1">G28</f>
        <v>52298.506097684833</v>
      </c>
      <c r="H72" s="193">
        <f t="shared" ref="H72:K72" ca="1" si="27">H28</f>
        <v>56209.901259754675</v>
      </c>
      <c r="I72" s="193">
        <f t="shared" ca="1" si="27"/>
        <v>59962.520344684504</v>
      </c>
      <c r="J72" s="193">
        <f t="shared" ca="1" si="27"/>
        <v>63778.752555839696</v>
      </c>
      <c r="K72" s="193">
        <f t="shared" ca="1" si="27"/>
        <v>67967.319173978191</v>
      </c>
      <c r="M72" s="24"/>
      <c r="N72"/>
    </row>
    <row r="73" spans="2:14">
      <c r="B73" s="5" t="s">
        <v>317</v>
      </c>
      <c r="C73" s="6" t="s">
        <v>33</v>
      </c>
      <c r="D73" s="50"/>
      <c r="E73" s="50"/>
      <c r="F73" s="50"/>
      <c r="G73" s="193">
        <f>G30</f>
        <v>11085.020171261172</v>
      </c>
      <c r="H73" s="193">
        <f t="shared" ref="H73:K73" si="28">H30</f>
        <v>11711.890744865921</v>
      </c>
      <c r="I73" s="193">
        <f t="shared" si="28"/>
        <v>12226.380531123083</v>
      </c>
      <c r="J73" s="193">
        <f t="shared" si="28"/>
        <v>13365.451007770575</v>
      </c>
      <c r="K73" s="193">
        <f t="shared" si="28"/>
        <v>14603.503412486743</v>
      </c>
      <c r="M73" s="5" t="s">
        <v>170</v>
      </c>
      <c r="N73"/>
    </row>
    <row r="74" spans="2:14">
      <c r="B74" s="5" t="s">
        <v>317</v>
      </c>
      <c r="C74" s="6" t="s">
        <v>74</v>
      </c>
      <c r="D74" s="50"/>
      <c r="E74" s="50"/>
      <c r="F74" s="50"/>
      <c r="G74" s="193">
        <f>G32</f>
        <v>5126.3999999999996</v>
      </c>
      <c r="H74" s="193">
        <f t="shared" ref="H74:K74" si="29">H32</f>
        <v>5433.9839999999995</v>
      </c>
      <c r="I74" s="193">
        <f t="shared" si="29"/>
        <v>5808.9288959999994</v>
      </c>
      <c r="J74" s="193">
        <f t="shared" si="29"/>
        <v>6209.7449898239993</v>
      </c>
      <c r="K74" s="193">
        <f t="shared" si="29"/>
        <v>6638.2173941218552</v>
      </c>
      <c r="N74"/>
    </row>
    <row r="75" spans="2:14">
      <c r="B75" s="5" t="s">
        <v>317</v>
      </c>
      <c r="C75" s="6" t="s">
        <v>65</v>
      </c>
      <c r="D75" s="22"/>
      <c r="E75" s="22"/>
      <c r="F75" s="22"/>
      <c r="G75" s="193">
        <f>SUM(F46:F48)-SUM(G46:G48)</f>
        <v>2568.0292745401748</v>
      </c>
      <c r="H75" s="193">
        <f t="shared" ref="H75:K75" si="30">SUM(G46:G48)-SUM(H46:H48)</f>
        <v>-3728.6108202044925</v>
      </c>
      <c r="I75" s="193">
        <f t="shared" si="30"/>
        <v>-4560.7224748067092</v>
      </c>
      <c r="J75" s="193">
        <f t="shared" si="30"/>
        <v>-4882.3919774125097</v>
      </c>
      <c r="K75" s="193">
        <f t="shared" si="30"/>
        <v>-5219.277023853967</v>
      </c>
      <c r="N75"/>
    </row>
    <row r="76" spans="2:14">
      <c r="B76" s="5" t="s">
        <v>317</v>
      </c>
      <c r="C76" s="6" t="s">
        <v>66</v>
      </c>
      <c r="D76" s="22"/>
      <c r="E76" s="22"/>
      <c r="F76" s="22"/>
      <c r="G76" s="193">
        <f>SUM(G53:G55)-SUM(F53:F55)</f>
        <v>-3483.4630777302955</v>
      </c>
      <c r="H76" s="193">
        <f>SUM(H53:H55)-SUM(G53:G55)</f>
        <v>5449.1728233541653</v>
      </c>
      <c r="I76" s="193">
        <f>SUM(I53:I55)-SUM(H53:H55)</f>
        <v>6862.1646291051147</v>
      </c>
      <c r="J76" s="193">
        <f>SUM(J53:J55)-SUM(I53:I55)</f>
        <v>7434.2583318562974</v>
      </c>
      <c r="K76" s="193">
        <f>SUM(K53:K55)-SUM(J53:J55)</f>
        <v>7947.2221567544038</v>
      </c>
    </row>
    <row r="77" spans="2:14">
      <c r="B77" s="5" t="s">
        <v>317</v>
      </c>
      <c r="C77" s="21" t="s">
        <v>56</v>
      </c>
      <c r="E77" s="6"/>
      <c r="F77" s="6"/>
      <c r="G77" s="193">
        <f>-G111</f>
        <v>-647.56000000000131</v>
      </c>
      <c r="H77" s="193">
        <f t="shared" ref="H77:K77" si="31">-H111</f>
        <v>-2914.7136000000028</v>
      </c>
      <c r="I77" s="193">
        <f t="shared" si="31"/>
        <v>-3308.3539583999991</v>
      </c>
      <c r="J77" s="193">
        <f t="shared" si="31"/>
        <v>-3536.6303815296014</v>
      </c>
      <c r="K77" s="193">
        <f t="shared" si="31"/>
        <v>-3780.6578778551411</v>
      </c>
      <c r="L77" s="6"/>
      <c r="M77" s="5" t="s">
        <v>171</v>
      </c>
    </row>
    <row r="78" spans="2:14">
      <c r="B78" s="5" t="s">
        <v>317</v>
      </c>
      <c r="C78" s="21" t="s">
        <v>59</v>
      </c>
      <c r="E78" s="6"/>
      <c r="F78" s="6"/>
      <c r="G78" s="193">
        <f>G58-F58</f>
        <v>-1807.2000000000044</v>
      </c>
      <c r="H78" s="193">
        <f t="shared" ref="H78:K78" si="32">H58-G58</f>
        <v>2602.3680000000022</v>
      </c>
      <c r="I78" s="193">
        <f t="shared" si="32"/>
        <v>3172.2865919999967</v>
      </c>
      <c r="J78" s="193">
        <f t="shared" si="32"/>
        <v>3391.1743668479976</v>
      </c>
      <c r="K78" s="193">
        <f t="shared" si="32"/>
        <v>3625.1653981605123</v>
      </c>
      <c r="L78" s="6"/>
      <c r="M78" s="24"/>
    </row>
    <row r="79" spans="2:14">
      <c r="C79" s="19" t="s">
        <v>34</v>
      </c>
      <c r="G79" s="194">
        <f ca="1">SUM(G72:G78)</f>
        <v>65139.732465755871</v>
      </c>
      <c r="H79" s="194">
        <f ca="1">SUM(H72:H78)</f>
        <v>74763.992407770274</v>
      </c>
      <c r="I79" s="194">
        <f ca="1">SUM(I72:I78)</f>
        <v>80163.204559706006</v>
      </c>
      <c r="J79" s="194">
        <f ca="1">SUM(J72:J78)</f>
        <v>85760.358893196448</v>
      </c>
      <c r="K79" s="194">
        <f ca="1">SUM(K72:K78)</f>
        <v>91781.492633792601</v>
      </c>
    </row>
    <row r="80" spans="2:14">
      <c r="C80" s="6"/>
      <c r="G80" s="57"/>
      <c r="H80" s="57"/>
      <c r="I80" s="57"/>
      <c r="J80" s="57"/>
      <c r="K80" s="57"/>
    </row>
    <row r="81" spans="2:13">
      <c r="B81" s="5" t="s">
        <v>317</v>
      </c>
      <c r="C81" s="6" t="s">
        <v>35</v>
      </c>
      <c r="G81" s="193">
        <f>-(G97)</f>
        <v>-13285</v>
      </c>
      <c r="H81" s="193">
        <f t="shared" ref="H81:K81" si="33">-(H97)</f>
        <v>-13649</v>
      </c>
      <c r="I81" s="193">
        <f t="shared" si="33"/>
        <v>-13819</v>
      </c>
      <c r="J81" s="193">
        <f t="shared" si="33"/>
        <v>-14772.510999999999</v>
      </c>
      <c r="K81" s="193">
        <f t="shared" si="33"/>
        <v>-15791.814258999997</v>
      </c>
      <c r="M81" s="5" t="s">
        <v>105</v>
      </c>
    </row>
    <row r="82" spans="2:13">
      <c r="C82" s="19" t="s">
        <v>36</v>
      </c>
      <c r="G82" s="194">
        <f>IFERROR(G81,"NA")</f>
        <v>-13285</v>
      </c>
      <c r="H82" s="194">
        <f>IFERROR(H81,"NA")</f>
        <v>-13649</v>
      </c>
      <c r="I82" s="194">
        <f>IFERROR(I81,"NA")</f>
        <v>-13819</v>
      </c>
      <c r="J82" s="194">
        <f>IFERROR(J81,"NA")</f>
        <v>-14772.510999999999</v>
      </c>
      <c r="K82" s="194">
        <f>IFERROR(K81,"NA")</f>
        <v>-15791.814258999997</v>
      </c>
    </row>
    <row r="83" spans="2:13">
      <c r="C83" s="6"/>
      <c r="G83" s="193"/>
      <c r="H83" s="193"/>
      <c r="I83" s="193"/>
      <c r="J83" s="193"/>
      <c r="K83" s="193"/>
    </row>
    <row r="84" spans="2:13">
      <c r="B84" s="5" t="s">
        <v>317</v>
      </c>
      <c r="C84" s="6" t="s">
        <v>67</v>
      </c>
      <c r="G84" s="193">
        <f>G57-F57</f>
        <v>0</v>
      </c>
      <c r="H84" s="193">
        <f t="shared" ref="H84:K84" si="34">H57-G57</f>
        <v>0</v>
      </c>
      <c r="I84" s="193">
        <f t="shared" si="34"/>
        <v>0</v>
      </c>
      <c r="J84" s="193">
        <f t="shared" si="34"/>
        <v>0</v>
      </c>
      <c r="K84" s="193">
        <f t="shared" si="34"/>
        <v>0</v>
      </c>
    </row>
    <row r="85" spans="2:13">
      <c r="B85" s="5" t="s">
        <v>317</v>
      </c>
      <c r="C85" s="6" t="s">
        <v>319</v>
      </c>
      <c r="G85" s="193">
        <f ca="1">G56-F56</f>
        <v>36</v>
      </c>
      <c r="H85" s="193">
        <f t="shared" ref="H85:K85" ca="1" si="35">H56-G56</f>
        <v>0</v>
      </c>
      <c r="I85" s="193">
        <f t="shared" ca="1" si="35"/>
        <v>0</v>
      </c>
      <c r="J85" s="193">
        <f t="shared" ca="1" si="35"/>
        <v>0</v>
      </c>
      <c r="K85" s="193">
        <f t="shared" ca="1" si="35"/>
        <v>0</v>
      </c>
      <c r="M85" s="5" t="s">
        <v>183</v>
      </c>
    </row>
    <row r="86" spans="2:13">
      <c r="B86" s="5" t="s">
        <v>317</v>
      </c>
      <c r="C86" s="21" t="s">
        <v>70</v>
      </c>
      <c r="G86" s="193">
        <f>G118</f>
        <v>-73056</v>
      </c>
      <c r="H86" s="193">
        <f t="shared" ref="H86:K86" si="36">H118</f>
        <v>-73056</v>
      </c>
      <c r="I86" s="193">
        <f t="shared" si="36"/>
        <v>-73056</v>
      </c>
      <c r="J86" s="193">
        <f t="shared" si="36"/>
        <v>-73056</v>
      </c>
      <c r="K86" s="193">
        <f t="shared" si="36"/>
        <v>-73056</v>
      </c>
      <c r="M86" s="5" t="s">
        <v>107</v>
      </c>
    </row>
    <row r="87" spans="2:13">
      <c r="B87" s="5" t="s">
        <v>317</v>
      </c>
      <c r="C87" s="21" t="s">
        <v>71</v>
      </c>
      <c r="G87" s="193">
        <f>G117</f>
        <v>-13735</v>
      </c>
      <c r="H87" s="193">
        <f t="shared" ref="H87:K87" si="37">H117</f>
        <v>-13735</v>
      </c>
      <c r="I87" s="193">
        <f t="shared" si="37"/>
        <v>-13735</v>
      </c>
      <c r="J87" s="193">
        <f t="shared" si="37"/>
        <v>-13735</v>
      </c>
      <c r="K87" s="193">
        <f t="shared" si="37"/>
        <v>-13735</v>
      </c>
      <c r="M87" s="5" t="s">
        <v>107</v>
      </c>
    </row>
    <row r="88" spans="2:13">
      <c r="C88" s="19" t="s">
        <v>37</v>
      </c>
      <c r="G88" s="194">
        <f ca="1">SUM(G84:G87)</f>
        <v>-86755</v>
      </c>
      <c r="H88" s="194">
        <f t="shared" ref="H88:K88" ca="1" si="38">SUM(H84:H87)</f>
        <v>-86791</v>
      </c>
      <c r="I88" s="194">
        <f t="shared" ca="1" si="38"/>
        <v>-86791</v>
      </c>
      <c r="J88" s="194">
        <f t="shared" ca="1" si="38"/>
        <v>-86791</v>
      </c>
      <c r="K88" s="194">
        <f t="shared" ca="1" si="38"/>
        <v>-86791</v>
      </c>
    </row>
    <row r="89" spans="2:13">
      <c r="G89" s="193"/>
      <c r="H89" s="193"/>
      <c r="I89" s="193"/>
      <c r="J89" s="193"/>
      <c r="K89" s="193"/>
    </row>
    <row r="90" spans="2:13">
      <c r="C90" s="24" t="s">
        <v>38</v>
      </c>
      <c r="G90" s="194">
        <f ca="1">G79+G82+G88</f>
        <v>-34900.267534244129</v>
      </c>
      <c r="H90" s="194">
        <f ca="1">H79+H82+H88</f>
        <v>-25676.007592229726</v>
      </c>
      <c r="I90" s="194">
        <f ca="1">I79+I82+I88</f>
        <v>-20446.795440293994</v>
      </c>
      <c r="J90" s="194">
        <f ca="1">J79+J82+J88</f>
        <v>-15803.152106803551</v>
      </c>
      <c r="K90" s="194">
        <f ca="1">K79+K82+K88</f>
        <v>-10801.321625207391</v>
      </c>
    </row>
    <row r="92" spans="2:13">
      <c r="C92" s="7" t="s">
        <v>29</v>
      </c>
      <c r="D92" s="9"/>
      <c r="E92" s="9"/>
      <c r="F92" s="9"/>
      <c r="G92" s="9"/>
      <c r="H92" s="9"/>
      <c r="I92" s="9"/>
      <c r="J92" s="9"/>
      <c r="K92" s="9"/>
    </row>
    <row r="93" spans="2:13">
      <c r="C93" s="35" t="str">
        <f t="shared" ref="C93:K94" si="39">C14</f>
        <v xml:space="preserve">Fiscal year  </v>
      </c>
      <c r="D93" s="30">
        <f t="shared" si="39"/>
        <v>2016</v>
      </c>
      <c r="E93" s="30">
        <f t="shared" si="39"/>
        <v>2017</v>
      </c>
      <c r="F93" s="30">
        <f t="shared" si="39"/>
        <v>2018</v>
      </c>
      <c r="G93" s="31">
        <f t="shared" si="39"/>
        <v>2019</v>
      </c>
      <c r="H93" s="31">
        <f t="shared" si="39"/>
        <v>2020</v>
      </c>
      <c r="I93" s="31">
        <f t="shared" si="39"/>
        <v>2021</v>
      </c>
      <c r="J93" s="31">
        <f t="shared" si="39"/>
        <v>2022</v>
      </c>
      <c r="K93" s="31">
        <f t="shared" si="39"/>
        <v>2023</v>
      </c>
    </row>
    <row r="94" spans="2:13">
      <c r="C94" s="9" t="str">
        <f t="shared" si="39"/>
        <v>Fiscal year end date</v>
      </c>
      <c r="D94" s="32">
        <f t="shared" si="39"/>
        <v>42643</v>
      </c>
      <c r="E94" s="32">
        <f t="shared" si="39"/>
        <v>43008</v>
      </c>
      <c r="F94" s="32">
        <f t="shared" si="39"/>
        <v>43372</v>
      </c>
      <c r="G94" s="32">
        <f t="shared" si="39"/>
        <v>43738</v>
      </c>
      <c r="H94" s="32">
        <f t="shared" si="39"/>
        <v>44104</v>
      </c>
      <c r="I94" s="32">
        <f t="shared" si="39"/>
        <v>44469</v>
      </c>
      <c r="J94" s="32">
        <f t="shared" si="39"/>
        <v>44834</v>
      </c>
      <c r="K94" s="32">
        <f t="shared" si="39"/>
        <v>45199</v>
      </c>
    </row>
    <row r="95" spans="2:13">
      <c r="C95" s="19"/>
      <c r="G95" s="110" t="s">
        <v>116</v>
      </c>
      <c r="H95" s="110"/>
      <c r="I95" s="110"/>
      <c r="J95" s="110"/>
      <c r="K95" s="110"/>
    </row>
    <row r="96" spans="2:13">
      <c r="C96" s="41" t="s">
        <v>27</v>
      </c>
      <c r="F96" s="6"/>
      <c r="G96" s="61">
        <f>F99</f>
        <v>41304</v>
      </c>
      <c r="H96" s="61">
        <f>G99</f>
        <v>45042.85982873883</v>
      </c>
      <c r="I96" s="61">
        <f>H99</f>
        <v>48611.181883872909</v>
      </c>
      <c r="J96" s="61">
        <f>I99</f>
        <v>51947.567835949827</v>
      </c>
      <c r="K96" s="61">
        <f>J99</f>
        <v>55218.714198720052</v>
      </c>
      <c r="L96" s="21"/>
      <c r="M96" s="188" t="s">
        <v>167</v>
      </c>
    </row>
    <row r="97" spans="3:17">
      <c r="C97" s="47" t="s">
        <v>30</v>
      </c>
      <c r="D97" s="3">
        <v>12734</v>
      </c>
      <c r="E97" s="3">
        <v>12451</v>
      </c>
      <c r="F97" s="71">
        <v>13313</v>
      </c>
      <c r="G97" s="17">
        <v>13285</v>
      </c>
      <c r="H97" s="17">
        <v>13649</v>
      </c>
      <c r="I97" s="17">
        <v>13819</v>
      </c>
      <c r="J97" s="17">
        <f>I97*(1+J36)</f>
        <v>14772.510999999999</v>
      </c>
      <c r="K97" s="17">
        <f t="shared" ref="K97" si="40">J97*(1+K36)</f>
        <v>15791.814258999997</v>
      </c>
      <c r="L97" s="21"/>
      <c r="M97" s="188" t="s">
        <v>154</v>
      </c>
    </row>
    <row r="98" spans="3:17">
      <c r="C98" s="103" t="s">
        <v>31</v>
      </c>
      <c r="D98" s="95">
        <v>-8300</v>
      </c>
      <c r="E98" s="95">
        <v>-8200</v>
      </c>
      <c r="F98" s="95">
        <v>-9300</v>
      </c>
      <c r="G98" s="126">
        <f>-(G101*G97)</f>
        <v>-9546.1401712611732</v>
      </c>
      <c r="H98" s="126">
        <f>-(H101*H97)</f>
        <v>-10080.677944865922</v>
      </c>
      <c r="I98" s="126">
        <f>-(I101*I97)</f>
        <v>-10482.614047923083</v>
      </c>
      <c r="J98" s="126">
        <f>-(J101*J97)</f>
        <v>-11501.364637229775</v>
      </c>
      <c r="K98" s="126">
        <f>-(K101*K97)</f>
        <v>-12610.795082378629</v>
      </c>
      <c r="L98" s="21"/>
      <c r="M98" s="188" t="s">
        <v>166</v>
      </c>
    </row>
    <row r="99" spans="3:17">
      <c r="C99" s="54" t="s">
        <v>28</v>
      </c>
      <c r="D99" s="51"/>
      <c r="E99" s="51">
        <f>E49</f>
        <v>33783</v>
      </c>
      <c r="F99" s="51">
        <f>F49</f>
        <v>41304</v>
      </c>
      <c r="G99" s="162">
        <f>SUM(G96:G98)</f>
        <v>45042.85982873883</v>
      </c>
      <c r="H99" s="162">
        <f>SUM(H96:H98)</f>
        <v>48611.181883872909</v>
      </c>
      <c r="I99" s="162">
        <f>SUM(I96:I98)</f>
        <v>51947.567835949827</v>
      </c>
      <c r="J99" s="162">
        <f>SUM(J96:J98)</f>
        <v>55218.714198720052</v>
      </c>
      <c r="K99" s="162">
        <f>SUM(K96:K98)</f>
        <v>58399.73337534142</v>
      </c>
      <c r="L99" s="21"/>
      <c r="M99" s="188" t="s">
        <v>165</v>
      </c>
    </row>
    <row r="100" spans="3:17">
      <c r="C100" s="41"/>
      <c r="F100" s="6"/>
      <c r="G100" s="21"/>
      <c r="H100" s="21"/>
      <c r="I100" s="21"/>
      <c r="J100" s="21"/>
      <c r="K100" s="21"/>
      <c r="L100" s="21"/>
      <c r="M100" s="510" t="s">
        <v>48</v>
      </c>
    </row>
    <row r="101" spans="3:17">
      <c r="C101" s="41" t="s">
        <v>123</v>
      </c>
      <c r="D101" s="4">
        <f>-(D98/D97)</f>
        <v>0.65179833516569818</v>
      </c>
      <c r="E101" s="4">
        <f>-(E98/E97)</f>
        <v>0.6585816400289134</v>
      </c>
      <c r="F101" s="80">
        <f>-(F98/F97)</f>
        <v>0.69856531210095396</v>
      </c>
      <c r="G101" s="189">
        <f>F101+$M$101</f>
        <v>0.71856531210095398</v>
      </c>
      <c r="H101" s="189">
        <f>G101+$M$101</f>
        <v>0.738565312100954</v>
      </c>
      <c r="I101" s="189">
        <f>H101+$M$101</f>
        <v>0.75856531210095401</v>
      </c>
      <c r="J101" s="189">
        <f>I101+$M$101</f>
        <v>0.77856531210095403</v>
      </c>
      <c r="K101" s="189">
        <f>J101+$M$101</f>
        <v>0.79856531210095405</v>
      </c>
      <c r="L101" s="21"/>
      <c r="M101" s="511">
        <v>0.02</v>
      </c>
      <c r="O101" s="98"/>
      <c r="P101" s="98"/>
      <c r="Q101" s="98"/>
    </row>
    <row r="102" spans="3:17">
      <c r="C102" s="41"/>
      <c r="D102" s="4"/>
      <c r="E102" s="4"/>
      <c r="F102" s="80"/>
      <c r="G102" s="189"/>
      <c r="H102" s="189"/>
      <c r="I102" s="189"/>
      <c r="J102" s="189"/>
      <c r="K102" s="189"/>
      <c r="L102" s="21"/>
      <c r="M102" s="188"/>
      <c r="O102" s="98"/>
      <c r="P102" s="98"/>
      <c r="Q102" s="98"/>
    </row>
    <row r="103" spans="3:17">
      <c r="C103" s="128" t="s">
        <v>130</v>
      </c>
      <c r="D103" s="48"/>
      <c r="E103" s="48"/>
      <c r="F103" s="48"/>
      <c r="G103" s="198"/>
      <c r="H103" s="198"/>
      <c r="I103" s="198"/>
      <c r="J103" s="198"/>
      <c r="K103" s="198"/>
      <c r="L103" s="21"/>
      <c r="M103" s="188"/>
      <c r="O103" s="98"/>
      <c r="P103" s="98"/>
      <c r="Q103" s="98"/>
    </row>
    <row r="104" spans="3:17">
      <c r="C104" s="41" t="s">
        <v>156</v>
      </c>
      <c r="D104" s="22">
        <f>D106+D98</f>
        <v>2205</v>
      </c>
      <c r="E104" s="22">
        <f>E106+E98</f>
        <v>1957</v>
      </c>
      <c r="F104" s="22">
        <f>F106+F98</f>
        <v>1603</v>
      </c>
      <c r="G104" s="63">
        <f>G105*G17</f>
        <v>1538.8799999999999</v>
      </c>
      <c r="H104" s="63">
        <f>H105*H17</f>
        <v>1631.2128</v>
      </c>
      <c r="I104" s="63">
        <f>I105*I17</f>
        <v>1743.7664832</v>
      </c>
      <c r="J104" s="63">
        <f>J105*J17</f>
        <v>1864.0863705407999</v>
      </c>
      <c r="K104" s="63">
        <f>K105*K17</f>
        <v>1992.708330108115</v>
      </c>
      <c r="L104" s="21"/>
      <c r="M104" s="188" t="s">
        <v>238</v>
      </c>
      <c r="O104" s="98"/>
      <c r="P104" s="98"/>
      <c r="Q104" s="98"/>
    </row>
    <row r="105" spans="3:17">
      <c r="C105" s="26" t="s">
        <v>157</v>
      </c>
      <c r="D105" s="93">
        <f>D104/D17</f>
        <v>1.0225423044996499E-2</v>
      </c>
      <c r="E105" s="93">
        <f>E104/E17</f>
        <v>8.537128000209393E-3</v>
      </c>
      <c r="F105" s="100">
        <f>F104/F17</f>
        <v>6.0355051864681188E-3</v>
      </c>
      <c r="G105" s="189">
        <f>F105</f>
        <v>6.0355051864681188E-3</v>
      </c>
      <c r="H105" s="189">
        <f>G105</f>
        <v>6.0355051864681188E-3</v>
      </c>
      <c r="I105" s="189">
        <f>H105</f>
        <v>6.0355051864681188E-3</v>
      </c>
      <c r="J105" s="189">
        <f>I105</f>
        <v>6.0355051864681188E-3</v>
      </c>
      <c r="K105" s="189">
        <f>J105</f>
        <v>6.0355051864681188E-3</v>
      </c>
      <c r="L105" s="21"/>
      <c r="M105" s="188" t="s">
        <v>158</v>
      </c>
    </row>
    <row r="106" spans="3:17">
      <c r="C106" s="39" t="s">
        <v>110</v>
      </c>
      <c r="D106" s="51">
        <f>D30</f>
        <v>10505</v>
      </c>
      <c r="E106" s="51">
        <f>E30</f>
        <v>10157</v>
      </c>
      <c r="F106" s="51">
        <f>F30</f>
        <v>10903</v>
      </c>
      <c r="G106" s="20">
        <f>-G98+G104</f>
        <v>11085.020171261172</v>
      </c>
      <c r="H106" s="20">
        <f>-H98+H104</f>
        <v>11711.890744865921</v>
      </c>
      <c r="I106" s="20">
        <f>-I98+I104</f>
        <v>12226.380531123083</v>
      </c>
      <c r="J106" s="20">
        <f>-J98+J104</f>
        <v>13365.451007770575</v>
      </c>
      <c r="K106" s="20">
        <f>-K98+K104</f>
        <v>14603.503412486743</v>
      </c>
      <c r="L106" s="188"/>
      <c r="M106" s="188" t="s">
        <v>160</v>
      </c>
    </row>
    <row r="107" spans="3:17">
      <c r="C107" s="41"/>
      <c r="D107" s="22"/>
      <c r="E107" s="22"/>
      <c r="F107" s="22"/>
      <c r="G107" s="21"/>
      <c r="H107" s="61"/>
      <c r="I107" s="61"/>
      <c r="J107" s="61"/>
      <c r="K107" s="61"/>
      <c r="L107" s="188"/>
      <c r="M107" s="188"/>
    </row>
    <row r="108" spans="3:17">
      <c r="C108" s="127" t="s">
        <v>129</v>
      </c>
      <c r="D108" s="9"/>
      <c r="E108" s="9"/>
      <c r="F108" s="9"/>
      <c r="G108" s="21"/>
      <c r="H108" s="61"/>
      <c r="I108" s="61"/>
      <c r="J108" s="61"/>
      <c r="K108" s="61"/>
      <c r="L108" s="188"/>
      <c r="M108" s="188"/>
    </row>
    <row r="109" spans="3:17">
      <c r="C109" s="41" t="s">
        <v>27</v>
      </c>
      <c r="D109" s="22"/>
      <c r="E109" s="6"/>
      <c r="F109" s="6"/>
      <c r="G109" s="154">
        <f>F112</f>
        <v>22283</v>
      </c>
      <c r="H109" s="154">
        <f>G112</f>
        <v>21391.68</v>
      </c>
      <c r="I109" s="154">
        <f>H112</f>
        <v>22675.180800000002</v>
      </c>
      <c r="J109" s="154">
        <f>I112</f>
        <v>24239.7682752</v>
      </c>
      <c r="K109" s="154">
        <f>J112</f>
        <v>25912.3122861888</v>
      </c>
      <c r="L109" s="188"/>
      <c r="M109" s="188" t="s">
        <v>167</v>
      </c>
    </row>
    <row r="110" spans="3:17">
      <c r="C110" s="26" t="s">
        <v>124</v>
      </c>
      <c r="G110" s="61">
        <f>-(G104)</f>
        <v>-1538.8799999999999</v>
      </c>
      <c r="H110" s="61">
        <f>-(H104)</f>
        <v>-1631.2128</v>
      </c>
      <c r="I110" s="61">
        <f>-(I104)</f>
        <v>-1743.7664832</v>
      </c>
      <c r="J110" s="61">
        <f>-(J104)</f>
        <v>-1864.0863705407999</v>
      </c>
      <c r="K110" s="61">
        <f>-(K104)</f>
        <v>-1992.708330108115</v>
      </c>
      <c r="L110" s="188"/>
      <c r="M110" s="188" t="s">
        <v>162</v>
      </c>
    </row>
    <row r="111" spans="3:17" ht="15" customHeight="1">
      <c r="C111" s="111" t="s">
        <v>125</v>
      </c>
      <c r="D111" s="101"/>
      <c r="E111" s="101"/>
      <c r="F111" s="101"/>
      <c r="G111" s="133">
        <f>G112-G110-G109</f>
        <v>647.56000000000131</v>
      </c>
      <c r="H111" s="133">
        <f>H112-H110-H109</f>
        <v>2914.7136000000028</v>
      </c>
      <c r="I111" s="133">
        <f>I112-I110-I109</f>
        <v>3308.3539583999991</v>
      </c>
      <c r="J111" s="133">
        <f>J112-J110-J109</f>
        <v>3536.6303815296014</v>
      </c>
      <c r="K111" s="133">
        <f>K112-K110-K109</f>
        <v>3780.6578778551411</v>
      </c>
      <c r="L111" s="188"/>
      <c r="M111" s="188" t="s">
        <v>168</v>
      </c>
    </row>
    <row r="112" spans="3:17">
      <c r="C112" s="54" t="s">
        <v>28</v>
      </c>
      <c r="D112" s="6"/>
      <c r="E112" s="51">
        <f t="shared" ref="E112:K112" si="41">E50</f>
        <v>18177</v>
      </c>
      <c r="F112" s="51">
        <f t="shared" si="41"/>
        <v>22283</v>
      </c>
      <c r="G112" s="162">
        <f t="shared" si="41"/>
        <v>21391.68</v>
      </c>
      <c r="H112" s="162">
        <f t="shared" si="41"/>
        <v>22675.180800000002</v>
      </c>
      <c r="I112" s="162">
        <f t="shared" si="41"/>
        <v>24239.7682752</v>
      </c>
      <c r="J112" s="162">
        <f t="shared" si="41"/>
        <v>25912.3122861888</v>
      </c>
      <c r="K112" s="162">
        <f t="shared" si="41"/>
        <v>27700.261833935827</v>
      </c>
      <c r="L112" s="188"/>
      <c r="M112" s="188" t="s">
        <v>169</v>
      </c>
    </row>
    <row r="113" spans="3:17">
      <c r="C113" s="26"/>
      <c r="E113" s="34"/>
      <c r="F113" s="34"/>
      <c r="G113" s="21"/>
      <c r="H113" s="61"/>
      <c r="I113" s="61"/>
      <c r="J113" s="61"/>
      <c r="K113" s="61"/>
      <c r="L113" s="188"/>
      <c r="M113" s="188"/>
    </row>
    <row r="114" spans="3:17">
      <c r="C114" s="74" t="s">
        <v>75</v>
      </c>
      <c r="D114" s="70"/>
      <c r="E114" s="70"/>
      <c r="F114" s="70"/>
      <c r="G114" s="190"/>
      <c r="H114" s="190"/>
      <c r="I114" s="190"/>
      <c r="J114" s="190"/>
      <c r="K114" s="190"/>
      <c r="L114" s="188"/>
      <c r="M114" s="188"/>
    </row>
    <row r="115" spans="3:17">
      <c r="C115" s="41" t="s">
        <v>27</v>
      </c>
      <c r="D115" s="6"/>
      <c r="E115" s="6"/>
      <c r="F115" s="6"/>
      <c r="G115" s="193">
        <f>F119</f>
        <v>70400</v>
      </c>
      <c r="H115" s="193">
        <f ca="1">G119</f>
        <v>35907.506097684833</v>
      </c>
      <c r="I115" s="193">
        <f ca="1">H119</f>
        <v>5326.4073574395152</v>
      </c>
      <c r="J115" s="193">
        <f ca="1">I119</f>
        <v>-21502.07229787598</v>
      </c>
      <c r="K115" s="193">
        <f ca="1">J119</f>
        <v>-44514.319742036285</v>
      </c>
      <c r="L115" s="188"/>
      <c r="M115" s="188" t="s">
        <v>167</v>
      </c>
    </row>
    <row r="116" spans="3:17">
      <c r="C116" s="26" t="s">
        <v>62</v>
      </c>
      <c r="D116" s="33">
        <f t="shared" ref="D116:K116" si="42">D28</f>
        <v>45687</v>
      </c>
      <c r="E116" s="33">
        <f t="shared" si="42"/>
        <v>48351</v>
      </c>
      <c r="F116" s="33">
        <f t="shared" si="42"/>
        <v>59531</v>
      </c>
      <c r="G116" s="193">
        <f t="shared" ca="1" si="42"/>
        <v>52298.506097684833</v>
      </c>
      <c r="H116" s="193">
        <f t="shared" ca="1" si="42"/>
        <v>56209.901259754675</v>
      </c>
      <c r="I116" s="193">
        <f t="shared" ca="1" si="42"/>
        <v>59962.520344684504</v>
      </c>
      <c r="J116" s="193">
        <f t="shared" ca="1" si="42"/>
        <v>63778.752555839696</v>
      </c>
      <c r="K116" s="193">
        <f t="shared" ca="1" si="42"/>
        <v>67967.319173978191</v>
      </c>
      <c r="L116" s="188"/>
      <c r="M116" s="188" t="s">
        <v>101</v>
      </c>
    </row>
    <row r="117" spans="3:17">
      <c r="C117" s="26" t="s">
        <v>63</v>
      </c>
      <c r="D117" s="3">
        <v>-12188</v>
      </c>
      <c r="E117" s="3">
        <v>-12803</v>
      </c>
      <c r="F117" s="3">
        <v>-13735</v>
      </c>
      <c r="G117" s="193">
        <f t="shared" ref="G117:K118" si="43">F117</f>
        <v>-13735</v>
      </c>
      <c r="H117" s="193">
        <f t="shared" si="43"/>
        <v>-13735</v>
      </c>
      <c r="I117" s="193">
        <f t="shared" si="43"/>
        <v>-13735</v>
      </c>
      <c r="J117" s="193">
        <f t="shared" si="43"/>
        <v>-13735</v>
      </c>
      <c r="K117" s="193">
        <f t="shared" si="43"/>
        <v>-13735</v>
      </c>
      <c r="L117" s="188"/>
      <c r="M117" s="188" t="s">
        <v>163</v>
      </c>
    </row>
    <row r="118" spans="3:17">
      <c r="C118" s="104" t="s">
        <v>64</v>
      </c>
      <c r="D118" s="95">
        <v>-29000</v>
      </c>
      <c r="E118" s="95">
        <v>-33001</v>
      </c>
      <c r="F118" s="95">
        <v>-73056</v>
      </c>
      <c r="G118" s="199">
        <f t="shared" si="43"/>
        <v>-73056</v>
      </c>
      <c r="H118" s="199">
        <f t="shared" si="43"/>
        <v>-73056</v>
      </c>
      <c r="I118" s="199">
        <f t="shared" si="43"/>
        <v>-73056</v>
      </c>
      <c r="J118" s="199">
        <f t="shared" si="43"/>
        <v>-73056</v>
      </c>
      <c r="K118" s="199">
        <f t="shared" si="43"/>
        <v>-73056</v>
      </c>
      <c r="L118" s="188"/>
      <c r="M118" s="188" t="s">
        <v>236</v>
      </c>
    </row>
    <row r="119" spans="3:17">
      <c r="C119" s="83" t="s">
        <v>28</v>
      </c>
      <c r="D119" s="23">
        <f>D62</f>
        <v>0</v>
      </c>
      <c r="E119" s="23">
        <f>E62</f>
        <v>98330</v>
      </c>
      <c r="F119" s="23">
        <f>F62</f>
        <v>70400</v>
      </c>
      <c r="G119" s="162">
        <f ca="1">SUM(G115:G118)</f>
        <v>35907.506097684833</v>
      </c>
      <c r="H119" s="162">
        <f ca="1">SUM(H115:H118)</f>
        <v>5326.4073574395152</v>
      </c>
      <c r="I119" s="162">
        <f ca="1">SUM(I115:I118)</f>
        <v>-21502.07229787598</v>
      </c>
      <c r="J119" s="162">
        <f ca="1">SUM(J115:J118)</f>
        <v>-44514.319742036285</v>
      </c>
      <c r="K119" s="162">
        <f ca="1">SUM(K115:K118)</f>
        <v>-63338.000568058094</v>
      </c>
      <c r="L119" s="188"/>
      <c r="M119" s="188" t="s">
        <v>164</v>
      </c>
    </row>
    <row r="120" spans="3:17">
      <c r="E120" s="68"/>
      <c r="F120" s="68"/>
      <c r="G120" s="188"/>
      <c r="H120" s="188"/>
      <c r="I120" s="188"/>
      <c r="J120" s="188"/>
      <c r="K120" s="188"/>
      <c r="L120" s="188"/>
      <c r="M120" s="188"/>
    </row>
    <row r="121" spans="3:17">
      <c r="C121" s="7" t="s">
        <v>131</v>
      </c>
      <c r="D121" s="9"/>
      <c r="E121" s="9"/>
      <c r="F121" s="9"/>
      <c r="G121" s="190"/>
      <c r="H121" s="190"/>
      <c r="I121" s="190"/>
      <c r="J121" s="190"/>
      <c r="K121" s="190"/>
      <c r="L121" s="188"/>
      <c r="M121" s="188"/>
      <c r="O121" s="98"/>
      <c r="P121" s="98"/>
    </row>
    <row r="122" spans="3:17">
      <c r="C122" s="35" t="str">
        <f t="shared" ref="C122:K123" si="44">C14</f>
        <v xml:space="preserve">Fiscal year  </v>
      </c>
      <c r="D122" s="30">
        <f t="shared" si="44"/>
        <v>2016</v>
      </c>
      <c r="E122" s="30">
        <f t="shared" si="44"/>
        <v>2017</v>
      </c>
      <c r="F122" s="30">
        <f t="shared" si="44"/>
        <v>2018</v>
      </c>
      <c r="G122" s="191">
        <f t="shared" si="44"/>
        <v>2019</v>
      </c>
      <c r="H122" s="191">
        <f t="shared" si="44"/>
        <v>2020</v>
      </c>
      <c r="I122" s="191">
        <f t="shared" si="44"/>
        <v>2021</v>
      </c>
      <c r="J122" s="191">
        <f t="shared" si="44"/>
        <v>2022</v>
      </c>
      <c r="K122" s="191">
        <f t="shared" si="44"/>
        <v>2023</v>
      </c>
      <c r="L122" s="188"/>
      <c r="M122" s="188"/>
      <c r="O122" s="98"/>
      <c r="P122" s="98"/>
    </row>
    <row r="123" spans="3:17">
      <c r="C123" s="9" t="str">
        <f t="shared" si="44"/>
        <v>Fiscal year end date</v>
      </c>
      <c r="D123" s="32">
        <f t="shared" si="44"/>
        <v>42643</v>
      </c>
      <c r="E123" s="32">
        <f t="shared" si="44"/>
        <v>43008</v>
      </c>
      <c r="F123" s="32">
        <f t="shared" si="44"/>
        <v>43372</v>
      </c>
      <c r="G123" s="192">
        <f t="shared" si="44"/>
        <v>43738</v>
      </c>
      <c r="H123" s="192">
        <f t="shared" si="44"/>
        <v>44104</v>
      </c>
      <c r="I123" s="192">
        <f t="shared" si="44"/>
        <v>44469</v>
      </c>
      <c r="J123" s="192">
        <f t="shared" si="44"/>
        <v>44834</v>
      </c>
      <c r="K123" s="192">
        <f t="shared" si="44"/>
        <v>45199</v>
      </c>
      <c r="L123" s="188"/>
      <c r="M123" s="188"/>
      <c r="O123" s="98"/>
      <c r="P123" s="98"/>
    </row>
    <row r="124" spans="3:17">
      <c r="C124" s="19"/>
      <c r="G124" s="188"/>
      <c r="H124" s="188"/>
      <c r="I124" s="188"/>
      <c r="J124" s="188"/>
      <c r="K124" s="188"/>
      <c r="L124" s="188"/>
      <c r="M124" s="188"/>
      <c r="O124" s="98"/>
      <c r="P124" s="98"/>
    </row>
    <row r="125" spans="3:17">
      <c r="C125" s="53" t="s">
        <v>39</v>
      </c>
      <c r="G125" s="188"/>
      <c r="H125" s="188"/>
      <c r="I125" s="188"/>
      <c r="J125" s="188"/>
      <c r="K125" s="188"/>
      <c r="L125" s="188"/>
      <c r="M125" s="188"/>
      <c r="O125" s="98"/>
      <c r="P125" s="98"/>
      <c r="Q125" s="98"/>
    </row>
    <row r="126" spans="3:17">
      <c r="C126" s="26" t="s">
        <v>45</v>
      </c>
      <c r="G126" s="57">
        <f>F45</f>
        <v>237100</v>
      </c>
      <c r="H126" s="57">
        <f ca="1">G45</f>
        <v>202199.73246575586</v>
      </c>
      <c r="I126" s="57">
        <f ca="1">H45</f>
        <v>176523.72487352614</v>
      </c>
      <c r="J126" s="57">
        <f ca="1">I45</f>
        <v>156076.92943323214</v>
      </c>
      <c r="K126" s="57">
        <f ca="1">J45</f>
        <v>140273.77732642859</v>
      </c>
      <c r="L126" s="188"/>
      <c r="M126" s="188" t="s">
        <v>172</v>
      </c>
      <c r="O126" s="98"/>
      <c r="P126" s="98"/>
    </row>
    <row r="127" spans="3:17">
      <c r="C127" s="26" t="s">
        <v>69</v>
      </c>
      <c r="G127" s="200">
        <v>-50000</v>
      </c>
      <c r="H127" s="200">
        <v>-50000</v>
      </c>
      <c r="I127" s="200">
        <v>-50000</v>
      </c>
      <c r="J127" s="200">
        <v>-50000</v>
      </c>
      <c r="K127" s="200">
        <v>-50000</v>
      </c>
      <c r="L127" s="188"/>
      <c r="M127" s="188" t="s">
        <v>126</v>
      </c>
      <c r="O127" s="98"/>
      <c r="P127" s="98"/>
    </row>
    <row r="128" spans="3:17">
      <c r="C128" s="111" t="s">
        <v>40</v>
      </c>
      <c r="D128" s="101"/>
      <c r="E128" s="101"/>
      <c r="F128" s="101"/>
      <c r="G128" s="126">
        <f ca="1">SUM(G79,G82,G84,G86,G87)</f>
        <v>-34936.267534244129</v>
      </c>
      <c r="H128" s="126">
        <f ca="1">SUM(H79,H82,H84,H86,H87)</f>
        <v>-25676.007592229726</v>
      </c>
      <c r="I128" s="126">
        <f ca="1">SUM(I79,I82,I84,I86,I87)</f>
        <v>-20446.795440293994</v>
      </c>
      <c r="J128" s="126">
        <f ca="1">SUM(J79,J82,J84,J86,J87)</f>
        <v>-15803.152106803551</v>
      </c>
      <c r="K128" s="126">
        <f ca="1">SUM(K79,K82,K84,K86,K87)</f>
        <v>-10801.321625207391</v>
      </c>
      <c r="L128" s="188"/>
      <c r="M128" s="188" t="s">
        <v>174</v>
      </c>
    </row>
    <row r="129" spans="3:19">
      <c r="C129" s="54" t="s">
        <v>102</v>
      </c>
      <c r="D129" s="6"/>
      <c r="E129" s="6"/>
      <c r="F129" s="6"/>
      <c r="G129" s="162">
        <f ca="1">SUM(G126:G128)</f>
        <v>152163.73246575586</v>
      </c>
      <c r="H129" s="162">
        <f ca="1">SUM(H126:H128)</f>
        <v>126523.72487352614</v>
      </c>
      <c r="I129" s="162">
        <f ca="1">SUM(I126:I128)</f>
        <v>106076.92943323214</v>
      </c>
      <c r="J129" s="162">
        <f ca="1">SUM(J126:J128)</f>
        <v>90273.777326428593</v>
      </c>
      <c r="K129" s="162">
        <f ca="1">SUM(K126:K128)</f>
        <v>79472.455701221203</v>
      </c>
      <c r="L129" s="188"/>
      <c r="M129" s="188"/>
    </row>
    <row r="130" spans="3:19">
      <c r="C130" s="6"/>
      <c r="G130" s="188"/>
      <c r="H130" s="188"/>
      <c r="I130" s="188"/>
      <c r="J130" s="188"/>
      <c r="K130" s="188"/>
      <c r="L130" s="188"/>
      <c r="M130" s="188"/>
    </row>
    <row r="131" spans="3:19">
      <c r="C131" s="19" t="s">
        <v>113</v>
      </c>
      <c r="G131" s="188"/>
      <c r="H131" s="188"/>
      <c r="I131" s="188"/>
      <c r="J131" s="188"/>
      <c r="K131" s="188"/>
      <c r="L131" s="188"/>
      <c r="M131" s="188"/>
    </row>
    <row r="132" spans="3:19">
      <c r="C132" s="26" t="s">
        <v>27</v>
      </c>
      <c r="G132" s="57">
        <f>F135</f>
        <v>11964</v>
      </c>
      <c r="H132" s="57">
        <f ca="1">G135</f>
        <v>12000</v>
      </c>
      <c r="I132" s="57">
        <f ca="1">H135</f>
        <v>12000</v>
      </c>
      <c r="J132" s="57">
        <f ca="1">I135</f>
        <v>12000</v>
      </c>
      <c r="K132" s="57">
        <f ca="1">J135</f>
        <v>12000</v>
      </c>
      <c r="L132" s="188"/>
      <c r="M132" s="188" t="s">
        <v>167</v>
      </c>
    </row>
    <row r="133" spans="3:19">
      <c r="C133" s="47" t="s">
        <v>176</v>
      </c>
      <c r="G133" s="57">
        <f ca="1">-MIN(G129,G132)</f>
        <v>-11964</v>
      </c>
      <c r="H133" s="57">
        <f ca="1">-MIN(H129,H132)</f>
        <v>-12000</v>
      </c>
      <c r="I133" s="57">
        <f ca="1">-MIN(I129,I132)</f>
        <v>-12000</v>
      </c>
      <c r="J133" s="57">
        <f ca="1">-MIN(J129,J132)</f>
        <v>-12000</v>
      </c>
      <c r="K133" s="57">
        <f ca="1">-MIN(K129,K132)</f>
        <v>-12000</v>
      </c>
      <c r="L133" s="188"/>
      <c r="M133" s="188" t="s">
        <v>175</v>
      </c>
    </row>
    <row r="134" spans="3:19">
      <c r="C134" s="103" t="s">
        <v>128</v>
      </c>
      <c r="D134" s="101"/>
      <c r="E134" s="101"/>
      <c r="F134" s="101"/>
      <c r="G134" s="201">
        <v>12000</v>
      </c>
      <c r="H134" s="201">
        <v>12000</v>
      </c>
      <c r="I134" s="201">
        <v>12000</v>
      </c>
      <c r="J134" s="201">
        <v>12000</v>
      </c>
      <c r="K134" s="201">
        <v>12000</v>
      </c>
      <c r="L134" s="188"/>
      <c r="M134" s="188" t="s">
        <v>126</v>
      </c>
    </row>
    <row r="135" spans="3:19">
      <c r="C135" s="26" t="s">
        <v>28</v>
      </c>
      <c r="D135" s="102">
        <f>D56</f>
        <v>0</v>
      </c>
      <c r="E135" s="102">
        <f>E56</f>
        <v>11977</v>
      </c>
      <c r="F135" s="102">
        <f>F56</f>
        <v>11964</v>
      </c>
      <c r="G135" s="202">
        <f ca="1">SUM(G132:G134)</f>
        <v>12000</v>
      </c>
      <c r="H135" s="202">
        <f ca="1">SUM(H132:H134)</f>
        <v>12000</v>
      </c>
      <c r="I135" s="202">
        <f ca="1">SUM(I132:I134)</f>
        <v>12000</v>
      </c>
      <c r="J135" s="202">
        <f ca="1">SUM(J132:J134)</f>
        <v>12000</v>
      </c>
      <c r="K135" s="202">
        <f ca="1">SUM(K132:K134)</f>
        <v>12000</v>
      </c>
      <c r="L135" s="188"/>
      <c r="M135" s="188"/>
    </row>
    <row r="136" spans="3:19">
      <c r="C136" s="117" t="s">
        <v>119</v>
      </c>
      <c r="D136" s="122"/>
      <c r="E136" s="122"/>
      <c r="F136" s="123"/>
      <c r="G136" s="203" t="str">
        <f ca="1">IF(G135&lt;0,"Negative Debt","OK")</f>
        <v>OK</v>
      </c>
      <c r="H136" s="203" t="str">
        <f ca="1">IF(H135&lt;0,"Negative Debt","OK")</f>
        <v>OK</v>
      </c>
      <c r="I136" s="203" t="str">
        <f ca="1">IF(I135&lt;0,"Negative Debt","OK")</f>
        <v>OK</v>
      </c>
      <c r="J136" s="203" t="str">
        <f ca="1">IF(J135&lt;0,"Negative Debt","OK")</f>
        <v>OK</v>
      </c>
      <c r="K136" s="204" t="str">
        <f ca="1">IF(K135&lt;0,"Negative Debt","OK")</f>
        <v>OK</v>
      </c>
      <c r="L136" s="21"/>
      <c r="M136" s="188"/>
      <c r="S136" s="68"/>
    </row>
    <row r="137" spans="3:19">
      <c r="D137" s="22"/>
      <c r="E137" s="22"/>
      <c r="F137" s="120"/>
      <c r="G137" s="205"/>
      <c r="H137" s="205"/>
      <c r="I137" s="205"/>
      <c r="J137" s="205"/>
      <c r="K137" s="205"/>
      <c r="L137" s="21"/>
      <c r="M137" s="188"/>
      <c r="S137" s="68"/>
    </row>
    <row r="138" spans="3:19">
      <c r="C138" s="7" t="s">
        <v>43</v>
      </c>
      <c r="D138" s="48"/>
      <c r="E138" s="48"/>
      <c r="F138" s="48"/>
      <c r="G138" s="206"/>
      <c r="H138" s="206"/>
      <c r="I138" s="206"/>
      <c r="J138" s="206"/>
      <c r="K138" s="206"/>
      <c r="L138" s="188"/>
      <c r="M138" s="188"/>
      <c r="R138" s="99"/>
    </row>
    <row r="139" spans="3:19">
      <c r="C139" s="35" t="str">
        <f t="shared" ref="C139:K140" si="45">C14</f>
        <v xml:space="preserve">Fiscal year  </v>
      </c>
      <c r="D139" s="30">
        <f t="shared" si="45"/>
        <v>2016</v>
      </c>
      <c r="E139" s="30">
        <f t="shared" si="45"/>
        <v>2017</v>
      </c>
      <c r="F139" s="30">
        <f t="shared" si="45"/>
        <v>2018</v>
      </c>
      <c r="G139" s="191">
        <f t="shared" si="45"/>
        <v>2019</v>
      </c>
      <c r="H139" s="191">
        <f t="shared" si="45"/>
        <v>2020</v>
      </c>
      <c r="I139" s="191">
        <f t="shared" si="45"/>
        <v>2021</v>
      </c>
      <c r="J139" s="191">
        <f t="shared" si="45"/>
        <v>2022</v>
      </c>
      <c r="K139" s="191">
        <f t="shared" si="45"/>
        <v>2023</v>
      </c>
      <c r="L139" s="188"/>
      <c r="M139" s="188"/>
      <c r="R139" s="99"/>
      <c r="S139" s="68"/>
    </row>
    <row r="140" spans="3:19">
      <c r="C140" s="9" t="str">
        <f t="shared" si="45"/>
        <v>Fiscal year end date</v>
      </c>
      <c r="D140" s="32">
        <f t="shared" si="45"/>
        <v>42643</v>
      </c>
      <c r="E140" s="32">
        <f t="shared" si="45"/>
        <v>43008</v>
      </c>
      <c r="F140" s="32">
        <f t="shared" si="45"/>
        <v>43372</v>
      </c>
      <c r="G140" s="192">
        <f t="shared" si="45"/>
        <v>43738</v>
      </c>
      <c r="H140" s="192">
        <f t="shared" si="45"/>
        <v>44104</v>
      </c>
      <c r="I140" s="192">
        <f t="shared" si="45"/>
        <v>44469</v>
      </c>
      <c r="J140" s="192">
        <f t="shared" si="45"/>
        <v>44834</v>
      </c>
      <c r="K140" s="192">
        <f t="shared" si="45"/>
        <v>45199</v>
      </c>
      <c r="L140" s="188"/>
      <c r="M140" s="188"/>
      <c r="R140" s="99"/>
    </row>
    <row r="141" spans="3:19">
      <c r="C141" s="26"/>
      <c r="D141" s="34"/>
      <c r="E141" s="34"/>
      <c r="F141" s="34"/>
      <c r="G141" s="207"/>
      <c r="H141" s="207"/>
      <c r="I141" s="207"/>
      <c r="J141" s="207"/>
      <c r="K141" s="207"/>
      <c r="L141" s="188"/>
      <c r="M141" s="188"/>
      <c r="R141" s="99"/>
    </row>
    <row r="142" spans="3:19">
      <c r="C142" s="41" t="s">
        <v>120</v>
      </c>
      <c r="D142" s="34">
        <f>-(D24)</f>
        <v>1456</v>
      </c>
      <c r="E142" s="34">
        <f>-(E24)</f>
        <v>2323</v>
      </c>
      <c r="F142" s="22">
        <f>-(F24)</f>
        <v>3240</v>
      </c>
      <c r="G142" s="61">
        <f ca="1">G147+G152</f>
        <v>3223.1468651501777</v>
      </c>
      <c r="H142" s="61">
        <f ca="1">H147+H152</f>
        <v>3223.5392651501775</v>
      </c>
      <c r="I142" s="61">
        <f ca="1">I147+I152</f>
        <v>3223.5392651501775</v>
      </c>
      <c r="J142" s="61">
        <f ca="1">J147+J152</f>
        <v>3223.5392651501775</v>
      </c>
      <c r="K142" s="61">
        <f ca="1">K147+K152</f>
        <v>3223.5392651501775</v>
      </c>
      <c r="L142" s="21"/>
      <c r="M142" s="188" t="s">
        <v>178</v>
      </c>
      <c r="R142" s="68"/>
    </row>
    <row r="143" spans="3:19">
      <c r="C143" s="60"/>
      <c r="F143" s="6"/>
      <c r="G143" s="208"/>
      <c r="H143" s="208"/>
      <c r="I143" s="208"/>
      <c r="J143" s="208"/>
      <c r="K143" s="208"/>
      <c r="L143" s="21"/>
      <c r="M143" s="188"/>
      <c r="R143" s="68"/>
    </row>
    <row r="144" spans="3:19">
      <c r="C144" s="94" t="s">
        <v>68</v>
      </c>
      <c r="F144" s="6"/>
      <c r="G144" s="208"/>
      <c r="H144" s="208"/>
      <c r="I144" s="208"/>
      <c r="J144" s="208"/>
      <c r="K144" s="208"/>
      <c r="L144" s="21"/>
      <c r="M144" s="188"/>
      <c r="R144" s="68"/>
    </row>
    <row r="145" spans="3:18">
      <c r="C145" s="26" t="s">
        <v>111</v>
      </c>
      <c r="E145" s="56">
        <v>1.2E-2</v>
      </c>
      <c r="F145" s="124">
        <v>2.18E-2</v>
      </c>
      <c r="G145" s="209">
        <f>F145</f>
        <v>2.18E-2</v>
      </c>
      <c r="H145" s="209">
        <f>G145</f>
        <v>2.18E-2</v>
      </c>
      <c r="I145" s="209">
        <f>H145</f>
        <v>2.18E-2</v>
      </c>
      <c r="J145" s="209">
        <f>I145</f>
        <v>2.18E-2</v>
      </c>
      <c r="K145" s="209">
        <f>J145</f>
        <v>2.18E-2</v>
      </c>
      <c r="L145" s="21"/>
      <c r="M145" s="188" t="s">
        <v>132</v>
      </c>
    </row>
    <row r="146" spans="3:18">
      <c r="C146" s="26" t="s">
        <v>112</v>
      </c>
      <c r="D146" s="102"/>
      <c r="E146" s="102">
        <f t="shared" ref="E146:K146" si="46">E56</f>
        <v>11977</v>
      </c>
      <c r="F146" s="102">
        <f t="shared" si="46"/>
        <v>11964</v>
      </c>
      <c r="G146" s="61">
        <f t="shared" ca="1" si="46"/>
        <v>12000</v>
      </c>
      <c r="H146" s="61">
        <f t="shared" ca="1" si="46"/>
        <v>12000</v>
      </c>
      <c r="I146" s="61">
        <f t="shared" ca="1" si="46"/>
        <v>12000</v>
      </c>
      <c r="J146" s="61">
        <f t="shared" ca="1" si="46"/>
        <v>12000</v>
      </c>
      <c r="K146" s="61">
        <f t="shared" ca="1" si="46"/>
        <v>12000</v>
      </c>
      <c r="L146" s="21"/>
      <c r="M146" s="188" t="s">
        <v>181</v>
      </c>
    </row>
    <row r="147" spans="3:18">
      <c r="C147" s="163" t="s">
        <v>41</v>
      </c>
      <c r="D147" s="22"/>
      <c r="E147" s="51">
        <f>AVERAGE(D146:E146)*E145</f>
        <v>143.72399999999999</v>
      </c>
      <c r="F147" s="51">
        <f>AVERAGE(E146:F146)*F145</f>
        <v>260.95690000000002</v>
      </c>
      <c r="G147" s="164">
        <f ca="1">IF($D$7=1,AVERAGE(F146,G146)*G145,0)</f>
        <v>261.20760000000001</v>
      </c>
      <c r="H147" s="164">
        <f t="shared" ref="H147:K147" ca="1" si="47">IF($D$7=1,AVERAGE(G146,H146)*H145,0)</f>
        <v>261.60000000000002</v>
      </c>
      <c r="I147" s="164">
        <f t="shared" ca="1" si="47"/>
        <v>261.60000000000002</v>
      </c>
      <c r="J147" s="164">
        <f t="shared" ca="1" si="47"/>
        <v>261.60000000000002</v>
      </c>
      <c r="K147" s="164">
        <f t="shared" ca="1" si="47"/>
        <v>261.60000000000002</v>
      </c>
      <c r="L147" s="21"/>
      <c r="M147" s="188" t="s">
        <v>180</v>
      </c>
    </row>
    <row r="148" spans="3:18">
      <c r="C148" s="81"/>
      <c r="D148" s="34"/>
      <c r="E148" s="34"/>
      <c r="F148" s="22"/>
      <c r="G148" s="208"/>
      <c r="H148" s="208"/>
      <c r="I148" s="208"/>
      <c r="J148" s="208"/>
      <c r="K148" s="208"/>
      <c r="L148" s="21"/>
      <c r="M148" s="188"/>
    </row>
    <row r="149" spans="3:18">
      <c r="C149" s="94" t="s">
        <v>67</v>
      </c>
      <c r="D149" s="34"/>
      <c r="E149" s="34"/>
      <c r="F149" s="22"/>
      <c r="G149" s="208"/>
      <c r="H149" s="208"/>
      <c r="I149" s="208"/>
      <c r="J149" s="208"/>
      <c r="K149" s="208"/>
      <c r="L149" s="21"/>
      <c r="M149" s="188"/>
    </row>
    <row r="150" spans="3:18">
      <c r="C150" s="26" t="s">
        <v>112</v>
      </c>
      <c r="D150" s="34"/>
      <c r="E150" s="34">
        <f t="shared" ref="E150:K150" si="48">E57</f>
        <v>103703</v>
      </c>
      <c r="F150" s="22">
        <f t="shared" si="48"/>
        <v>102519</v>
      </c>
      <c r="G150" s="61">
        <f t="shared" si="48"/>
        <v>102519</v>
      </c>
      <c r="H150" s="61">
        <f t="shared" si="48"/>
        <v>102519</v>
      </c>
      <c r="I150" s="61">
        <f t="shared" si="48"/>
        <v>102519</v>
      </c>
      <c r="J150" s="61">
        <f t="shared" si="48"/>
        <v>102519</v>
      </c>
      <c r="K150" s="61">
        <f t="shared" si="48"/>
        <v>102519</v>
      </c>
      <c r="L150" s="21"/>
      <c r="M150" s="188" t="s">
        <v>183</v>
      </c>
    </row>
    <row r="151" spans="3:18">
      <c r="C151" s="26" t="s">
        <v>111</v>
      </c>
      <c r="E151" s="93">
        <f t="shared" ref="E151" si="49">E152/AVERAGE(D150:E150)</f>
        <v>2.101458974185896E-2</v>
      </c>
      <c r="F151" s="100">
        <f>F152/AVERAGE(E150:F150)</f>
        <v>2.8891612921996681E-2</v>
      </c>
      <c r="G151" s="512">
        <f>F151</f>
        <v>2.8891612921996681E-2</v>
      </c>
      <c r="H151" s="512">
        <f>G151</f>
        <v>2.8891612921996681E-2</v>
      </c>
      <c r="I151" s="512">
        <f>H151</f>
        <v>2.8891612921996681E-2</v>
      </c>
      <c r="J151" s="512">
        <f>I151</f>
        <v>2.8891612921996681E-2</v>
      </c>
      <c r="K151" s="512">
        <f>J151</f>
        <v>2.8891612921996681E-2</v>
      </c>
      <c r="L151" s="21"/>
      <c r="M151" s="188" t="s">
        <v>132</v>
      </c>
      <c r="R151" s="99"/>
    </row>
    <row r="152" spans="3:18">
      <c r="C152" s="54" t="s">
        <v>186</v>
      </c>
      <c r="D152" s="52"/>
      <c r="E152" s="52">
        <f>E142-E147</f>
        <v>2179.2759999999998</v>
      </c>
      <c r="F152" s="51">
        <f>F142-F147</f>
        <v>2979.0430999999999</v>
      </c>
      <c r="G152" s="20">
        <f>G151*AVERAGE(F150:G150)</f>
        <v>2961.9392651501776</v>
      </c>
      <c r="H152" s="20">
        <f>H151*AVERAGE(G150:H150)</f>
        <v>2961.9392651501776</v>
      </c>
      <c r="I152" s="20">
        <f>I151*AVERAGE(H150:I150)</f>
        <v>2961.9392651501776</v>
      </c>
      <c r="J152" s="20">
        <f>J151*AVERAGE(I150:J150)</f>
        <v>2961.9392651501776</v>
      </c>
      <c r="K152" s="20">
        <f>K151*AVERAGE(J150:K150)</f>
        <v>2961.9392651501776</v>
      </c>
      <c r="L152" s="21"/>
      <c r="M152" s="188" t="s">
        <v>114</v>
      </c>
    </row>
    <row r="153" spans="3:18">
      <c r="E153" s="34"/>
      <c r="F153" s="6"/>
      <c r="G153" s="208"/>
      <c r="H153" s="208"/>
      <c r="I153" s="208"/>
      <c r="J153" s="208"/>
      <c r="K153" s="208"/>
      <c r="L153" s="21"/>
      <c r="M153" s="188"/>
    </row>
    <row r="154" spans="3:18">
      <c r="C154" s="60" t="s">
        <v>42</v>
      </c>
      <c r="E154" s="34"/>
      <c r="F154" s="22"/>
      <c r="G154" s="208"/>
      <c r="H154" s="208"/>
      <c r="I154" s="208"/>
      <c r="J154" s="208"/>
      <c r="K154" s="208"/>
      <c r="L154" s="21"/>
      <c r="M154" s="188"/>
    </row>
    <row r="155" spans="3:18" ht="15" customHeight="1">
      <c r="C155" s="26" t="s">
        <v>115</v>
      </c>
      <c r="D155" s="55">
        <v>1.7299999999999999E-2</v>
      </c>
      <c r="E155" s="56">
        <v>1.9900000000000001E-2</v>
      </c>
      <c r="F155" s="124">
        <v>2.1600000000000001E-2</v>
      </c>
      <c r="G155" s="210">
        <f>F155</f>
        <v>2.1600000000000001E-2</v>
      </c>
      <c r="H155" s="210">
        <f>G155</f>
        <v>2.1600000000000001E-2</v>
      </c>
      <c r="I155" s="210">
        <f>H155</f>
        <v>2.1600000000000001E-2</v>
      </c>
      <c r="J155" s="210">
        <f>I155</f>
        <v>2.1600000000000001E-2</v>
      </c>
      <c r="K155" s="210">
        <f>J155</f>
        <v>2.1600000000000001E-2</v>
      </c>
      <c r="L155" s="21"/>
      <c r="M155" s="188" t="s">
        <v>132</v>
      </c>
    </row>
    <row r="156" spans="3:18" ht="15" customHeight="1">
      <c r="C156" s="26" t="s">
        <v>4</v>
      </c>
      <c r="D156" s="34">
        <f>D23</f>
        <v>3999</v>
      </c>
      <c r="E156" s="34">
        <f>E23</f>
        <v>5201</v>
      </c>
      <c r="F156" s="22">
        <f>F23</f>
        <v>5686</v>
      </c>
      <c r="G156" s="38">
        <f ca="1">IF($D$7=1,AVERAGE(F45,G45)*G155,0)</f>
        <v>4744.4371106301642</v>
      </c>
      <c r="H156" s="38">
        <f t="shared" ref="H156:K156" ca="1" si="50">IF($D$7=1,AVERAGE(G45,H45)*H155,0)</f>
        <v>4090.2133392642463</v>
      </c>
      <c r="I156" s="38">
        <f t="shared" ca="1" si="50"/>
        <v>3592.0870665129901</v>
      </c>
      <c r="J156" s="38">
        <f t="shared" ca="1" si="50"/>
        <v>3200.5876330043361</v>
      </c>
      <c r="K156" s="38">
        <f t="shared" ca="1" si="50"/>
        <v>2913.259316698618</v>
      </c>
      <c r="L156" s="21"/>
      <c r="M156" s="188" t="s">
        <v>184</v>
      </c>
    </row>
    <row r="157" spans="3:18">
      <c r="C157" s="65"/>
      <c r="D157" s="100"/>
      <c r="E157" s="93"/>
      <c r="F157" s="93"/>
      <c r="G157" s="100"/>
      <c r="H157" s="100"/>
      <c r="I157" s="6"/>
      <c r="J157" s="6"/>
      <c r="K157" s="6"/>
    </row>
  </sheetData>
  <conditionalFormatting sqref="C39">
    <cfRule type="expression" dxfId="19" priority="1">
      <formula>#REF!=$C39</formula>
    </cfRule>
  </conditionalFormatting>
  <dataValidations disablePrompts="1" count="2">
    <dataValidation type="list" allowBlank="1" showInputMessage="1" showErrorMessage="1" sqref="D7" xr:uid="{4433FB4F-A7C3-42E6-912B-2B64BBBCC17D}">
      <formula1>"0,1"</formula1>
    </dataValidation>
    <dataValidation type="list" allowBlank="1" showInputMessage="1" showErrorMessage="1" sqref="C3" xr:uid="{F44A19A1-ABF4-4D29-AD92-2FB141971B97}">
      <formula1>"$ bns except per share, $ mm except per share,$ in thousands except per share"</formula1>
    </dataValidation>
  </dataValidations>
  <pageMargins left="0.7" right="0.7" top="0.75" bottom="0.75" header="0.3" footer="0.3"/>
  <pageSetup scale="30"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63C76-91A4-463F-8C25-C5764CD30C70}">
  <sheetPr>
    <pageSetUpPr fitToPage="1"/>
  </sheetPr>
  <dimension ref="C1:T219"/>
  <sheetViews>
    <sheetView topLeftCell="A184" zoomScaleNormal="100" workbookViewId="0">
      <selection activeCell="I33" sqref="I33"/>
    </sheetView>
  </sheetViews>
  <sheetFormatPr defaultColWidth="8.85546875" defaultRowHeight="15"/>
  <cols>
    <col min="1" max="2" width="1.7109375" style="5" customWidth="1"/>
    <col min="3" max="3" width="46.7109375" style="5" bestFit="1" customWidth="1"/>
    <col min="4" max="4" width="13.28515625" style="5" bestFit="1" customWidth="1"/>
    <col min="5" max="11" width="11.42578125" style="5" customWidth="1"/>
    <col min="12" max="12" width="2.28515625" style="5" customWidth="1"/>
    <col min="13" max="13" width="11.42578125" style="5" customWidth="1"/>
    <col min="14" max="14" width="11.85546875" style="5" customWidth="1"/>
    <col min="15" max="17" width="10.28515625" style="5" bestFit="1" customWidth="1"/>
    <col min="18" max="19" width="9.42578125" style="5" bestFit="1" customWidth="1"/>
    <col min="20" max="16384" width="8.85546875" style="5"/>
  </cols>
  <sheetData>
    <row r="1" spans="3:19" ht="15.75" thickBot="1"/>
    <row r="2" spans="3:19" ht="15.75" thickBot="1">
      <c r="C2" s="96" t="str">
        <f>"Financial Statement Model for "&amp;D5</f>
        <v>Financial Statement Model for Apple</v>
      </c>
      <c r="D2" s="79"/>
      <c r="E2" s="79"/>
      <c r="F2" s="79"/>
      <c r="G2" s="79"/>
      <c r="H2" s="79"/>
      <c r="I2" s="79"/>
      <c r="J2" s="79"/>
      <c r="K2" s="79"/>
    </row>
    <row r="3" spans="3:19">
      <c r="C3" s="2" t="s">
        <v>46</v>
      </c>
      <c r="D3" s="64"/>
      <c r="E3" s="64"/>
      <c r="F3" s="64"/>
      <c r="G3" s="64"/>
      <c r="H3" s="64"/>
      <c r="I3" s="6"/>
      <c r="J3" s="6"/>
      <c r="K3" s="6"/>
    </row>
    <row r="4" spans="3:19">
      <c r="O4" s="6"/>
      <c r="P4" s="6"/>
    </row>
    <row r="5" spans="3:19">
      <c r="C5" s="1" t="s">
        <v>5</v>
      </c>
      <c r="D5" s="112" t="s">
        <v>50</v>
      </c>
      <c r="O5" s="6"/>
      <c r="P5" s="6"/>
    </row>
    <row r="6" spans="3:19">
      <c r="C6" s="1" t="s">
        <v>6</v>
      </c>
      <c r="D6" s="112" t="s">
        <v>51</v>
      </c>
      <c r="O6" s="6"/>
      <c r="P6" s="6"/>
    </row>
    <row r="7" spans="3:19">
      <c r="C7" s="5" t="s">
        <v>109</v>
      </c>
      <c r="D7" s="113">
        <v>1</v>
      </c>
      <c r="O7" s="6"/>
      <c r="P7" s="6"/>
    </row>
    <row r="8" spans="3:19">
      <c r="C8" s="5" t="s">
        <v>73</v>
      </c>
      <c r="D8" s="114">
        <v>171.25</v>
      </c>
      <c r="O8" s="6"/>
      <c r="P8" s="6"/>
    </row>
    <row r="9" spans="3:19">
      <c r="C9" s="5" t="s">
        <v>9</v>
      </c>
      <c r="D9" s="115">
        <v>43500</v>
      </c>
      <c r="O9" s="6"/>
      <c r="P9" s="6"/>
    </row>
    <row r="10" spans="3:19">
      <c r="C10" s="1" t="s">
        <v>8</v>
      </c>
      <c r="D10" s="116">
        <v>43372</v>
      </c>
      <c r="O10" s="6"/>
      <c r="P10" s="6"/>
    </row>
    <row r="11" spans="3:19" ht="15" customHeight="1">
      <c r="C11" t="s">
        <v>292</v>
      </c>
      <c r="D11" s="132">
        <v>4745.3980000000001</v>
      </c>
      <c r="O11" s="6"/>
      <c r="P11" s="6"/>
    </row>
    <row r="12" spans="3:19">
      <c r="C12" s="21" t="s">
        <v>82</v>
      </c>
      <c r="D12" s="113" t="s">
        <v>83</v>
      </c>
      <c r="O12" s="6"/>
      <c r="P12" s="6"/>
    </row>
    <row r="13" spans="3:19">
      <c r="C13" s="176"/>
      <c r="D13" s="176"/>
      <c r="O13" s="6"/>
      <c r="P13" s="6"/>
    </row>
    <row r="14" spans="3:19">
      <c r="C14" s="7" t="s">
        <v>19</v>
      </c>
      <c r="D14" s="9"/>
      <c r="E14" s="9"/>
      <c r="F14" s="9"/>
      <c r="G14" s="9"/>
      <c r="H14" s="9"/>
      <c r="I14" s="9"/>
      <c r="J14" s="9"/>
      <c r="K14" s="9"/>
      <c r="Q14" s="6"/>
    </row>
    <row r="15" spans="3:19">
      <c r="C15" s="6" t="s">
        <v>10</v>
      </c>
      <c r="D15" s="10">
        <f>E15-1</f>
        <v>2016</v>
      </c>
      <c r="E15" s="10">
        <f>F15-1</f>
        <v>2017</v>
      </c>
      <c r="F15" s="10">
        <f>YEAR(D10)</f>
        <v>2018</v>
      </c>
      <c r="G15" s="11">
        <f>F15+1</f>
        <v>2019</v>
      </c>
      <c r="H15" s="11">
        <f>G15+1</f>
        <v>2020</v>
      </c>
      <c r="I15" s="11">
        <f>H15+1</f>
        <v>2021</v>
      </c>
      <c r="J15" s="11">
        <f>I15+1</f>
        <v>2022</v>
      </c>
      <c r="K15" s="11">
        <f>J15+1</f>
        <v>2023</v>
      </c>
      <c r="Q15" s="6"/>
    </row>
    <row r="16" spans="3:19">
      <c r="C16" s="12" t="s">
        <v>7</v>
      </c>
      <c r="D16" s="89">
        <f>EOMONTH(E16,-12)</f>
        <v>42643</v>
      </c>
      <c r="E16" s="89">
        <f>EOMONTH(F16,-12)</f>
        <v>43008</v>
      </c>
      <c r="F16" s="89">
        <f>D10</f>
        <v>43372</v>
      </c>
      <c r="G16" s="89">
        <f>EOMONTH(F16,12)</f>
        <v>43738</v>
      </c>
      <c r="H16" s="89">
        <f>EOMONTH(G16,12)</f>
        <v>44104</v>
      </c>
      <c r="I16" s="89">
        <f>EOMONTH(H16,12)</f>
        <v>44469</v>
      </c>
      <c r="J16" s="89">
        <f>EOMONTH(I16,12)</f>
        <v>44834</v>
      </c>
      <c r="K16" s="89">
        <f>EOMONTH(J16,12)</f>
        <v>45199</v>
      </c>
      <c r="M16" s="84" t="s">
        <v>86</v>
      </c>
      <c r="N16" s="97"/>
      <c r="O16" s="97"/>
      <c r="P16" s="97"/>
      <c r="Q16" s="97"/>
      <c r="R16" s="97"/>
      <c r="S16" s="97"/>
    </row>
    <row r="17" spans="3:14">
      <c r="C17" s="14"/>
      <c r="D17" s="15"/>
      <c r="E17" s="16"/>
      <c r="F17" s="16"/>
      <c r="G17" s="85"/>
      <c r="H17" s="86"/>
      <c r="I17" s="86"/>
      <c r="J17" s="16"/>
      <c r="K17" s="16"/>
    </row>
    <row r="18" spans="3:14" ht="15" customHeight="1">
      <c r="C18" s="6" t="s">
        <v>11</v>
      </c>
      <c r="D18" s="17">
        <v>215639</v>
      </c>
      <c r="E18" s="17">
        <v>229234</v>
      </c>
      <c r="F18" s="17">
        <v>265595</v>
      </c>
      <c r="G18" s="38">
        <f>F18*(1+G37)</f>
        <v>254971.19999999998</v>
      </c>
      <c r="H18" s="38">
        <f>G18*(1+H37)</f>
        <v>270269.47200000001</v>
      </c>
      <c r="I18" s="38">
        <f>H18*(1+I37)</f>
        <v>288918.06556800002</v>
      </c>
      <c r="J18" s="38">
        <f>I18*(1+J37)</f>
        <v>308853.41209219198</v>
      </c>
      <c r="K18" s="38">
        <f>J18*(1+K37)</f>
        <v>330164.29752655321</v>
      </c>
      <c r="M18" s="5" t="s">
        <v>87</v>
      </c>
    </row>
    <row r="19" spans="3:14">
      <c r="C19" s="6" t="s">
        <v>14</v>
      </c>
      <c r="D19" s="17">
        <v>-131376</v>
      </c>
      <c r="E19" s="17">
        <v>-141048</v>
      </c>
      <c r="F19" s="17">
        <v>-163756</v>
      </c>
      <c r="G19" s="63">
        <f>G20-G18</f>
        <v>-158592.08639999997</v>
      </c>
      <c r="H19" s="63">
        <f>H20-H18</f>
        <v>-167296.80316800001</v>
      </c>
      <c r="I19" s="63">
        <f>I20-I18</f>
        <v>-178551.36452102399</v>
      </c>
      <c r="J19" s="63">
        <f>J20-J18</f>
        <v>-190871.40867297465</v>
      </c>
      <c r="K19" s="63">
        <f>K20-K18</f>
        <v>-204041.53587140987</v>
      </c>
      <c r="M19" s="5" t="s">
        <v>88</v>
      </c>
    </row>
    <row r="20" spans="3:14">
      <c r="C20" s="19" t="s">
        <v>13</v>
      </c>
      <c r="D20" s="20">
        <f>SUM(D18:D19)</f>
        <v>84263</v>
      </c>
      <c r="E20" s="20">
        <f>SUM(E18:E19)</f>
        <v>88186</v>
      </c>
      <c r="F20" s="20">
        <f>SUM(F18:F19)</f>
        <v>101839</v>
      </c>
      <c r="G20" s="20">
        <f>G18*G38</f>
        <v>96379.113599999997</v>
      </c>
      <c r="H20" s="20">
        <f>H18*H38</f>
        <v>102972.66883200001</v>
      </c>
      <c r="I20" s="20">
        <f>I18*I38</f>
        <v>110366.70104697601</v>
      </c>
      <c r="J20" s="20">
        <f>J18*J38</f>
        <v>117982.00341921733</v>
      </c>
      <c r="K20" s="20">
        <f>K18*K38</f>
        <v>126122.76165514333</v>
      </c>
      <c r="M20" s="87" t="s">
        <v>89</v>
      </c>
    </row>
    <row r="21" spans="3:14">
      <c r="C21" s="21" t="s">
        <v>52</v>
      </c>
      <c r="D21" s="17">
        <v>-10045</v>
      </c>
      <c r="E21" s="17">
        <v>-11581</v>
      </c>
      <c r="F21" s="17">
        <v>-14236</v>
      </c>
      <c r="G21" s="63">
        <f>-G39*G18</f>
        <v>-15808.214399999999</v>
      </c>
      <c r="H21" s="63">
        <f>-H39*H18</f>
        <v>-17026.976736000001</v>
      </c>
      <c r="I21" s="63">
        <f>-I39*I18</f>
        <v>-18201.838130784003</v>
      </c>
      <c r="J21" s="63">
        <f>-J39*J18</f>
        <v>-19457.764961808094</v>
      </c>
      <c r="K21" s="63">
        <f>-K39*K18</f>
        <v>-20800.350744172854</v>
      </c>
      <c r="M21" s="87" t="s">
        <v>233</v>
      </c>
    </row>
    <row r="22" spans="3:14">
      <c r="C22" s="21" t="s">
        <v>16</v>
      </c>
      <c r="D22" s="17">
        <v>-14194</v>
      </c>
      <c r="E22" s="17">
        <v>-15261</v>
      </c>
      <c r="F22" s="17">
        <v>-16705</v>
      </c>
      <c r="G22" s="63">
        <f>-G18*G40</f>
        <v>-18867.868799999997</v>
      </c>
      <c r="H22" s="63">
        <f>-H18*H40</f>
        <v>-18648.593568000004</v>
      </c>
      <c r="I22" s="63">
        <f>-I18*I40</f>
        <v>-19935.346524192002</v>
      </c>
      <c r="J22" s="63">
        <f>-J18*J40</f>
        <v>-21310.885434361247</v>
      </c>
      <c r="K22" s="63">
        <f>-K18*K40</f>
        <v>-22781.336529332173</v>
      </c>
      <c r="M22" s="87" t="s">
        <v>235</v>
      </c>
    </row>
    <row r="23" spans="3:14">
      <c r="C23" s="19" t="s">
        <v>3</v>
      </c>
      <c r="D23" s="20">
        <f t="shared" ref="D23:K23" si="0">D20+D21+D22</f>
        <v>60024</v>
      </c>
      <c r="E23" s="20">
        <f t="shared" si="0"/>
        <v>61344</v>
      </c>
      <c r="F23" s="20">
        <f t="shared" si="0"/>
        <v>70898</v>
      </c>
      <c r="G23" s="20">
        <f t="shared" si="0"/>
        <v>61703.030400000003</v>
      </c>
      <c r="H23" s="20">
        <f t="shared" si="0"/>
        <v>67297.098528000002</v>
      </c>
      <c r="I23" s="20">
        <f t="shared" si="0"/>
        <v>72229.516392000005</v>
      </c>
      <c r="J23" s="20">
        <f t="shared" si="0"/>
        <v>77213.353023047996</v>
      </c>
      <c r="K23" s="20">
        <f t="shared" si="0"/>
        <v>82541.074381638304</v>
      </c>
      <c r="M23" s="24" t="s">
        <v>90</v>
      </c>
    </row>
    <row r="24" spans="3:14">
      <c r="C24" s="6" t="s">
        <v>4</v>
      </c>
      <c r="D24" s="17">
        <v>3999</v>
      </c>
      <c r="E24" s="17">
        <v>5201</v>
      </c>
      <c r="F24" s="17">
        <v>5686</v>
      </c>
      <c r="G24" s="61">
        <f ca="1">G157</f>
        <v>4744.4371106301642</v>
      </c>
      <c r="H24" s="61">
        <f ca="1">H157</f>
        <v>4090.2133392642463</v>
      </c>
      <c r="I24" s="61">
        <f ca="1">I157</f>
        <v>3592.0870665129901</v>
      </c>
      <c r="J24" s="61">
        <f ca="1">J157</f>
        <v>3200.5876330043361</v>
      </c>
      <c r="K24" s="61">
        <f ca="1">K157</f>
        <v>2913.259316698618</v>
      </c>
      <c r="M24" s="5" t="s">
        <v>95</v>
      </c>
    </row>
    <row r="25" spans="3:14">
      <c r="C25" s="6" t="s">
        <v>17</v>
      </c>
      <c r="D25" s="17">
        <v>-1456</v>
      </c>
      <c r="E25" s="17">
        <v>-2323</v>
      </c>
      <c r="F25" s="17">
        <v>-3240</v>
      </c>
      <c r="G25" s="61">
        <f ca="1">-G143</f>
        <v>-3223.1468651501777</v>
      </c>
      <c r="H25" s="61">
        <f ca="1">-H143</f>
        <v>-3223.5392651501775</v>
      </c>
      <c r="I25" s="61">
        <f ca="1">-I143</f>
        <v>-3223.5392651501775</v>
      </c>
      <c r="J25" s="61">
        <f ca="1">-J143</f>
        <v>-3223.5392651501775</v>
      </c>
      <c r="K25" s="61">
        <f ca="1">-K143</f>
        <v>-3223.5392651501775</v>
      </c>
      <c r="M25" s="5" t="s">
        <v>94</v>
      </c>
    </row>
    <row r="26" spans="3:14">
      <c r="C26" s="21" t="s">
        <v>53</v>
      </c>
      <c r="D26" s="17">
        <v>-1195</v>
      </c>
      <c r="E26" s="17">
        <v>-133</v>
      </c>
      <c r="F26" s="17">
        <v>-441</v>
      </c>
      <c r="G26" s="61">
        <f>F26</f>
        <v>-441</v>
      </c>
      <c r="H26" s="61">
        <f>G26</f>
        <v>-441</v>
      </c>
      <c r="I26" s="61">
        <f>H26</f>
        <v>-441</v>
      </c>
      <c r="J26" s="61">
        <f>I26</f>
        <v>-441</v>
      </c>
      <c r="K26" s="61">
        <f>J26</f>
        <v>-441</v>
      </c>
      <c r="M26" s="5" t="s">
        <v>91</v>
      </c>
    </row>
    <row r="27" spans="3:14">
      <c r="C27" s="19" t="s">
        <v>12</v>
      </c>
      <c r="D27" s="20">
        <f t="shared" ref="D27:K27" si="1">SUM(D23:D26)</f>
        <v>61372</v>
      </c>
      <c r="E27" s="20">
        <f t="shared" si="1"/>
        <v>64089</v>
      </c>
      <c r="F27" s="20">
        <f t="shared" si="1"/>
        <v>72903</v>
      </c>
      <c r="G27" s="20">
        <f ca="1">SUM(G23:G26)</f>
        <v>62783.320645479995</v>
      </c>
      <c r="H27" s="20">
        <f t="shared" ca="1" si="1"/>
        <v>67722.77260211407</v>
      </c>
      <c r="I27" s="20">
        <f t="shared" ca="1" si="1"/>
        <v>72157.064193362821</v>
      </c>
      <c r="J27" s="20">
        <f t="shared" ca="1" si="1"/>
        <v>76749.40139090216</v>
      </c>
      <c r="K27" s="20">
        <f t="shared" ca="1" si="1"/>
        <v>81789.794433186747</v>
      </c>
      <c r="M27" s="24" t="s">
        <v>96</v>
      </c>
      <c r="N27" s="24"/>
    </row>
    <row r="28" spans="3:14">
      <c r="C28" s="6" t="s">
        <v>15</v>
      </c>
      <c r="D28" s="17">
        <v>-15685</v>
      </c>
      <c r="E28" s="17">
        <v>-15738</v>
      </c>
      <c r="F28" s="17">
        <v>-13372</v>
      </c>
      <c r="G28" s="63">
        <f ca="1">-G41*G27</f>
        <v>-10484.81454779516</v>
      </c>
      <c r="H28" s="63">
        <f ca="1">-H41*H27</f>
        <v>-11512.871342359393</v>
      </c>
      <c r="I28" s="63">
        <f ca="1">-I41*I27</f>
        <v>-12194.543848678317</v>
      </c>
      <c r="J28" s="63">
        <f ca="1">-J41*J27</f>
        <v>-12970.648835062466</v>
      </c>
      <c r="K28" s="63">
        <f ca="1">-K41*K27</f>
        <v>-13822.475259208561</v>
      </c>
      <c r="M28" s="5" t="s">
        <v>92</v>
      </c>
    </row>
    <row r="29" spans="3:14">
      <c r="C29" s="19" t="s">
        <v>2</v>
      </c>
      <c r="D29" s="23">
        <f t="shared" ref="D29:K29" si="2">SUM(D27:D28)</f>
        <v>45687</v>
      </c>
      <c r="E29" s="23">
        <f t="shared" si="2"/>
        <v>48351</v>
      </c>
      <c r="F29" s="23">
        <f t="shared" si="2"/>
        <v>59531</v>
      </c>
      <c r="G29" s="20">
        <f ca="1">SUM(G27:G28)</f>
        <v>52298.506097684833</v>
      </c>
      <c r="H29" s="20">
        <f t="shared" ca="1" si="2"/>
        <v>56209.901259754675</v>
      </c>
      <c r="I29" s="20">
        <f t="shared" ca="1" si="2"/>
        <v>59962.520344684504</v>
      </c>
      <c r="J29" s="20">
        <f t="shared" ca="1" si="2"/>
        <v>63778.752555839696</v>
      </c>
      <c r="K29" s="20">
        <f t="shared" ca="1" si="2"/>
        <v>67967.319173978191</v>
      </c>
      <c r="M29" s="24" t="s">
        <v>93</v>
      </c>
    </row>
    <row r="30" spans="3:14">
      <c r="C30" s="28"/>
      <c r="D30" s="34"/>
      <c r="E30" s="34"/>
      <c r="F30" s="34"/>
      <c r="G30" s="57"/>
      <c r="H30" s="57"/>
      <c r="I30" s="57"/>
      <c r="J30" s="57"/>
      <c r="K30" s="57"/>
    </row>
    <row r="31" spans="3:14">
      <c r="C31" s="72" t="s">
        <v>49</v>
      </c>
      <c r="D31" s="3">
        <v>10505</v>
      </c>
      <c r="E31" s="3">
        <v>10157</v>
      </c>
      <c r="F31" s="3">
        <v>10903</v>
      </c>
      <c r="G31" s="57">
        <f>G107</f>
        <v>11085.020171261172</v>
      </c>
      <c r="H31" s="57">
        <f>H107</f>
        <v>11711.890744865921</v>
      </c>
      <c r="I31" s="57">
        <f>I107</f>
        <v>12226.380531123083</v>
      </c>
      <c r="J31" s="57">
        <f>J107</f>
        <v>13365.451007770575</v>
      </c>
      <c r="K31" s="57">
        <f>K107</f>
        <v>14603.503412486743</v>
      </c>
      <c r="M31" s="5" t="s">
        <v>159</v>
      </c>
    </row>
    <row r="32" spans="3:14">
      <c r="C32" s="73" t="s">
        <v>47</v>
      </c>
      <c r="D32" s="69">
        <f t="shared" ref="D32:K32" si="3">D23+D31</f>
        <v>70529</v>
      </c>
      <c r="E32" s="69">
        <f t="shared" si="3"/>
        <v>71501</v>
      </c>
      <c r="F32" s="69">
        <f t="shared" si="3"/>
        <v>81801</v>
      </c>
      <c r="G32" s="186">
        <f t="shared" si="3"/>
        <v>72788.050571261178</v>
      </c>
      <c r="H32" s="186">
        <f t="shared" si="3"/>
        <v>79008.989272865918</v>
      </c>
      <c r="I32" s="186">
        <f t="shared" si="3"/>
        <v>84455.896923123088</v>
      </c>
      <c r="J32" s="186">
        <f t="shared" si="3"/>
        <v>90578.804030818574</v>
      </c>
      <c r="K32" s="186">
        <f t="shared" si="3"/>
        <v>97144.577794125042</v>
      </c>
      <c r="M32" s="24" t="s">
        <v>97</v>
      </c>
    </row>
    <row r="33" spans="3:20">
      <c r="C33" s="72" t="s">
        <v>74</v>
      </c>
      <c r="D33" s="3">
        <v>4210</v>
      </c>
      <c r="E33" s="3">
        <v>4840</v>
      </c>
      <c r="F33" s="3">
        <v>5340</v>
      </c>
      <c r="G33" s="57">
        <f>F33*(1+G37)</f>
        <v>5126.3999999999996</v>
      </c>
      <c r="H33" s="57">
        <f>G33*(1+H37)</f>
        <v>5433.9839999999995</v>
      </c>
      <c r="I33" s="57">
        <f>H33*(1+I37)</f>
        <v>5808.9288959999994</v>
      </c>
      <c r="J33" s="57">
        <f>I33*(1+J37)</f>
        <v>6209.7449898239993</v>
      </c>
      <c r="K33" s="57">
        <f>J33*(1+K37)</f>
        <v>6638.2173941218552</v>
      </c>
      <c r="M33" s="5" t="s">
        <v>99</v>
      </c>
    </row>
    <row r="34" spans="3:20">
      <c r="C34" s="73" t="s">
        <v>72</v>
      </c>
      <c r="D34" s="69">
        <f t="shared" ref="D34:K34" si="4">SUM(D32:D33)</f>
        <v>74739</v>
      </c>
      <c r="E34" s="69">
        <f t="shared" si="4"/>
        <v>76341</v>
      </c>
      <c r="F34" s="69">
        <f>SUM(F32:F33)</f>
        <v>87141</v>
      </c>
      <c r="G34" s="186">
        <f t="shared" si="4"/>
        <v>77914.450571261172</v>
      </c>
      <c r="H34" s="186">
        <f t="shared" si="4"/>
        <v>84442.973272865915</v>
      </c>
      <c r="I34" s="186">
        <f t="shared" si="4"/>
        <v>90264.825819123085</v>
      </c>
      <c r="J34" s="186">
        <f t="shared" si="4"/>
        <v>96788.549020642575</v>
      </c>
      <c r="K34" s="186">
        <f t="shared" si="4"/>
        <v>103782.79518824689</v>
      </c>
      <c r="M34" s="24" t="s">
        <v>98</v>
      </c>
    </row>
    <row r="35" spans="3:20">
      <c r="C35" s="28"/>
      <c r="G35" s="187"/>
      <c r="H35" s="188"/>
      <c r="I35" s="188"/>
      <c r="J35" s="188"/>
      <c r="K35" s="188"/>
    </row>
    <row r="36" spans="3:20">
      <c r="C36" s="25" t="s">
        <v>18</v>
      </c>
      <c r="G36" s="188"/>
      <c r="H36" s="188"/>
      <c r="I36" s="188"/>
      <c r="J36" s="188"/>
      <c r="K36" s="188"/>
    </row>
    <row r="37" spans="3:20">
      <c r="C37" s="26" t="s">
        <v>1</v>
      </c>
      <c r="D37" s="27"/>
      <c r="E37" s="27">
        <f>E18/D18-1</f>
        <v>6.304518199398057E-2</v>
      </c>
      <c r="F37" s="27">
        <f>F18/E18-1</f>
        <v>0.15861957650261305</v>
      </c>
      <c r="G37" s="250">
        <v>-0.04</v>
      </c>
      <c r="H37" s="250">
        <v>0.06</v>
      </c>
      <c r="I37" s="250">
        <v>6.9000000000000006E-2</v>
      </c>
      <c r="J37" s="134">
        <f>I37</f>
        <v>6.9000000000000006E-2</v>
      </c>
      <c r="K37" s="134">
        <f t="shared" ref="K37:K41" si="5">J37</f>
        <v>6.9000000000000006E-2</v>
      </c>
      <c r="M37" s="5" t="s">
        <v>192</v>
      </c>
      <c r="O37" s="59"/>
      <c r="P37" s="59"/>
      <c r="Q37" s="59"/>
      <c r="R37" s="59"/>
      <c r="S37" s="59"/>
      <c r="T37" s="59"/>
    </row>
    <row r="38" spans="3:20">
      <c r="C38" s="26" t="s">
        <v>231</v>
      </c>
      <c r="D38" s="27">
        <f>D20/D18</f>
        <v>0.39075955648097049</v>
      </c>
      <c r="E38" s="27">
        <f>E20/E18</f>
        <v>0.38469860491899105</v>
      </c>
      <c r="F38" s="27">
        <f>F20/F18</f>
        <v>0.38343718820007905</v>
      </c>
      <c r="G38" s="250">
        <v>0.378</v>
      </c>
      <c r="H38" s="250">
        <v>0.38100000000000001</v>
      </c>
      <c r="I38" s="250">
        <v>0.38200000000000001</v>
      </c>
      <c r="J38" s="134">
        <f t="shared" ref="J38" si="6">I38</f>
        <v>0.38200000000000001</v>
      </c>
      <c r="K38" s="134">
        <f t="shared" si="5"/>
        <v>0.38200000000000001</v>
      </c>
      <c r="M38" s="5" t="s">
        <v>192</v>
      </c>
      <c r="O38" s="59"/>
      <c r="P38" s="59"/>
      <c r="Q38" s="59"/>
      <c r="R38" s="59"/>
      <c r="S38" s="59"/>
      <c r="T38" s="59"/>
    </row>
    <row r="39" spans="3:20">
      <c r="C39" s="26" t="s">
        <v>232</v>
      </c>
      <c r="D39" s="27">
        <f>-D21/D18</f>
        <v>4.6582482760539605E-2</v>
      </c>
      <c r="E39" s="27">
        <f>-E21/E18</f>
        <v>5.0520428906706681E-2</v>
      </c>
      <c r="F39" s="27">
        <f>-F21/F18</f>
        <v>5.3600406634161032E-2</v>
      </c>
      <c r="G39" s="250">
        <v>6.2E-2</v>
      </c>
      <c r="H39" s="250">
        <v>6.3E-2</v>
      </c>
      <c r="I39" s="250">
        <v>6.3E-2</v>
      </c>
      <c r="J39" s="134">
        <f t="shared" ref="J39" si="7">I39</f>
        <v>6.3E-2</v>
      </c>
      <c r="K39" s="134">
        <f t="shared" si="5"/>
        <v>6.3E-2</v>
      </c>
      <c r="M39" s="5" t="s">
        <v>192</v>
      </c>
      <c r="O39" s="59"/>
      <c r="P39" s="59"/>
      <c r="Q39" s="59"/>
      <c r="R39" s="59"/>
      <c r="S39" s="59"/>
      <c r="T39" s="59"/>
    </row>
    <row r="40" spans="3:20">
      <c r="C40" s="26" t="s">
        <v>234</v>
      </c>
      <c r="D40" s="27">
        <f>-D22/D18</f>
        <v>6.5822972653369755E-2</v>
      </c>
      <c r="E40" s="27">
        <f>-E22/E18</f>
        <v>6.6573893924984945E-2</v>
      </c>
      <c r="F40" s="27">
        <f>-F22/F18</f>
        <v>6.2896515371147807E-2</v>
      </c>
      <c r="G40" s="250">
        <v>7.3999999999999996E-2</v>
      </c>
      <c r="H40" s="250">
        <v>6.9000000000000006E-2</v>
      </c>
      <c r="I40" s="250">
        <v>6.9000000000000006E-2</v>
      </c>
      <c r="J40" s="134">
        <f t="shared" ref="J40" si="8">I40</f>
        <v>6.9000000000000006E-2</v>
      </c>
      <c r="K40" s="134">
        <f t="shared" si="5"/>
        <v>6.9000000000000006E-2</v>
      </c>
      <c r="M40" s="5" t="s">
        <v>192</v>
      </c>
      <c r="O40" s="59"/>
      <c r="P40" s="59"/>
      <c r="Q40" s="59"/>
      <c r="R40" s="59"/>
      <c r="S40" s="59"/>
      <c r="T40" s="59"/>
    </row>
    <row r="41" spans="3:20">
      <c r="C41" s="26" t="s">
        <v>0</v>
      </c>
      <c r="D41" s="27">
        <f>-(D28/D27)</f>
        <v>0.25557257381216192</v>
      </c>
      <c r="E41" s="27">
        <f>-(E28/E27)</f>
        <v>0.24556476150353415</v>
      </c>
      <c r="F41" s="27">
        <f>-(F28/F27)</f>
        <v>0.18342180705869443</v>
      </c>
      <c r="G41" s="250">
        <v>0.16700000000000001</v>
      </c>
      <c r="H41" s="250">
        <v>0.17</v>
      </c>
      <c r="I41" s="250">
        <v>0.16900000000000001</v>
      </c>
      <c r="J41" s="134">
        <f t="shared" ref="J41" si="9">I41</f>
        <v>0.16900000000000001</v>
      </c>
      <c r="K41" s="134">
        <f t="shared" si="5"/>
        <v>0.16900000000000001</v>
      </c>
      <c r="M41" s="5" t="s">
        <v>153</v>
      </c>
      <c r="O41" s="29"/>
      <c r="P41" s="29"/>
      <c r="Q41" s="29"/>
      <c r="R41" s="29"/>
      <c r="S41" s="29"/>
      <c r="T41" s="29"/>
    </row>
    <row r="42" spans="3:20">
      <c r="C42" s="28"/>
      <c r="G42" s="187"/>
      <c r="H42" s="188"/>
      <c r="I42" s="188"/>
      <c r="J42" s="188"/>
      <c r="K42" s="188"/>
    </row>
    <row r="43" spans="3:20">
      <c r="C43" s="7" t="s">
        <v>20</v>
      </c>
      <c r="D43" s="13"/>
      <c r="E43" s="13"/>
      <c r="F43" s="13"/>
      <c r="G43" s="190"/>
      <c r="H43" s="190"/>
      <c r="I43" s="190"/>
      <c r="J43" s="190"/>
      <c r="K43" s="190"/>
    </row>
    <row r="44" spans="3:20">
      <c r="C44" s="35" t="str">
        <f>C15</f>
        <v xml:space="preserve">Fiscal year  </v>
      </c>
      <c r="D44" s="30"/>
      <c r="E44" s="30">
        <f t="shared" ref="E44:K45" si="10">E15</f>
        <v>2017</v>
      </c>
      <c r="F44" s="30">
        <f t="shared" si="10"/>
        <v>2018</v>
      </c>
      <c r="G44" s="191">
        <f t="shared" si="10"/>
        <v>2019</v>
      </c>
      <c r="H44" s="191">
        <f t="shared" si="10"/>
        <v>2020</v>
      </c>
      <c r="I44" s="191">
        <f t="shared" si="10"/>
        <v>2021</v>
      </c>
      <c r="J44" s="191">
        <f t="shared" si="10"/>
        <v>2022</v>
      </c>
      <c r="K44" s="191">
        <f t="shared" si="10"/>
        <v>2023</v>
      </c>
    </row>
    <row r="45" spans="3:20">
      <c r="C45" s="9" t="str">
        <f>C16</f>
        <v>Fiscal year end date</v>
      </c>
      <c r="D45" s="32"/>
      <c r="E45" s="32">
        <f t="shared" si="10"/>
        <v>43008</v>
      </c>
      <c r="F45" s="32">
        <f t="shared" si="10"/>
        <v>43372</v>
      </c>
      <c r="G45" s="192">
        <f t="shared" si="10"/>
        <v>43738</v>
      </c>
      <c r="H45" s="192">
        <f t="shared" si="10"/>
        <v>44104</v>
      </c>
      <c r="I45" s="192">
        <f t="shared" si="10"/>
        <v>44469</v>
      </c>
      <c r="J45" s="192">
        <f t="shared" si="10"/>
        <v>44834</v>
      </c>
      <c r="K45" s="192">
        <f t="shared" si="10"/>
        <v>45199</v>
      </c>
    </row>
    <row r="46" spans="3:20">
      <c r="C46" s="5" t="s">
        <v>138</v>
      </c>
      <c r="D46" s="36"/>
      <c r="E46" s="36">
        <f>20289+53892+194714</f>
        <v>268895</v>
      </c>
      <c r="F46" s="36">
        <f>25913+40388+170799</f>
        <v>237100</v>
      </c>
      <c r="G46" s="193">
        <f ca="1">G91+F46</f>
        <v>202199.73246575586</v>
      </c>
      <c r="H46" s="193">
        <f ca="1">H91+G46</f>
        <v>176523.72487352614</v>
      </c>
      <c r="I46" s="193">
        <f ca="1">I91+H46</f>
        <v>156076.92943323214</v>
      </c>
      <c r="J46" s="193">
        <f ca="1">J91+I46</f>
        <v>140273.77732642859</v>
      </c>
      <c r="K46" s="193">
        <f ca="1">K91+J46</f>
        <v>129472.4557012212</v>
      </c>
      <c r="M46" s="5" t="s">
        <v>118</v>
      </c>
    </row>
    <row r="47" spans="3:20">
      <c r="C47" s="5" t="s">
        <v>54</v>
      </c>
      <c r="D47" s="36"/>
      <c r="E47" s="36">
        <v>17874</v>
      </c>
      <c r="F47" s="36">
        <v>23186</v>
      </c>
      <c r="G47" s="193">
        <f>F47*(1+G37)</f>
        <v>22258.559999999998</v>
      </c>
      <c r="H47" s="193">
        <f>G47*(1+H37)</f>
        <v>23594.0736</v>
      </c>
      <c r="I47" s="193">
        <f>H47*(1+I37)</f>
        <v>25222.064678399998</v>
      </c>
      <c r="J47" s="193">
        <f>I47*(1+J37)</f>
        <v>26962.387141209598</v>
      </c>
      <c r="K47" s="193">
        <f>J47*(1+K37)</f>
        <v>28822.791853953058</v>
      </c>
      <c r="M47" s="5" t="s">
        <v>103</v>
      </c>
    </row>
    <row r="48" spans="3:20">
      <c r="C48" s="5" t="s">
        <v>55</v>
      </c>
      <c r="D48" s="36"/>
      <c r="E48" s="36">
        <v>4855</v>
      </c>
      <c r="F48" s="36">
        <v>3956</v>
      </c>
      <c r="G48" s="193">
        <f>F48*G19/F19</f>
        <v>3831.2507254598299</v>
      </c>
      <c r="H48" s="193">
        <f>G48*H19/G19</f>
        <v>4041.5383456643303</v>
      </c>
      <c r="I48" s="193">
        <f>H48*I19/H19</f>
        <v>4313.4248396710409</v>
      </c>
      <c r="J48" s="193">
        <f>I48*J19/I19</f>
        <v>4611.0511536083422</v>
      </c>
      <c r="K48" s="193">
        <f>J48*K19/J19</f>
        <v>4929.2136832073174</v>
      </c>
      <c r="M48" s="5" t="s">
        <v>104</v>
      </c>
    </row>
    <row r="49" spans="3:13">
      <c r="C49" s="6" t="s">
        <v>108</v>
      </c>
      <c r="D49" s="37"/>
      <c r="E49" s="37">
        <f>17799+13936</f>
        <v>31735</v>
      </c>
      <c r="F49" s="37">
        <f>25809+12087</f>
        <v>37896</v>
      </c>
      <c r="G49" s="193">
        <f>F49*(1+G37)</f>
        <v>36380.159999999996</v>
      </c>
      <c r="H49" s="193">
        <f>G49*(1+H37)</f>
        <v>38562.969599999997</v>
      </c>
      <c r="I49" s="193">
        <f>H49*(1+I37)</f>
        <v>41223.814502399997</v>
      </c>
      <c r="J49" s="193">
        <f>I49*(1+J37)</f>
        <v>44068.257703065596</v>
      </c>
      <c r="K49" s="193">
        <f>J49*(1+K37)</f>
        <v>47108.967484577122</v>
      </c>
      <c r="M49" s="5" t="s">
        <v>103</v>
      </c>
    </row>
    <row r="50" spans="3:13">
      <c r="C50" s="21" t="s">
        <v>21</v>
      </c>
      <c r="D50" s="37"/>
      <c r="E50" s="37">
        <v>33783</v>
      </c>
      <c r="F50" s="37">
        <v>41304</v>
      </c>
      <c r="G50" s="193">
        <f>G100</f>
        <v>45042.85982873883</v>
      </c>
      <c r="H50" s="193">
        <f>H100</f>
        <v>48611.181883872909</v>
      </c>
      <c r="I50" s="193">
        <f>I100</f>
        <v>51947.567835949827</v>
      </c>
      <c r="J50" s="193">
        <f>J100</f>
        <v>55218.714198720052</v>
      </c>
      <c r="K50" s="193">
        <f>K100</f>
        <v>58399.73337534142</v>
      </c>
      <c r="M50" s="5" t="s">
        <v>105</v>
      </c>
    </row>
    <row r="51" spans="3:13">
      <c r="C51" s="21" t="s">
        <v>56</v>
      </c>
      <c r="D51" s="37"/>
      <c r="E51" s="37">
        <v>18177</v>
      </c>
      <c r="F51" s="37">
        <v>22283</v>
      </c>
      <c r="G51" s="193">
        <f>F51*(1+G37)</f>
        <v>21391.68</v>
      </c>
      <c r="H51" s="193">
        <f>G51*(1+H37)</f>
        <v>22675.180800000002</v>
      </c>
      <c r="I51" s="193">
        <f>H51*(1+I37)</f>
        <v>24239.7682752</v>
      </c>
      <c r="J51" s="193">
        <f>I51*(1+J37)</f>
        <v>25912.3122861888</v>
      </c>
      <c r="K51" s="193">
        <f>J51*(1+K37)</f>
        <v>27700.261833935827</v>
      </c>
      <c r="M51" s="5" t="s">
        <v>103</v>
      </c>
    </row>
    <row r="52" spans="3:13">
      <c r="C52" s="39" t="s">
        <v>22</v>
      </c>
      <c r="D52" s="40"/>
      <c r="E52" s="40">
        <f t="shared" ref="E52:K52" si="11">SUM(E46:E51)</f>
        <v>375319</v>
      </c>
      <c r="F52" s="40">
        <f t="shared" si="11"/>
        <v>365725</v>
      </c>
      <c r="G52" s="194">
        <f t="shared" ca="1" si="11"/>
        <v>331104.24301995453</v>
      </c>
      <c r="H52" s="194">
        <f t="shared" ca="1" si="11"/>
        <v>314008.66910306341</v>
      </c>
      <c r="I52" s="194">
        <f t="shared" ca="1" si="11"/>
        <v>303023.56956485298</v>
      </c>
      <c r="J52" s="194">
        <f t="shared" ca="1" si="11"/>
        <v>297046.49980922102</v>
      </c>
      <c r="K52" s="194">
        <f t="shared" ca="1" si="11"/>
        <v>296433.42393223592</v>
      </c>
    </row>
    <row r="53" spans="3:13">
      <c r="C53" s="41"/>
      <c r="D53" s="42"/>
      <c r="E53" s="42"/>
      <c r="F53" s="42"/>
      <c r="G53" s="193"/>
      <c r="H53" s="193"/>
      <c r="I53" s="193"/>
      <c r="J53" s="193"/>
      <c r="K53" s="193"/>
    </row>
    <row r="54" spans="3:13">
      <c r="C54" s="41" t="s">
        <v>57</v>
      </c>
      <c r="D54" s="37"/>
      <c r="E54" s="37">
        <v>44242</v>
      </c>
      <c r="F54" s="37">
        <v>55888</v>
      </c>
      <c r="G54" s="193">
        <f>F54*G19/F19</f>
        <v>54125.616922269706</v>
      </c>
      <c r="H54" s="193">
        <f>G54*H19/G19</f>
        <v>57096.434545623881</v>
      </c>
      <c r="I54" s="193">
        <f>H54*I19/H19</f>
        <v>60937.484185928995</v>
      </c>
      <c r="J54" s="193">
        <f>I54*J19/I19</f>
        <v>65142.170594758099</v>
      </c>
      <c r="K54" s="193">
        <f>J54*K19/J19</f>
        <v>69636.980365796408</v>
      </c>
      <c r="M54" s="5" t="s">
        <v>104</v>
      </c>
    </row>
    <row r="55" spans="3:13">
      <c r="C55" s="41" t="s">
        <v>117</v>
      </c>
      <c r="D55" s="37"/>
      <c r="E55" s="37">
        <v>30551</v>
      </c>
      <c r="F55" s="37">
        <v>32687</v>
      </c>
      <c r="G55" s="193">
        <f>F55*(1+G37)</f>
        <v>31379.52</v>
      </c>
      <c r="H55" s="193">
        <f>G55*(1+H37)</f>
        <v>33262.2912</v>
      </c>
      <c r="I55" s="193">
        <f>H55*(1+I37)</f>
        <v>35557.389292799999</v>
      </c>
      <c r="J55" s="193">
        <f>I55*(1+J37)</f>
        <v>38010.849154003197</v>
      </c>
      <c r="K55" s="193">
        <f>J55*(1+K37)</f>
        <v>40633.597745629413</v>
      </c>
      <c r="M55" s="5" t="s">
        <v>103</v>
      </c>
    </row>
    <row r="56" spans="3:13">
      <c r="C56" s="41" t="s">
        <v>58</v>
      </c>
      <c r="D56" s="37"/>
      <c r="E56" s="37">
        <f>7548+2836</f>
        <v>10384</v>
      </c>
      <c r="F56" s="37">
        <f>7543+2797</f>
        <v>10340</v>
      </c>
      <c r="G56" s="193">
        <f>F56*(1+G37)</f>
        <v>9926.4</v>
      </c>
      <c r="H56" s="193">
        <f>G56*(1+H37)</f>
        <v>10521.984</v>
      </c>
      <c r="I56" s="193">
        <f>H56*(1+I37)</f>
        <v>11248.000896</v>
      </c>
      <c r="J56" s="193">
        <f>I56*(1+J37)</f>
        <v>12024.112957824</v>
      </c>
      <c r="K56" s="193">
        <f>J56*(1+K37)</f>
        <v>12853.776751913854</v>
      </c>
      <c r="M56" s="5" t="s">
        <v>103</v>
      </c>
    </row>
    <row r="57" spans="3:13">
      <c r="C57" s="41" t="s">
        <v>60</v>
      </c>
      <c r="D57" s="37"/>
      <c r="E57" s="37">
        <v>11977</v>
      </c>
      <c r="F57" s="37">
        <v>11964</v>
      </c>
      <c r="G57" s="193">
        <f ca="1">G136</f>
        <v>12000</v>
      </c>
      <c r="H57" s="193">
        <f ca="1">H136</f>
        <v>12000</v>
      </c>
      <c r="I57" s="193">
        <f ca="1">I136</f>
        <v>12000</v>
      </c>
      <c r="J57" s="193">
        <f ca="1">J136</f>
        <v>12000</v>
      </c>
      <c r="K57" s="193">
        <f ca="1">K136</f>
        <v>12000</v>
      </c>
      <c r="M57" s="5" t="s">
        <v>187</v>
      </c>
    </row>
    <row r="58" spans="3:13">
      <c r="C58" s="41" t="s">
        <v>122</v>
      </c>
      <c r="D58" s="37"/>
      <c r="E58" s="37">
        <f>6496+97207</f>
        <v>103703</v>
      </c>
      <c r="F58" s="37">
        <f>8784+93735</f>
        <v>102519</v>
      </c>
      <c r="G58" s="193">
        <f>F58</f>
        <v>102519</v>
      </c>
      <c r="H58" s="193">
        <f t="shared" ref="H58:K58" si="12">G58</f>
        <v>102519</v>
      </c>
      <c r="I58" s="193">
        <f t="shared" si="12"/>
        <v>102519</v>
      </c>
      <c r="J58" s="193">
        <f t="shared" si="12"/>
        <v>102519</v>
      </c>
      <c r="K58" s="193">
        <f t="shared" si="12"/>
        <v>102519</v>
      </c>
      <c r="M58" s="5" t="s">
        <v>100</v>
      </c>
    </row>
    <row r="59" spans="3:13" ht="15.75" customHeight="1">
      <c r="C59" s="41" t="s">
        <v>59</v>
      </c>
      <c r="D59" s="37"/>
      <c r="E59" s="37">
        <v>40415</v>
      </c>
      <c r="F59" s="37">
        <v>45180</v>
      </c>
      <c r="G59" s="193">
        <f>F59*(1+G37)</f>
        <v>43372.799999999996</v>
      </c>
      <c r="H59" s="193">
        <f t="shared" ref="H59:K59" si="13">G59*(1+H37)</f>
        <v>45975.167999999998</v>
      </c>
      <c r="I59" s="193">
        <f t="shared" si="13"/>
        <v>49147.454591999995</v>
      </c>
      <c r="J59" s="193">
        <f t="shared" si="13"/>
        <v>52538.628958847992</v>
      </c>
      <c r="K59" s="193">
        <f t="shared" si="13"/>
        <v>56163.794357008504</v>
      </c>
      <c r="L59" s="6"/>
      <c r="M59" t="s">
        <v>103</v>
      </c>
    </row>
    <row r="60" spans="3:13">
      <c r="C60" s="39" t="s">
        <v>24</v>
      </c>
      <c r="D60" s="43"/>
      <c r="E60" s="43">
        <f t="shared" ref="E60:K60" si="14">SUM(E54:E59)</f>
        <v>241272</v>
      </c>
      <c r="F60" s="43">
        <f t="shared" si="14"/>
        <v>258578</v>
      </c>
      <c r="G60" s="194">
        <f t="shared" ca="1" si="14"/>
        <v>253323.33692226969</v>
      </c>
      <c r="H60" s="194">
        <f t="shared" ca="1" si="14"/>
        <v>261374.87774562387</v>
      </c>
      <c r="I60" s="194">
        <f t="shared" ca="1" si="14"/>
        <v>271409.32896672899</v>
      </c>
      <c r="J60" s="194">
        <f t="shared" ca="1" si="14"/>
        <v>282234.7616654333</v>
      </c>
      <c r="K60" s="194">
        <f t="shared" ca="1" si="14"/>
        <v>293807.14922034822</v>
      </c>
    </row>
    <row r="61" spans="3:13">
      <c r="C61" s="39"/>
      <c r="D61" s="43"/>
      <c r="E61" s="43"/>
      <c r="F61" s="43"/>
      <c r="G61" s="57"/>
      <c r="H61" s="57"/>
      <c r="I61" s="57"/>
      <c r="J61" s="57"/>
      <c r="K61" s="57"/>
    </row>
    <row r="62" spans="3:13">
      <c r="C62" s="41" t="s">
        <v>61</v>
      </c>
      <c r="D62" s="37"/>
      <c r="E62" s="37">
        <v>35867</v>
      </c>
      <c r="F62" s="3">
        <v>40201</v>
      </c>
      <c r="G62" s="193">
        <f>F62+G33</f>
        <v>45327.4</v>
      </c>
      <c r="H62" s="193">
        <f>G62+H33</f>
        <v>50761.383999999998</v>
      </c>
      <c r="I62" s="193">
        <f>H62+I33</f>
        <v>56570.312895999996</v>
      </c>
      <c r="J62" s="193">
        <f>I62+J33</f>
        <v>62780.057885823997</v>
      </c>
      <c r="K62" s="193">
        <f>J62+K33</f>
        <v>69418.275279945854</v>
      </c>
      <c r="M62" s="5" t="s">
        <v>155</v>
      </c>
    </row>
    <row r="63" spans="3:13" ht="15.75" customHeight="1">
      <c r="C63" s="41" t="s">
        <v>44</v>
      </c>
      <c r="D63" s="38"/>
      <c r="E63" s="38">
        <f>98330</f>
        <v>98330</v>
      </c>
      <c r="F63" s="3">
        <v>70400</v>
      </c>
      <c r="G63" s="193">
        <f ca="1">G120</f>
        <v>35907.506097684833</v>
      </c>
      <c r="H63" s="193">
        <f ca="1">H120</f>
        <v>5326.4073574395152</v>
      </c>
      <c r="I63" s="193">
        <f ca="1">I120</f>
        <v>-21502.07229787598</v>
      </c>
      <c r="J63" s="193">
        <f ca="1">J120</f>
        <v>-44514.319742036285</v>
      </c>
      <c r="K63" s="193">
        <f ca="1">K120</f>
        <v>-63338.000568058094</v>
      </c>
      <c r="M63" s="5" t="s">
        <v>107</v>
      </c>
    </row>
    <row r="64" spans="3:13" ht="15.75" customHeight="1">
      <c r="C64" s="41" t="s">
        <v>121</v>
      </c>
      <c r="D64" s="37"/>
      <c r="E64" s="37">
        <v>-150</v>
      </c>
      <c r="F64" s="3">
        <v>-3454</v>
      </c>
      <c r="G64" s="193">
        <f>F64</f>
        <v>-3454</v>
      </c>
      <c r="H64" s="193">
        <f>G64</f>
        <v>-3454</v>
      </c>
      <c r="I64" s="193">
        <f>H64</f>
        <v>-3454</v>
      </c>
      <c r="J64" s="193">
        <f>I64</f>
        <v>-3454</v>
      </c>
      <c r="K64" s="193">
        <f>J64</f>
        <v>-3454</v>
      </c>
      <c r="M64" s="5" t="s">
        <v>100</v>
      </c>
    </row>
    <row r="65" spans="3:13">
      <c r="C65" s="39" t="s">
        <v>25</v>
      </c>
      <c r="D65" s="44"/>
      <c r="E65" s="44">
        <f t="shared" ref="E65:K65" si="15">SUM(E62:E64)</f>
        <v>134047</v>
      </c>
      <c r="F65" s="44">
        <f t="shared" si="15"/>
        <v>107147</v>
      </c>
      <c r="G65" s="194">
        <f t="shared" ca="1" si="15"/>
        <v>77780.906097684841</v>
      </c>
      <c r="H65" s="194">
        <f t="shared" ca="1" si="15"/>
        <v>52633.791357439513</v>
      </c>
      <c r="I65" s="194">
        <f t="shared" ca="1" si="15"/>
        <v>31614.240598124015</v>
      </c>
      <c r="J65" s="194">
        <f t="shared" ca="1" si="15"/>
        <v>14811.738143787712</v>
      </c>
      <c r="K65" s="194">
        <f t="shared" ca="1" si="15"/>
        <v>2626.2747118877596</v>
      </c>
    </row>
    <row r="66" spans="3:13">
      <c r="C66" s="6"/>
      <c r="D66" s="45"/>
      <c r="E66" s="45"/>
      <c r="F66" s="45"/>
      <c r="G66" s="188"/>
      <c r="H66" s="188"/>
      <c r="I66" s="188"/>
      <c r="J66" s="188"/>
      <c r="K66" s="188"/>
    </row>
    <row r="67" spans="3:13">
      <c r="C67" s="14" t="s">
        <v>26</v>
      </c>
      <c r="D67" s="46"/>
      <c r="E67" s="46">
        <f t="shared" ref="E67:K67" si="16">ROUND(E52-E60-E65,3)</f>
        <v>0</v>
      </c>
      <c r="F67" s="46">
        <f t="shared" si="16"/>
        <v>0</v>
      </c>
      <c r="G67" s="195">
        <f t="shared" ca="1" si="16"/>
        <v>0</v>
      </c>
      <c r="H67" s="195">
        <f t="shared" ca="1" si="16"/>
        <v>0</v>
      </c>
      <c r="I67" s="195">
        <f t="shared" ca="1" si="16"/>
        <v>0</v>
      </c>
      <c r="J67" s="195">
        <f t="shared" ca="1" si="16"/>
        <v>0</v>
      </c>
      <c r="K67" s="195">
        <f t="shared" ca="1" si="16"/>
        <v>0</v>
      </c>
    </row>
    <row r="68" spans="3:13">
      <c r="E68" s="34"/>
      <c r="F68" s="34"/>
      <c r="G68" s="188"/>
      <c r="H68" s="57"/>
      <c r="I68" s="57"/>
      <c r="J68" s="57"/>
      <c r="K68" s="57"/>
    </row>
    <row r="69" spans="3:13">
      <c r="C69" s="7" t="s">
        <v>32</v>
      </c>
      <c r="D69" s="13"/>
      <c r="E69" s="13"/>
      <c r="F69" s="13"/>
      <c r="G69" s="196"/>
      <c r="H69" s="196"/>
      <c r="I69" s="196"/>
      <c r="J69" s="196"/>
      <c r="K69" s="196"/>
    </row>
    <row r="70" spans="3:13">
      <c r="C70" s="35" t="str">
        <f>C15</f>
        <v xml:space="preserve">Fiscal year  </v>
      </c>
      <c r="D70" s="30"/>
      <c r="E70" s="30"/>
      <c r="F70" s="30"/>
      <c r="G70" s="191">
        <f t="shared" ref="G70:K71" si="17">G15</f>
        <v>2019</v>
      </c>
      <c r="H70" s="191">
        <f t="shared" si="17"/>
        <v>2020</v>
      </c>
      <c r="I70" s="191">
        <f t="shared" si="17"/>
        <v>2021</v>
      </c>
      <c r="J70" s="191">
        <f t="shared" si="17"/>
        <v>2022</v>
      </c>
      <c r="K70" s="191">
        <f t="shared" si="17"/>
        <v>2023</v>
      </c>
    </row>
    <row r="71" spans="3:13">
      <c r="C71" s="9" t="str">
        <f>C16</f>
        <v>Fiscal year end date</v>
      </c>
      <c r="D71" s="32"/>
      <c r="E71" s="32"/>
      <c r="F71" s="32"/>
      <c r="G71" s="192">
        <f t="shared" si="17"/>
        <v>43738</v>
      </c>
      <c r="H71" s="192">
        <f t="shared" si="17"/>
        <v>44104</v>
      </c>
      <c r="I71" s="192">
        <f t="shared" si="17"/>
        <v>44469</v>
      </c>
      <c r="J71" s="192">
        <f t="shared" si="17"/>
        <v>44834</v>
      </c>
      <c r="K71" s="192">
        <f t="shared" si="17"/>
        <v>45199</v>
      </c>
    </row>
    <row r="72" spans="3:13">
      <c r="G72" s="188"/>
      <c r="H72" s="188"/>
      <c r="I72" s="188"/>
      <c r="J72" s="188"/>
      <c r="K72" s="188"/>
    </row>
    <row r="73" spans="3:13">
      <c r="C73" s="6" t="s">
        <v>2</v>
      </c>
      <c r="D73" s="50"/>
      <c r="E73" s="50"/>
      <c r="F73" s="50"/>
      <c r="G73" s="193">
        <f ca="1">G29</f>
        <v>52298.506097684833</v>
      </c>
      <c r="H73" s="193">
        <f ca="1">H29</f>
        <v>56209.901259754675</v>
      </c>
      <c r="I73" s="193">
        <f ca="1">I29</f>
        <v>59962.520344684504</v>
      </c>
      <c r="J73" s="193">
        <f ca="1">J29</f>
        <v>63778.752555839696</v>
      </c>
      <c r="K73" s="193">
        <f ca="1">K29</f>
        <v>67967.319173978191</v>
      </c>
      <c r="M73" s="24"/>
    </row>
    <row r="74" spans="3:13">
      <c r="C74" s="6" t="s">
        <v>33</v>
      </c>
      <c r="D74" s="50"/>
      <c r="E74" s="50"/>
      <c r="F74" s="50"/>
      <c r="G74" s="193">
        <f>G31</f>
        <v>11085.020171261172</v>
      </c>
      <c r="H74" s="193">
        <f>H31</f>
        <v>11711.890744865921</v>
      </c>
      <c r="I74" s="193">
        <f>I31</f>
        <v>12226.380531123083</v>
      </c>
      <c r="J74" s="193">
        <f>J31</f>
        <v>13365.451007770575</v>
      </c>
      <c r="K74" s="193">
        <f>K31</f>
        <v>14603.503412486743</v>
      </c>
      <c r="M74" s="5" t="s">
        <v>170</v>
      </c>
    </row>
    <row r="75" spans="3:13">
      <c r="C75" s="6" t="s">
        <v>74</v>
      </c>
      <c r="D75" s="50"/>
      <c r="E75" s="50"/>
      <c r="F75" s="50"/>
      <c r="G75" s="193">
        <f>G33</f>
        <v>5126.3999999999996</v>
      </c>
      <c r="H75" s="193">
        <f>H33</f>
        <v>5433.9839999999995</v>
      </c>
      <c r="I75" s="193">
        <f>I33</f>
        <v>5808.9288959999994</v>
      </c>
      <c r="J75" s="193">
        <f>J33</f>
        <v>6209.7449898239993</v>
      </c>
      <c r="K75" s="193">
        <f>K33</f>
        <v>6638.2173941218552</v>
      </c>
    </row>
    <row r="76" spans="3:13">
      <c r="C76" s="6" t="s">
        <v>65</v>
      </c>
      <c r="D76" s="22"/>
      <c r="E76" s="22"/>
      <c r="F76" s="22"/>
      <c r="G76" s="193">
        <f>-1*(SUM(G47:G49)-SUM(F47:F49))</f>
        <v>2568.0292745401748</v>
      </c>
      <c r="H76" s="193">
        <f>-1*(SUM(H47:H49)-SUM(G47:G49))</f>
        <v>-3728.6108202044925</v>
      </c>
      <c r="I76" s="193">
        <f>-1*(SUM(I47:I49)-SUM(H47:H49))</f>
        <v>-4560.7224748067092</v>
      </c>
      <c r="J76" s="193">
        <f>-1*(SUM(J47:J49)-SUM(I47:I49))</f>
        <v>-4882.3919774125097</v>
      </c>
      <c r="K76" s="193">
        <f>-1*(SUM(K47:K49)-SUM(J47:J49))</f>
        <v>-5219.277023853967</v>
      </c>
    </row>
    <row r="77" spans="3:13">
      <c r="C77" s="6" t="s">
        <v>66</v>
      </c>
      <c r="D77" s="22"/>
      <c r="E77" s="22"/>
      <c r="F77" s="22"/>
      <c r="G77" s="193">
        <f>SUM(G54:G56)-SUM(F54:F56)</f>
        <v>-3483.4630777302955</v>
      </c>
      <c r="H77" s="193">
        <f>SUM(H54:H56)-SUM(G54:G56)</f>
        <v>5449.1728233541653</v>
      </c>
      <c r="I77" s="193">
        <f>SUM(I54:I56)-SUM(H54:H56)</f>
        <v>6862.1646291051147</v>
      </c>
      <c r="J77" s="193">
        <f>SUM(J54:J56)-SUM(I54:I56)</f>
        <v>7434.2583318562974</v>
      </c>
      <c r="K77" s="193">
        <f>SUM(K54:K56)-SUM(J54:J56)</f>
        <v>7947.2221567544038</v>
      </c>
    </row>
    <row r="78" spans="3:13">
      <c r="C78" s="21" t="s">
        <v>56</v>
      </c>
      <c r="E78" s="6"/>
      <c r="F78" s="6"/>
      <c r="G78" s="193">
        <f>-(G112)</f>
        <v>-647.56000000000131</v>
      </c>
      <c r="H78" s="193">
        <f>-(H112)</f>
        <v>-2914.7136000000028</v>
      </c>
      <c r="I78" s="193">
        <f>-(I112)</f>
        <v>-3308.3539583999991</v>
      </c>
      <c r="J78" s="193">
        <f>-(J112)</f>
        <v>-3536.6303815296014</v>
      </c>
      <c r="K78" s="193">
        <f>-(K112)</f>
        <v>-3780.6578778551411</v>
      </c>
      <c r="L78" s="6"/>
      <c r="M78" s="5" t="s">
        <v>171</v>
      </c>
    </row>
    <row r="79" spans="3:13">
      <c r="C79" s="21" t="s">
        <v>59</v>
      </c>
      <c r="E79" s="6"/>
      <c r="F79" s="6"/>
      <c r="G79" s="193">
        <f>G59-F59</f>
        <v>-1807.2000000000044</v>
      </c>
      <c r="H79" s="193">
        <f>H59-G59</f>
        <v>2602.3680000000022</v>
      </c>
      <c r="I79" s="193">
        <f>I59-H59</f>
        <v>3172.2865919999967</v>
      </c>
      <c r="J79" s="193">
        <f>J59-I59</f>
        <v>3391.1743668479976</v>
      </c>
      <c r="K79" s="193">
        <f>K59-J59</f>
        <v>3625.1653981605123</v>
      </c>
      <c r="L79" s="6"/>
      <c r="M79" s="24"/>
    </row>
    <row r="80" spans="3:13">
      <c r="C80" s="19" t="s">
        <v>34</v>
      </c>
      <c r="G80" s="194">
        <f ca="1">SUM(G73:G79)</f>
        <v>65139.732465755871</v>
      </c>
      <c r="H80" s="194">
        <f ca="1">SUM(H73:H79)</f>
        <v>74763.992407770274</v>
      </c>
      <c r="I80" s="194">
        <f ca="1">SUM(I73:I79)</f>
        <v>80163.204559706006</v>
      </c>
      <c r="J80" s="194">
        <f ca="1">SUM(J73:J79)</f>
        <v>85760.358893196448</v>
      </c>
      <c r="K80" s="194">
        <f ca="1">SUM(K73:K79)</f>
        <v>91781.492633792601</v>
      </c>
    </row>
    <row r="81" spans="3:13">
      <c r="C81" s="6"/>
      <c r="G81" s="57"/>
      <c r="H81" s="57"/>
      <c r="I81" s="57"/>
      <c r="J81" s="57"/>
      <c r="K81" s="57"/>
    </row>
    <row r="82" spans="3:13">
      <c r="C82" s="6" t="s">
        <v>35</v>
      </c>
      <c r="G82" s="193">
        <f>-(G98)</f>
        <v>-13285</v>
      </c>
      <c r="H82" s="193">
        <f>-(H98)</f>
        <v>-13649</v>
      </c>
      <c r="I82" s="193">
        <f>-(I98)</f>
        <v>-13819</v>
      </c>
      <c r="J82" s="193">
        <f>-(J98)</f>
        <v>-14772.510999999999</v>
      </c>
      <c r="K82" s="193">
        <f>-(K98)</f>
        <v>-15791.814258999997</v>
      </c>
      <c r="M82" s="5" t="s">
        <v>105</v>
      </c>
    </row>
    <row r="83" spans="3:13">
      <c r="C83" s="19" t="s">
        <v>36</v>
      </c>
      <c r="G83" s="194">
        <f>IFERROR(G82,"NA")</f>
        <v>-13285</v>
      </c>
      <c r="H83" s="194">
        <f>IFERROR(H82,"NA")</f>
        <v>-13649</v>
      </c>
      <c r="I83" s="194">
        <f>IFERROR(I82,"NA")</f>
        <v>-13819</v>
      </c>
      <c r="J83" s="194">
        <f>IFERROR(J82,"NA")</f>
        <v>-14772.510999999999</v>
      </c>
      <c r="K83" s="194">
        <f>IFERROR(K82,"NA")</f>
        <v>-15791.814258999997</v>
      </c>
    </row>
    <row r="84" spans="3:13">
      <c r="C84" s="6"/>
      <c r="G84" s="193"/>
      <c r="H84" s="193"/>
      <c r="I84" s="193"/>
      <c r="J84" s="193"/>
      <c r="K84" s="193"/>
    </row>
    <row r="85" spans="3:13">
      <c r="C85" s="6" t="s">
        <v>67</v>
      </c>
      <c r="G85" s="193">
        <f>G58-F58</f>
        <v>0</v>
      </c>
      <c r="H85" s="193">
        <f>H58-G58</f>
        <v>0</v>
      </c>
      <c r="I85" s="193">
        <f>I58-H58</f>
        <v>0</v>
      </c>
      <c r="J85" s="193">
        <f>J58-I58</f>
        <v>0</v>
      </c>
      <c r="K85" s="193">
        <f>K58-J58</f>
        <v>0</v>
      </c>
    </row>
    <row r="86" spans="3:13">
      <c r="C86" s="6" t="s">
        <v>23</v>
      </c>
      <c r="G86" s="193">
        <f ca="1">G57-F57</f>
        <v>36</v>
      </c>
      <c r="H86" s="193">
        <f ca="1">H57-G57</f>
        <v>0</v>
      </c>
      <c r="I86" s="193">
        <f ca="1">I57-H57</f>
        <v>0</v>
      </c>
      <c r="J86" s="193">
        <f ca="1">J57-I57</f>
        <v>0</v>
      </c>
      <c r="K86" s="193">
        <f ca="1">K57-J57</f>
        <v>0</v>
      </c>
      <c r="M86" s="5" t="s">
        <v>183</v>
      </c>
    </row>
    <row r="87" spans="3:13">
      <c r="C87" s="21" t="s">
        <v>70</v>
      </c>
      <c r="G87" s="193">
        <f>G119</f>
        <v>-73056</v>
      </c>
      <c r="H87" s="193">
        <f>H119</f>
        <v>-73056</v>
      </c>
      <c r="I87" s="193">
        <f>I119</f>
        <v>-73056</v>
      </c>
      <c r="J87" s="193">
        <f>J119</f>
        <v>-73056</v>
      </c>
      <c r="K87" s="193">
        <f>K119</f>
        <v>-73056</v>
      </c>
      <c r="M87" s="5" t="s">
        <v>107</v>
      </c>
    </row>
    <row r="88" spans="3:13">
      <c r="C88" s="21" t="s">
        <v>71</v>
      </c>
      <c r="G88" s="193">
        <f>G118</f>
        <v>-13735</v>
      </c>
      <c r="H88" s="193">
        <f>H118</f>
        <v>-13735</v>
      </c>
      <c r="I88" s="193">
        <f>I118</f>
        <v>-13735</v>
      </c>
      <c r="J88" s="193">
        <f>J118</f>
        <v>-13735</v>
      </c>
      <c r="K88" s="193">
        <f>K118</f>
        <v>-13735</v>
      </c>
      <c r="M88" s="5" t="s">
        <v>107</v>
      </c>
    </row>
    <row r="89" spans="3:13">
      <c r="C89" s="19" t="s">
        <v>37</v>
      </c>
      <c r="G89" s="194">
        <f ca="1">SUM(G85:G88)</f>
        <v>-86755</v>
      </c>
      <c r="H89" s="194">
        <f ca="1">SUM(H85:H88)</f>
        <v>-86791</v>
      </c>
      <c r="I89" s="194">
        <f ca="1">SUM(I85:I88)</f>
        <v>-86791</v>
      </c>
      <c r="J89" s="194">
        <f ca="1">SUM(J85:J88)</f>
        <v>-86791</v>
      </c>
      <c r="K89" s="194">
        <f ca="1">SUM(K85:K88)</f>
        <v>-86791</v>
      </c>
    </row>
    <row r="90" spans="3:13">
      <c r="G90" s="193"/>
      <c r="H90" s="193"/>
      <c r="I90" s="193"/>
      <c r="J90" s="193"/>
      <c r="K90" s="193"/>
    </row>
    <row r="91" spans="3:13">
      <c r="C91" s="24" t="s">
        <v>38</v>
      </c>
      <c r="G91" s="194">
        <f ca="1">G80+G83+G89</f>
        <v>-34900.267534244129</v>
      </c>
      <c r="H91" s="194">
        <f ca="1">H80+H83+H89</f>
        <v>-25676.007592229726</v>
      </c>
      <c r="I91" s="194">
        <f ca="1">I80+I83+I89</f>
        <v>-20446.795440293994</v>
      </c>
      <c r="J91" s="194">
        <f ca="1">J80+J83+J89</f>
        <v>-15803.152106803551</v>
      </c>
      <c r="K91" s="194">
        <f ca="1">K80+K83+K89</f>
        <v>-10801.321625207391</v>
      </c>
    </row>
    <row r="92" spans="3:13">
      <c r="G92" s="188"/>
      <c r="H92" s="188"/>
      <c r="I92" s="188"/>
      <c r="J92" s="188"/>
      <c r="K92" s="188"/>
    </row>
    <row r="93" spans="3:13">
      <c r="C93" s="7" t="s">
        <v>29</v>
      </c>
      <c r="D93" s="9"/>
      <c r="E93" s="9"/>
      <c r="F93" s="9"/>
      <c r="G93" s="190"/>
      <c r="H93" s="190"/>
      <c r="I93" s="190"/>
      <c r="J93" s="190"/>
      <c r="K93" s="190"/>
    </row>
    <row r="94" spans="3:13">
      <c r="C94" s="35" t="str">
        <f t="shared" ref="C94:K94" si="18">C15</f>
        <v xml:space="preserve">Fiscal year  </v>
      </c>
      <c r="D94" s="30">
        <f t="shared" si="18"/>
        <v>2016</v>
      </c>
      <c r="E94" s="30">
        <f t="shared" si="18"/>
        <v>2017</v>
      </c>
      <c r="F94" s="30">
        <f t="shared" si="18"/>
        <v>2018</v>
      </c>
      <c r="G94" s="191">
        <f t="shared" si="18"/>
        <v>2019</v>
      </c>
      <c r="H94" s="191">
        <f t="shared" si="18"/>
        <v>2020</v>
      </c>
      <c r="I94" s="191">
        <f t="shared" si="18"/>
        <v>2021</v>
      </c>
      <c r="J94" s="191">
        <f t="shared" si="18"/>
        <v>2022</v>
      </c>
      <c r="K94" s="191">
        <f t="shared" si="18"/>
        <v>2023</v>
      </c>
    </row>
    <row r="95" spans="3:13">
      <c r="C95" s="9" t="str">
        <f t="shared" ref="C95:K95" si="19">C16</f>
        <v>Fiscal year end date</v>
      </c>
      <c r="D95" s="32">
        <f t="shared" si="19"/>
        <v>42643</v>
      </c>
      <c r="E95" s="32">
        <f t="shared" si="19"/>
        <v>43008</v>
      </c>
      <c r="F95" s="32">
        <f t="shared" si="19"/>
        <v>43372</v>
      </c>
      <c r="G95" s="192">
        <f t="shared" si="19"/>
        <v>43738</v>
      </c>
      <c r="H95" s="192">
        <f t="shared" si="19"/>
        <v>44104</v>
      </c>
      <c r="I95" s="192">
        <f t="shared" si="19"/>
        <v>44469</v>
      </c>
      <c r="J95" s="192">
        <f t="shared" si="19"/>
        <v>44834</v>
      </c>
      <c r="K95" s="192">
        <f t="shared" si="19"/>
        <v>45199</v>
      </c>
    </row>
    <row r="96" spans="3:13">
      <c r="C96" s="19"/>
      <c r="G96" s="197" t="s">
        <v>116</v>
      </c>
      <c r="H96" s="197"/>
      <c r="I96" s="197"/>
      <c r="J96" s="197"/>
      <c r="K96" s="197"/>
    </row>
    <row r="97" spans="3:17">
      <c r="C97" s="41" t="s">
        <v>27</v>
      </c>
      <c r="F97" s="6"/>
      <c r="G97" s="61">
        <f>F100</f>
        <v>41304</v>
      </c>
      <c r="H97" s="61">
        <f>G100</f>
        <v>45042.85982873883</v>
      </c>
      <c r="I97" s="61">
        <f>H100</f>
        <v>48611.181883872909</v>
      </c>
      <c r="J97" s="61">
        <f>I100</f>
        <v>51947.567835949827</v>
      </c>
      <c r="K97" s="61">
        <f>J100</f>
        <v>55218.714198720052</v>
      </c>
      <c r="L97" s="6"/>
      <c r="M97" s="5" t="s">
        <v>167</v>
      </c>
    </row>
    <row r="98" spans="3:17">
      <c r="C98" s="47" t="s">
        <v>30</v>
      </c>
      <c r="D98" s="3">
        <v>12734</v>
      </c>
      <c r="E98" s="3">
        <v>12451</v>
      </c>
      <c r="F98" s="71">
        <v>13313</v>
      </c>
      <c r="G98" s="17">
        <v>13285</v>
      </c>
      <c r="H98" s="17">
        <v>13649</v>
      </c>
      <c r="I98" s="17">
        <v>13819</v>
      </c>
      <c r="J98" s="71">
        <f>I98*(1+J37)</f>
        <v>14772.510999999999</v>
      </c>
      <c r="K98" s="71">
        <f t="shared" ref="K98" si="20">J98*(1+K37)</f>
        <v>15791.814258999997</v>
      </c>
      <c r="L98" s="6"/>
      <c r="M98" s="5" t="s">
        <v>154</v>
      </c>
    </row>
    <row r="99" spans="3:17">
      <c r="C99" s="103" t="s">
        <v>31</v>
      </c>
      <c r="D99" s="95">
        <v>-8300</v>
      </c>
      <c r="E99" s="95">
        <v>-8200</v>
      </c>
      <c r="F99" s="95">
        <v>-9300</v>
      </c>
      <c r="G99" s="126">
        <f>-(G102*G98)</f>
        <v>-9546.1401712611732</v>
      </c>
      <c r="H99" s="126">
        <f>-(H102*H98)</f>
        <v>-10080.677944865922</v>
      </c>
      <c r="I99" s="126">
        <f>-(I102*I98)</f>
        <v>-10482.614047923083</v>
      </c>
      <c r="J99" s="126">
        <f>-(J102*J98)</f>
        <v>-11501.364637229775</v>
      </c>
      <c r="K99" s="126">
        <f>-(K102*K98)</f>
        <v>-12610.795082378629</v>
      </c>
      <c r="L99" s="6"/>
      <c r="M99" s="5" t="s">
        <v>166</v>
      </c>
    </row>
    <row r="100" spans="3:17">
      <c r="C100" s="54" t="s">
        <v>28</v>
      </c>
      <c r="D100" s="51"/>
      <c r="E100" s="51">
        <f>E50</f>
        <v>33783</v>
      </c>
      <c r="F100" s="51">
        <f>F50</f>
        <v>41304</v>
      </c>
      <c r="G100" s="162">
        <f>SUM(G97:G99)</f>
        <v>45042.85982873883</v>
      </c>
      <c r="H100" s="162">
        <f>SUM(H97:H99)</f>
        <v>48611.181883872909</v>
      </c>
      <c r="I100" s="162">
        <f>SUM(I97:I99)</f>
        <v>51947.567835949827</v>
      </c>
      <c r="J100" s="162">
        <f>SUM(J97:J99)</f>
        <v>55218.714198720052</v>
      </c>
      <c r="K100" s="162">
        <f>SUM(K97:K99)</f>
        <v>58399.73337534142</v>
      </c>
      <c r="L100" s="6"/>
      <c r="M100" s="5" t="s">
        <v>165</v>
      </c>
    </row>
    <row r="101" spans="3:17">
      <c r="C101" s="41"/>
      <c r="F101" s="6"/>
      <c r="G101" s="21"/>
      <c r="H101" s="21"/>
      <c r="I101" s="21"/>
      <c r="J101" s="21"/>
      <c r="K101" s="21"/>
      <c r="L101" s="6"/>
      <c r="M101" s="25" t="s">
        <v>48</v>
      </c>
    </row>
    <row r="102" spans="3:17">
      <c r="C102" s="41" t="s">
        <v>123</v>
      </c>
      <c r="D102" s="4">
        <f>-(D99/D98)</f>
        <v>0.65179833516569818</v>
      </c>
      <c r="E102" s="4">
        <f>-(E99/E98)</f>
        <v>0.6585816400289134</v>
      </c>
      <c r="F102" s="80">
        <f>-(F99/F98)</f>
        <v>0.69856531210095396</v>
      </c>
      <c r="G102" s="189">
        <f>F102+$M$102</f>
        <v>0.71856531210095398</v>
      </c>
      <c r="H102" s="189">
        <f>G102+$M$102</f>
        <v>0.738565312100954</v>
      </c>
      <c r="I102" s="189">
        <f>H102+$M$102</f>
        <v>0.75856531210095401</v>
      </c>
      <c r="J102" s="189">
        <f>I102+$M$102</f>
        <v>0.77856531210095403</v>
      </c>
      <c r="K102" s="189">
        <f>J102+$M$102</f>
        <v>0.79856531210095405</v>
      </c>
      <c r="L102" s="6"/>
      <c r="M102" s="88">
        <v>0.02</v>
      </c>
      <c r="O102" s="98"/>
      <c r="P102" s="98"/>
      <c r="Q102" s="98"/>
    </row>
    <row r="103" spans="3:17">
      <c r="C103" s="41"/>
      <c r="D103" s="4"/>
      <c r="E103" s="4"/>
      <c r="F103" s="80"/>
      <c r="G103" s="189"/>
      <c r="H103" s="189"/>
      <c r="I103" s="189"/>
      <c r="J103" s="189"/>
      <c r="K103" s="189"/>
      <c r="L103" s="6"/>
      <c r="O103" s="98"/>
      <c r="P103" s="98"/>
      <c r="Q103" s="98"/>
    </row>
    <row r="104" spans="3:17">
      <c r="C104" s="128" t="s">
        <v>130</v>
      </c>
      <c r="D104" s="48"/>
      <c r="E104" s="48"/>
      <c r="F104" s="48"/>
      <c r="G104" s="198"/>
      <c r="H104" s="198"/>
      <c r="I104" s="198"/>
      <c r="J104" s="198"/>
      <c r="K104" s="198"/>
      <c r="L104" s="6"/>
      <c r="O104" s="98"/>
      <c r="P104" s="98"/>
      <c r="Q104" s="98"/>
    </row>
    <row r="105" spans="3:17">
      <c r="C105" s="41" t="s">
        <v>156</v>
      </c>
      <c r="D105" s="22">
        <f>D107+D99</f>
        <v>2205</v>
      </c>
      <c r="E105" s="22">
        <f>E107+E99</f>
        <v>1957</v>
      </c>
      <c r="F105" s="22">
        <f>F107+F99</f>
        <v>1603</v>
      </c>
      <c r="G105" s="63">
        <f>G106*G18</f>
        <v>1538.8799999999999</v>
      </c>
      <c r="H105" s="63">
        <f>H106*H18</f>
        <v>1631.2128</v>
      </c>
      <c r="I105" s="63">
        <f>I106*I18</f>
        <v>1743.7664832</v>
      </c>
      <c r="J105" s="63">
        <f>J106*J18</f>
        <v>1864.0863705407999</v>
      </c>
      <c r="K105" s="63">
        <f>K106*K18</f>
        <v>1992.708330108115</v>
      </c>
      <c r="L105" s="6"/>
      <c r="M105" s="5" t="s">
        <v>238</v>
      </c>
      <c r="O105" s="98"/>
      <c r="P105" s="98"/>
      <c r="Q105" s="98"/>
    </row>
    <row r="106" spans="3:17">
      <c r="C106" s="26" t="s">
        <v>157</v>
      </c>
      <c r="D106" s="93">
        <f>D105/D18</f>
        <v>1.0225423044996499E-2</v>
      </c>
      <c r="E106" s="93">
        <f>E105/E18</f>
        <v>8.537128000209393E-3</v>
      </c>
      <c r="F106" s="100">
        <f>F105/F18</f>
        <v>6.0355051864681188E-3</v>
      </c>
      <c r="G106" s="189">
        <f>F106</f>
        <v>6.0355051864681188E-3</v>
      </c>
      <c r="H106" s="189">
        <f>G106</f>
        <v>6.0355051864681188E-3</v>
      </c>
      <c r="I106" s="189">
        <f>H106</f>
        <v>6.0355051864681188E-3</v>
      </c>
      <c r="J106" s="189">
        <f>I106</f>
        <v>6.0355051864681188E-3</v>
      </c>
      <c r="K106" s="189">
        <f>J106</f>
        <v>6.0355051864681188E-3</v>
      </c>
      <c r="L106" s="6"/>
      <c r="M106" s="5" t="s">
        <v>158</v>
      </c>
    </row>
    <row r="107" spans="3:17">
      <c r="C107" s="39" t="s">
        <v>110</v>
      </c>
      <c r="D107" s="51">
        <f>D31</f>
        <v>10505</v>
      </c>
      <c r="E107" s="51">
        <f>E31</f>
        <v>10157</v>
      </c>
      <c r="F107" s="51">
        <f>F31</f>
        <v>10903</v>
      </c>
      <c r="G107" s="20">
        <f>-G99+G105</f>
        <v>11085.020171261172</v>
      </c>
      <c r="H107" s="20">
        <f>-H99+H105</f>
        <v>11711.890744865921</v>
      </c>
      <c r="I107" s="20">
        <f>-I99+I105</f>
        <v>12226.380531123083</v>
      </c>
      <c r="J107" s="20">
        <f>-J99+J105</f>
        <v>13365.451007770575</v>
      </c>
      <c r="K107" s="20">
        <f>-K99+K105</f>
        <v>14603.503412486743</v>
      </c>
      <c r="M107" s="5" t="s">
        <v>160</v>
      </c>
    </row>
    <row r="108" spans="3:17">
      <c r="C108" s="41"/>
      <c r="D108" s="22"/>
      <c r="E108" s="22"/>
      <c r="F108" s="22"/>
      <c r="G108" s="21"/>
      <c r="H108" s="61"/>
      <c r="I108" s="61"/>
      <c r="J108" s="61"/>
      <c r="K108" s="61"/>
    </row>
    <row r="109" spans="3:17">
      <c r="C109" s="127" t="s">
        <v>129</v>
      </c>
      <c r="D109" s="9"/>
      <c r="E109" s="9"/>
      <c r="F109" s="9"/>
      <c r="G109" s="21"/>
      <c r="H109" s="61"/>
      <c r="I109" s="61"/>
      <c r="J109" s="61"/>
      <c r="K109" s="61"/>
    </row>
    <row r="110" spans="3:17">
      <c r="C110" s="41" t="s">
        <v>27</v>
      </c>
      <c r="D110" s="22"/>
      <c r="E110" s="6"/>
      <c r="F110" s="6"/>
      <c r="G110" s="154">
        <f>F113</f>
        <v>22283</v>
      </c>
      <c r="H110" s="154">
        <f>G113</f>
        <v>21391.68</v>
      </c>
      <c r="I110" s="154">
        <f>H113</f>
        <v>22675.180800000002</v>
      </c>
      <c r="J110" s="154">
        <f>I113</f>
        <v>24239.7682752</v>
      </c>
      <c r="K110" s="154">
        <f>J113</f>
        <v>25912.3122861888</v>
      </c>
      <c r="M110" s="5" t="s">
        <v>167</v>
      </c>
    </row>
    <row r="111" spans="3:17">
      <c r="C111" s="26" t="s">
        <v>124</v>
      </c>
      <c r="G111" s="61">
        <f>-(G105)</f>
        <v>-1538.8799999999999</v>
      </c>
      <c r="H111" s="61">
        <f>-(H105)</f>
        <v>-1631.2128</v>
      </c>
      <c r="I111" s="61">
        <f>-(I105)</f>
        <v>-1743.7664832</v>
      </c>
      <c r="J111" s="61">
        <f>-(J105)</f>
        <v>-1864.0863705407999</v>
      </c>
      <c r="K111" s="61">
        <f>-(K105)</f>
        <v>-1992.708330108115</v>
      </c>
      <c r="M111" s="5" t="s">
        <v>162</v>
      </c>
    </row>
    <row r="112" spans="3:17" ht="15" customHeight="1">
      <c r="C112" s="111" t="s">
        <v>125</v>
      </c>
      <c r="D112" s="101"/>
      <c r="E112" s="101"/>
      <c r="F112" s="101"/>
      <c r="G112" s="133">
        <f>G113-G111-G110</f>
        <v>647.56000000000131</v>
      </c>
      <c r="H112" s="133">
        <f>H113-H111-H110</f>
        <v>2914.7136000000028</v>
      </c>
      <c r="I112" s="133">
        <f>I113-I111-I110</f>
        <v>3308.3539583999991</v>
      </c>
      <c r="J112" s="133">
        <f>J113-J111-J110</f>
        <v>3536.6303815296014</v>
      </c>
      <c r="K112" s="133">
        <f>K113-K111-K110</f>
        <v>3780.6578778551411</v>
      </c>
      <c r="M112" s="5" t="s">
        <v>168</v>
      </c>
    </row>
    <row r="113" spans="3:17">
      <c r="C113" s="54" t="s">
        <v>28</v>
      </c>
      <c r="D113" s="6"/>
      <c r="E113" s="51">
        <f t="shared" ref="E113:K113" si="21">E51</f>
        <v>18177</v>
      </c>
      <c r="F113" s="51">
        <f t="shared" si="21"/>
        <v>22283</v>
      </c>
      <c r="G113" s="162">
        <f t="shared" si="21"/>
        <v>21391.68</v>
      </c>
      <c r="H113" s="162">
        <f t="shared" si="21"/>
        <v>22675.180800000002</v>
      </c>
      <c r="I113" s="162">
        <f t="shared" si="21"/>
        <v>24239.7682752</v>
      </c>
      <c r="J113" s="162">
        <f t="shared" si="21"/>
        <v>25912.3122861888</v>
      </c>
      <c r="K113" s="162">
        <f t="shared" si="21"/>
        <v>27700.261833935827</v>
      </c>
      <c r="M113" s="5" t="s">
        <v>169</v>
      </c>
    </row>
    <row r="114" spans="3:17">
      <c r="C114" s="26"/>
      <c r="E114" s="34"/>
      <c r="F114" s="34"/>
      <c r="G114" s="21"/>
      <c r="H114" s="61"/>
      <c r="I114" s="61"/>
      <c r="J114" s="61"/>
      <c r="K114" s="61"/>
    </row>
    <row r="115" spans="3:17">
      <c r="C115" s="74" t="s">
        <v>75</v>
      </c>
      <c r="D115" s="70"/>
      <c r="E115" s="70"/>
      <c r="F115" s="70"/>
      <c r="G115" s="190"/>
      <c r="H115" s="190"/>
      <c r="I115" s="190"/>
      <c r="J115" s="190"/>
      <c r="K115" s="190"/>
    </row>
    <row r="116" spans="3:17">
      <c r="C116" s="41" t="s">
        <v>27</v>
      </c>
      <c r="D116" s="6"/>
      <c r="E116" s="6"/>
      <c r="F116" s="6"/>
      <c r="G116" s="193">
        <f>F120</f>
        <v>70400</v>
      </c>
      <c r="H116" s="193">
        <f ca="1">G120</f>
        <v>35907.506097684833</v>
      </c>
      <c r="I116" s="193">
        <f ca="1">H120</f>
        <v>5326.4073574395152</v>
      </c>
      <c r="J116" s="193">
        <f ca="1">I120</f>
        <v>-21502.07229787598</v>
      </c>
      <c r="K116" s="193">
        <f ca="1">J120</f>
        <v>-44514.319742036285</v>
      </c>
      <c r="M116" s="5" t="s">
        <v>167</v>
      </c>
    </row>
    <row r="117" spans="3:17">
      <c r="C117" s="26" t="s">
        <v>62</v>
      </c>
      <c r="D117" s="33">
        <f t="shared" ref="D117:K117" si="22">D29</f>
        <v>45687</v>
      </c>
      <c r="E117" s="33">
        <f t="shared" si="22"/>
        <v>48351</v>
      </c>
      <c r="F117" s="33">
        <f t="shared" si="22"/>
        <v>59531</v>
      </c>
      <c r="G117" s="193">
        <f t="shared" ca="1" si="22"/>
        <v>52298.506097684833</v>
      </c>
      <c r="H117" s="193">
        <f t="shared" ca="1" si="22"/>
        <v>56209.901259754675</v>
      </c>
      <c r="I117" s="193">
        <f t="shared" ca="1" si="22"/>
        <v>59962.520344684504</v>
      </c>
      <c r="J117" s="193">
        <f t="shared" ca="1" si="22"/>
        <v>63778.752555839696</v>
      </c>
      <c r="K117" s="193">
        <f t="shared" ca="1" si="22"/>
        <v>67967.319173978191</v>
      </c>
      <c r="M117" s="5" t="s">
        <v>101</v>
      </c>
    </row>
    <row r="118" spans="3:17">
      <c r="C118" s="26" t="s">
        <v>63</v>
      </c>
      <c r="D118" s="3">
        <v>-12188</v>
      </c>
      <c r="E118" s="3">
        <v>-12803</v>
      </c>
      <c r="F118" s="3">
        <v>-13735</v>
      </c>
      <c r="G118" s="193">
        <f>F118</f>
        <v>-13735</v>
      </c>
      <c r="H118" s="193">
        <f>G118</f>
        <v>-13735</v>
      </c>
      <c r="I118" s="193">
        <f t="shared" ref="I118:K119" si="23">H118</f>
        <v>-13735</v>
      </c>
      <c r="J118" s="193">
        <f t="shared" si="23"/>
        <v>-13735</v>
      </c>
      <c r="K118" s="193">
        <f t="shared" si="23"/>
        <v>-13735</v>
      </c>
      <c r="M118" s="5" t="s">
        <v>163</v>
      </c>
    </row>
    <row r="119" spans="3:17">
      <c r="C119" s="104" t="s">
        <v>64</v>
      </c>
      <c r="D119" s="95">
        <v>-29000</v>
      </c>
      <c r="E119" s="95">
        <v>-33001</v>
      </c>
      <c r="F119" s="95">
        <v>-73056</v>
      </c>
      <c r="G119" s="199">
        <f>F119</f>
        <v>-73056</v>
      </c>
      <c r="H119" s="199">
        <f>G119</f>
        <v>-73056</v>
      </c>
      <c r="I119" s="199">
        <f t="shared" si="23"/>
        <v>-73056</v>
      </c>
      <c r="J119" s="199">
        <f t="shared" si="23"/>
        <v>-73056</v>
      </c>
      <c r="K119" s="199">
        <f t="shared" si="23"/>
        <v>-73056</v>
      </c>
      <c r="M119" s="5" t="s">
        <v>236</v>
      </c>
    </row>
    <row r="120" spans="3:17">
      <c r="C120" s="83" t="s">
        <v>28</v>
      </c>
      <c r="D120" s="23">
        <f>D63</f>
        <v>0</v>
      </c>
      <c r="E120" s="23">
        <f>E63</f>
        <v>98330</v>
      </c>
      <c r="F120" s="23">
        <f>F63</f>
        <v>70400</v>
      </c>
      <c r="G120" s="162">
        <f ca="1">SUM(G116:G119)</f>
        <v>35907.506097684833</v>
      </c>
      <c r="H120" s="162">
        <f ca="1">SUM(H116:H119)</f>
        <v>5326.4073574395152</v>
      </c>
      <c r="I120" s="162">
        <f ca="1">SUM(I116:I119)</f>
        <v>-21502.07229787598</v>
      </c>
      <c r="J120" s="162">
        <f ca="1">SUM(J116:J119)</f>
        <v>-44514.319742036285</v>
      </c>
      <c r="K120" s="162">
        <f ca="1">SUM(K116:K119)</f>
        <v>-63338.000568058094</v>
      </c>
      <c r="M120" s="5" t="s">
        <v>164</v>
      </c>
    </row>
    <row r="121" spans="3:17">
      <c r="E121" s="68"/>
      <c r="F121" s="68"/>
      <c r="G121" s="188"/>
      <c r="H121" s="188"/>
      <c r="I121" s="188"/>
      <c r="J121" s="188"/>
      <c r="K121" s="188"/>
    </row>
    <row r="122" spans="3:17">
      <c r="C122" s="7" t="s">
        <v>131</v>
      </c>
      <c r="D122" s="9"/>
      <c r="E122" s="9"/>
      <c r="F122" s="9"/>
      <c r="G122" s="190"/>
      <c r="H122" s="190"/>
      <c r="I122" s="190"/>
      <c r="J122" s="190"/>
      <c r="K122" s="190"/>
      <c r="O122" s="98"/>
      <c r="P122" s="98"/>
    </row>
    <row r="123" spans="3:17">
      <c r="C123" s="35" t="str">
        <f t="shared" ref="C123:K123" si="24">C15</f>
        <v xml:space="preserve">Fiscal year  </v>
      </c>
      <c r="D123" s="30">
        <f t="shared" si="24"/>
        <v>2016</v>
      </c>
      <c r="E123" s="30">
        <f t="shared" si="24"/>
        <v>2017</v>
      </c>
      <c r="F123" s="30">
        <f t="shared" si="24"/>
        <v>2018</v>
      </c>
      <c r="G123" s="191">
        <f t="shared" si="24"/>
        <v>2019</v>
      </c>
      <c r="H123" s="191">
        <f t="shared" si="24"/>
        <v>2020</v>
      </c>
      <c r="I123" s="191">
        <f t="shared" si="24"/>
        <v>2021</v>
      </c>
      <c r="J123" s="191">
        <f t="shared" si="24"/>
        <v>2022</v>
      </c>
      <c r="K123" s="191">
        <f t="shared" si="24"/>
        <v>2023</v>
      </c>
      <c r="O123" s="98"/>
      <c r="P123" s="98"/>
    </row>
    <row r="124" spans="3:17">
      <c r="C124" s="9" t="str">
        <f t="shared" ref="C124:K124" si="25">C16</f>
        <v>Fiscal year end date</v>
      </c>
      <c r="D124" s="32">
        <f t="shared" si="25"/>
        <v>42643</v>
      </c>
      <c r="E124" s="32">
        <f t="shared" si="25"/>
        <v>43008</v>
      </c>
      <c r="F124" s="32">
        <f t="shared" si="25"/>
        <v>43372</v>
      </c>
      <c r="G124" s="192">
        <f t="shared" si="25"/>
        <v>43738</v>
      </c>
      <c r="H124" s="192">
        <f t="shared" si="25"/>
        <v>44104</v>
      </c>
      <c r="I124" s="192">
        <f t="shared" si="25"/>
        <v>44469</v>
      </c>
      <c r="J124" s="192">
        <f t="shared" si="25"/>
        <v>44834</v>
      </c>
      <c r="K124" s="192">
        <f t="shared" si="25"/>
        <v>45199</v>
      </c>
      <c r="O124" s="98"/>
      <c r="P124" s="98"/>
    </row>
    <row r="125" spans="3:17">
      <c r="C125" s="19"/>
      <c r="G125" s="188"/>
      <c r="H125" s="188"/>
      <c r="I125" s="188"/>
      <c r="J125" s="188"/>
      <c r="K125" s="188"/>
      <c r="O125" s="98"/>
      <c r="P125" s="98"/>
    </row>
    <row r="126" spans="3:17">
      <c r="C126" s="53" t="s">
        <v>39</v>
      </c>
      <c r="G126" s="188"/>
      <c r="H126" s="188"/>
      <c r="I126" s="188"/>
      <c r="J126" s="188"/>
      <c r="K126" s="188"/>
      <c r="O126" s="98"/>
      <c r="P126" s="98"/>
      <c r="Q126" s="98"/>
    </row>
    <row r="127" spans="3:17">
      <c r="C127" s="26" t="s">
        <v>45</v>
      </c>
      <c r="G127" s="57">
        <f>F46</f>
        <v>237100</v>
      </c>
      <c r="H127" s="57">
        <f ca="1">G46</f>
        <v>202199.73246575586</v>
      </c>
      <c r="I127" s="57">
        <f ca="1">H46</f>
        <v>176523.72487352614</v>
      </c>
      <c r="J127" s="57">
        <f ca="1">I46</f>
        <v>156076.92943323214</v>
      </c>
      <c r="K127" s="57">
        <f ca="1">J46</f>
        <v>140273.77732642859</v>
      </c>
      <c r="M127" s="5" t="s">
        <v>172</v>
      </c>
      <c r="O127" s="98"/>
      <c r="P127" s="98"/>
    </row>
    <row r="128" spans="3:17">
      <c r="C128" s="26" t="s">
        <v>69</v>
      </c>
      <c r="G128" s="200">
        <v>-50000</v>
      </c>
      <c r="H128" s="200">
        <v>-50000</v>
      </c>
      <c r="I128" s="200">
        <v>-50000</v>
      </c>
      <c r="J128" s="200">
        <v>-50000</v>
      </c>
      <c r="K128" s="200">
        <v>-50000</v>
      </c>
      <c r="M128" s="5" t="s">
        <v>126</v>
      </c>
      <c r="O128" s="98"/>
      <c r="P128" s="98"/>
    </row>
    <row r="129" spans="3:19">
      <c r="C129" s="111" t="s">
        <v>40</v>
      </c>
      <c r="D129" s="101"/>
      <c r="E129" s="101"/>
      <c r="F129" s="101"/>
      <c r="G129" s="126">
        <f ca="1">SUM(G80,G83,G85,G87,G88)</f>
        <v>-34936.267534244129</v>
      </c>
      <c r="H129" s="126">
        <f ca="1">SUM(H80,H83,H85,H87,H88)</f>
        <v>-25676.007592229726</v>
      </c>
      <c r="I129" s="126">
        <f ca="1">SUM(I80,I83,I85,I87,I88)</f>
        <v>-20446.795440293994</v>
      </c>
      <c r="J129" s="126">
        <f ca="1">SUM(J80,J83,J85,J87,J88)</f>
        <v>-15803.152106803551</v>
      </c>
      <c r="K129" s="126">
        <f ca="1">SUM(K80,K83,K85,K87,K88)</f>
        <v>-10801.321625207391</v>
      </c>
      <c r="M129" s="5" t="s">
        <v>174</v>
      </c>
    </row>
    <row r="130" spans="3:19">
      <c r="C130" s="54" t="s">
        <v>102</v>
      </c>
      <c r="D130" s="6"/>
      <c r="E130" s="6"/>
      <c r="F130" s="6"/>
      <c r="G130" s="162">
        <f ca="1">SUM(G127:G129)</f>
        <v>152163.73246575586</v>
      </c>
      <c r="H130" s="162">
        <f ca="1">SUM(H127:H129)</f>
        <v>126523.72487352614</v>
      </c>
      <c r="I130" s="162">
        <f ca="1">SUM(I127:I129)</f>
        <v>106076.92943323214</v>
      </c>
      <c r="J130" s="162">
        <f ca="1">SUM(J127:J129)</f>
        <v>90273.777326428593</v>
      </c>
      <c r="K130" s="162">
        <f ca="1">SUM(K127:K129)</f>
        <v>79472.455701221203</v>
      </c>
    </row>
    <row r="131" spans="3:19">
      <c r="C131" s="6"/>
      <c r="G131" s="188"/>
      <c r="H131" s="188"/>
      <c r="I131" s="188"/>
      <c r="J131" s="188"/>
      <c r="K131" s="188"/>
    </row>
    <row r="132" spans="3:19">
      <c r="C132" s="19" t="s">
        <v>113</v>
      </c>
      <c r="G132" s="188"/>
      <c r="H132" s="188"/>
      <c r="I132" s="188"/>
      <c r="J132" s="188"/>
      <c r="K132" s="188"/>
    </row>
    <row r="133" spans="3:19">
      <c r="C133" s="26" t="s">
        <v>27</v>
      </c>
      <c r="G133" s="57">
        <f>F136</f>
        <v>11964</v>
      </c>
      <c r="H133" s="57">
        <f ca="1">G136</f>
        <v>12000</v>
      </c>
      <c r="I133" s="57">
        <f ca="1">H136</f>
        <v>12000</v>
      </c>
      <c r="J133" s="57">
        <f ca="1">I136</f>
        <v>12000</v>
      </c>
      <c r="K133" s="57">
        <f ca="1">J136</f>
        <v>12000</v>
      </c>
      <c r="M133" s="5" t="s">
        <v>167</v>
      </c>
    </row>
    <row r="134" spans="3:19">
      <c r="C134" s="47" t="s">
        <v>176</v>
      </c>
      <c r="G134" s="57">
        <f ca="1">-MIN(G130,G133)</f>
        <v>-11964</v>
      </c>
      <c r="H134" s="57">
        <f ca="1">-MIN(H130,H133)</f>
        <v>-12000</v>
      </c>
      <c r="I134" s="57">
        <f ca="1">-MIN(I130,I133)</f>
        <v>-12000</v>
      </c>
      <c r="J134" s="57">
        <f ca="1">-MIN(J130,J133)</f>
        <v>-12000</v>
      </c>
      <c r="K134" s="57">
        <f ca="1">-MIN(K130,K133)</f>
        <v>-12000</v>
      </c>
      <c r="M134" s="5" t="s">
        <v>175</v>
      </c>
    </row>
    <row r="135" spans="3:19">
      <c r="C135" s="103" t="s">
        <v>128</v>
      </c>
      <c r="D135" s="101"/>
      <c r="E135" s="101"/>
      <c r="F135" s="101"/>
      <c r="G135" s="201">
        <v>12000</v>
      </c>
      <c r="H135" s="201">
        <v>12000</v>
      </c>
      <c r="I135" s="201">
        <v>12000</v>
      </c>
      <c r="J135" s="201">
        <v>12000</v>
      </c>
      <c r="K135" s="201">
        <v>12000</v>
      </c>
      <c r="M135" s="5" t="s">
        <v>126</v>
      </c>
    </row>
    <row r="136" spans="3:19">
      <c r="C136" s="26" t="s">
        <v>28</v>
      </c>
      <c r="D136" s="102">
        <f>D57</f>
        <v>0</v>
      </c>
      <c r="E136" s="102">
        <f>E57</f>
        <v>11977</v>
      </c>
      <c r="F136" s="102">
        <f>F57</f>
        <v>11964</v>
      </c>
      <c r="G136" s="202">
        <f ca="1">SUM(G133:G135)</f>
        <v>12000</v>
      </c>
      <c r="H136" s="202">
        <f ca="1">SUM(H133:H135)</f>
        <v>12000</v>
      </c>
      <c r="I136" s="202">
        <f ca="1">SUM(I133:I135)</f>
        <v>12000</v>
      </c>
      <c r="J136" s="202">
        <f ca="1">SUM(J133:J135)</f>
        <v>12000</v>
      </c>
      <c r="K136" s="202">
        <f ca="1">SUM(K133:K135)</f>
        <v>12000</v>
      </c>
    </row>
    <row r="137" spans="3:19">
      <c r="C137" s="117" t="s">
        <v>119</v>
      </c>
      <c r="D137" s="122"/>
      <c r="E137" s="122"/>
      <c r="F137" s="123"/>
      <c r="G137" s="203" t="str">
        <f ca="1">IF(G136&lt;0,"Negative Debt","OK")</f>
        <v>OK</v>
      </c>
      <c r="H137" s="203" t="str">
        <f ca="1">IF(H136&lt;0,"Negative Debt","OK")</f>
        <v>OK</v>
      </c>
      <c r="I137" s="203" t="str">
        <f ca="1">IF(I136&lt;0,"Negative Debt","OK")</f>
        <v>OK</v>
      </c>
      <c r="J137" s="203" t="str">
        <f ca="1">IF(J136&lt;0,"Negative Debt","OK")</f>
        <v>OK</v>
      </c>
      <c r="K137" s="204" t="str">
        <f ca="1">IF(K136&lt;0,"Negative Debt","OK")</f>
        <v>OK</v>
      </c>
      <c r="L137" s="6"/>
      <c r="S137" s="68"/>
    </row>
    <row r="138" spans="3:19">
      <c r="D138" s="22"/>
      <c r="E138" s="22"/>
      <c r="F138" s="120"/>
      <c r="G138" s="205"/>
      <c r="H138" s="205"/>
      <c r="I138" s="205"/>
      <c r="J138" s="205"/>
      <c r="K138" s="205"/>
      <c r="L138" s="6"/>
      <c r="S138" s="68"/>
    </row>
    <row r="139" spans="3:19">
      <c r="C139" s="7" t="s">
        <v>43</v>
      </c>
      <c r="D139" s="48"/>
      <c r="E139" s="48"/>
      <c r="F139" s="48"/>
      <c r="G139" s="206"/>
      <c r="H139" s="206"/>
      <c r="I139" s="206"/>
      <c r="J139" s="206"/>
      <c r="K139" s="206"/>
      <c r="R139" s="99"/>
    </row>
    <row r="140" spans="3:19">
      <c r="C140" s="35" t="str">
        <f t="shared" ref="C140:K140" si="26">C15</f>
        <v xml:space="preserve">Fiscal year  </v>
      </c>
      <c r="D140" s="30">
        <f t="shared" si="26"/>
        <v>2016</v>
      </c>
      <c r="E140" s="30">
        <f t="shared" si="26"/>
        <v>2017</v>
      </c>
      <c r="F140" s="30">
        <f t="shared" si="26"/>
        <v>2018</v>
      </c>
      <c r="G140" s="191">
        <f t="shared" si="26"/>
        <v>2019</v>
      </c>
      <c r="H140" s="191">
        <f t="shared" si="26"/>
        <v>2020</v>
      </c>
      <c r="I140" s="191">
        <f t="shared" si="26"/>
        <v>2021</v>
      </c>
      <c r="J140" s="191">
        <f t="shared" si="26"/>
        <v>2022</v>
      </c>
      <c r="K140" s="191">
        <f t="shared" si="26"/>
        <v>2023</v>
      </c>
      <c r="R140" s="99"/>
      <c r="S140" s="68"/>
    </row>
    <row r="141" spans="3:19">
      <c r="C141" s="9" t="str">
        <f t="shared" ref="C141:K141" si="27">C16</f>
        <v>Fiscal year end date</v>
      </c>
      <c r="D141" s="32">
        <f t="shared" si="27"/>
        <v>42643</v>
      </c>
      <c r="E141" s="32">
        <f t="shared" si="27"/>
        <v>43008</v>
      </c>
      <c r="F141" s="32">
        <f t="shared" si="27"/>
        <v>43372</v>
      </c>
      <c r="G141" s="192">
        <f t="shared" si="27"/>
        <v>43738</v>
      </c>
      <c r="H141" s="192">
        <f t="shared" si="27"/>
        <v>44104</v>
      </c>
      <c r="I141" s="192">
        <f t="shared" si="27"/>
        <v>44469</v>
      </c>
      <c r="J141" s="192">
        <f t="shared" si="27"/>
        <v>44834</v>
      </c>
      <c r="K141" s="192">
        <f t="shared" si="27"/>
        <v>45199</v>
      </c>
      <c r="R141" s="99"/>
    </row>
    <row r="142" spans="3:19">
      <c r="C142" s="26"/>
      <c r="D142" s="34"/>
      <c r="E142" s="34"/>
      <c r="F142" s="34"/>
      <c r="G142" s="207"/>
      <c r="H142" s="207"/>
      <c r="I142" s="207"/>
      <c r="J142" s="207"/>
      <c r="K142" s="207"/>
      <c r="R142" s="99"/>
    </row>
    <row r="143" spans="3:19">
      <c r="C143" s="41" t="s">
        <v>120</v>
      </c>
      <c r="D143" s="34">
        <f>-(D25)</f>
        <v>1456</v>
      </c>
      <c r="E143" s="34">
        <f>-(E25)</f>
        <v>2323</v>
      </c>
      <c r="F143" s="22">
        <f>-(F25)</f>
        <v>3240</v>
      </c>
      <c r="G143" s="61">
        <f ca="1">G148+G153</f>
        <v>3223.1468651501777</v>
      </c>
      <c r="H143" s="61">
        <f ca="1">H148+H153</f>
        <v>3223.5392651501775</v>
      </c>
      <c r="I143" s="61">
        <f ca="1">I148+I153</f>
        <v>3223.5392651501775</v>
      </c>
      <c r="J143" s="61">
        <f ca="1">J148+J153</f>
        <v>3223.5392651501775</v>
      </c>
      <c r="K143" s="61">
        <f ca="1">K148+K153</f>
        <v>3223.5392651501775</v>
      </c>
      <c r="L143" s="6"/>
      <c r="M143" s="5" t="s">
        <v>178</v>
      </c>
      <c r="R143" s="68"/>
    </row>
    <row r="144" spans="3:19">
      <c r="C144" s="60"/>
      <c r="F144" s="6"/>
      <c r="G144" s="208"/>
      <c r="H144" s="208"/>
      <c r="I144" s="208"/>
      <c r="J144" s="208"/>
      <c r="K144" s="208"/>
      <c r="L144" s="6"/>
      <c r="R144" s="68"/>
    </row>
    <row r="145" spans="3:18">
      <c r="C145" s="94" t="s">
        <v>68</v>
      </c>
      <c r="F145" s="6"/>
      <c r="G145" s="208"/>
      <c r="H145" s="208"/>
      <c r="I145" s="208"/>
      <c r="J145" s="208"/>
      <c r="K145" s="208"/>
      <c r="L145" s="6"/>
      <c r="R145" s="68"/>
    </row>
    <row r="146" spans="3:18">
      <c r="C146" s="26" t="s">
        <v>111</v>
      </c>
      <c r="E146" s="56">
        <v>1.2E-2</v>
      </c>
      <c r="F146" s="124">
        <v>2.18E-2</v>
      </c>
      <c r="G146" s="209">
        <f>F146</f>
        <v>2.18E-2</v>
      </c>
      <c r="H146" s="209">
        <f>G146</f>
        <v>2.18E-2</v>
      </c>
      <c r="I146" s="209">
        <f>H146</f>
        <v>2.18E-2</v>
      </c>
      <c r="J146" s="209">
        <f>I146</f>
        <v>2.18E-2</v>
      </c>
      <c r="K146" s="209">
        <f>J146</f>
        <v>2.18E-2</v>
      </c>
      <c r="L146" s="6"/>
      <c r="M146" s="5" t="s">
        <v>132</v>
      </c>
    </row>
    <row r="147" spans="3:18">
      <c r="C147" s="26" t="s">
        <v>112</v>
      </c>
      <c r="D147" s="102"/>
      <c r="E147" s="102">
        <f t="shared" ref="E147:K147" si="28">E57</f>
        <v>11977</v>
      </c>
      <c r="F147" s="102">
        <f t="shared" si="28"/>
        <v>11964</v>
      </c>
      <c r="G147" s="61">
        <f t="shared" ca="1" si="28"/>
        <v>12000</v>
      </c>
      <c r="H147" s="61">
        <f t="shared" ca="1" si="28"/>
        <v>12000</v>
      </c>
      <c r="I147" s="61">
        <f t="shared" ca="1" si="28"/>
        <v>12000</v>
      </c>
      <c r="J147" s="61">
        <f t="shared" ca="1" si="28"/>
        <v>12000</v>
      </c>
      <c r="K147" s="61">
        <f t="shared" ca="1" si="28"/>
        <v>12000</v>
      </c>
      <c r="L147" s="6"/>
      <c r="M147" s="5" t="s">
        <v>181</v>
      </c>
    </row>
    <row r="148" spans="3:18">
      <c r="C148" s="163" t="s">
        <v>41</v>
      </c>
      <c r="D148" s="22"/>
      <c r="E148" s="51">
        <f>AVERAGE(D147:E147)*E146</f>
        <v>143.72399999999999</v>
      </c>
      <c r="F148" s="51">
        <f>AVERAGE(E147:F147)*F146</f>
        <v>260.95690000000002</v>
      </c>
      <c r="G148" s="164">
        <f ca="1">IF($D$7=1,AVERAGE(F147:G147)*G146,0)</f>
        <v>261.20760000000001</v>
      </c>
      <c r="H148" s="164">
        <f ca="1">IF($D$7=1,AVERAGE(G147:H147)*H146,0)</f>
        <v>261.60000000000002</v>
      </c>
      <c r="I148" s="164">
        <f ca="1">IF($D$7=1,AVERAGE(H147:I147)*I146,0)</f>
        <v>261.60000000000002</v>
      </c>
      <c r="J148" s="164">
        <f ca="1">IF($D$7=1,AVERAGE(I147:J147)*J146,0)</f>
        <v>261.60000000000002</v>
      </c>
      <c r="K148" s="164">
        <f ca="1">IF($D$7=1,AVERAGE(J147:K147)*K146,0)</f>
        <v>261.60000000000002</v>
      </c>
      <c r="L148" s="6"/>
      <c r="M148" s="5" t="s">
        <v>180</v>
      </c>
    </row>
    <row r="149" spans="3:18">
      <c r="C149" s="81"/>
      <c r="D149" s="34"/>
      <c r="E149" s="34"/>
      <c r="F149" s="22"/>
      <c r="G149" s="208"/>
      <c r="H149" s="208"/>
      <c r="I149" s="208"/>
      <c r="J149" s="208"/>
      <c r="K149" s="208"/>
      <c r="L149" s="6"/>
    </row>
    <row r="150" spans="3:18">
      <c r="C150" s="94" t="s">
        <v>67</v>
      </c>
      <c r="D150" s="34"/>
      <c r="E150" s="34"/>
      <c r="F150" s="22"/>
      <c r="G150" s="208"/>
      <c r="H150" s="208"/>
      <c r="I150" s="208"/>
      <c r="J150" s="208"/>
      <c r="K150" s="208"/>
      <c r="L150" s="6"/>
    </row>
    <row r="151" spans="3:18">
      <c r="C151" s="26" t="s">
        <v>112</v>
      </c>
      <c r="D151" s="34"/>
      <c r="E151" s="34">
        <f t="shared" ref="E151:K151" si="29">E58</f>
        <v>103703</v>
      </c>
      <c r="F151" s="22">
        <f t="shared" si="29"/>
        <v>102519</v>
      </c>
      <c r="G151" s="61">
        <f t="shared" si="29"/>
        <v>102519</v>
      </c>
      <c r="H151" s="61">
        <f t="shared" si="29"/>
        <v>102519</v>
      </c>
      <c r="I151" s="61">
        <f t="shared" si="29"/>
        <v>102519</v>
      </c>
      <c r="J151" s="61">
        <f t="shared" si="29"/>
        <v>102519</v>
      </c>
      <c r="K151" s="61">
        <f t="shared" si="29"/>
        <v>102519</v>
      </c>
      <c r="L151" s="6"/>
      <c r="M151" s="5" t="s">
        <v>183</v>
      </c>
    </row>
    <row r="152" spans="3:18">
      <c r="C152" s="26" t="s">
        <v>111</v>
      </c>
      <c r="E152" s="93">
        <f t="shared" ref="E152" si="30">E153/AVERAGE(D151:E151)</f>
        <v>2.101458974185896E-2</v>
      </c>
      <c r="F152" s="100">
        <f>F153/AVERAGE(E151:F151)</f>
        <v>2.8891612921996681E-2</v>
      </c>
      <c r="G152" s="209">
        <f>F152</f>
        <v>2.8891612921996681E-2</v>
      </c>
      <c r="H152" s="209">
        <f>G152</f>
        <v>2.8891612921996681E-2</v>
      </c>
      <c r="I152" s="209">
        <f>H152</f>
        <v>2.8891612921996681E-2</v>
      </c>
      <c r="J152" s="209">
        <f>I152</f>
        <v>2.8891612921996681E-2</v>
      </c>
      <c r="K152" s="209">
        <f>J152</f>
        <v>2.8891612921996681E-2</v>
      </c>
      <c r="L152" s="6"/>
      <c r="M152" s="5" t="s">
        <v>132</v>
      </c>
      <c r="R152" s="99"/>
    </row>
    <row r="153" spans="3:18">
      <c r="C153" s="54" t="s">
        <v>186</v>
      </c>
      <c r="D153" s="52"/>
      <c r="E153" s="52">
        <f>E143-E148</f>
        <v>2179.2759999999998</v>
      </c>
      <c r="F153" s="51">
        <f>F143-F148</f>
        <v>2979.0430999999999</v>
      </c>
      <c r="G153" s="20">
        <f>G152*AVERAGE(F151:G151)</f>
        <v>2961.9392651501776</v>
      </c>
      <c r="H153" s="20">
        <f>H152*AVERAGE(G151:H151)</f>
        <v>2961.9392651501776</v>
      </c>
      <c r="I153" s="20">
        <f>I152*AVERAGE(H151:I151)</f>
        <v>2961.9392651501776</v>
      </c>
      <c r="J153" s="20">
        <f>J152*AVERAGE(I151:J151)</f>
        <v>2961.9392651501776</v>
      </c>
      <c r="K153" s="20">
        <f>K152*AVERAGE(J151:K151)</f>
        <v>2961.9392651501776</v>
      </c>
      <c r="L153" s="6"/>
      <c r="M153" s="5" t="s">
        <v>114</v>
      </c>
    </row>
    <row r="154" spans="3:18">
      <c r="E154" s="34"/>
      <c r="F154" s="6"/>
      <c r="G154" s="208"/>
      <c r="H154" s="208"/>
      <c r="I154" s="208"/>
      <c r="J154" s="208"/>
      <c r="K154" s="208"/>
      <c r="L154" s="6"/>
    </row>
    <row r="155" spans="3:18">
      <c r="C155" s="60" t="s">
        <v>42</v>
      </c>
      <c r="E155" s="34"/>
      <c r="F155" s="22"/>
      <c r="G155" s="208"/>
      <c r="H155" s="208"/>
      <c r="I155" s="208"/>
      <c r="J155" s="208"/>
      <c r="K155" s="208"/>
      <c r="L155" s="6"/>
    </row>
    <row r="156" spans="3:18" ht="15" customHeight="1">
      <c r="C156" s="26" t="s">
        <v>115</v>
      </c>
      <c r="D156" s="55">
        <v>1.7299999999999999E-2</v>
      </c>
      <c r="E156" s="56">
        <v>1.9900000000000001E-2</v>
      </c>
      <c r="F156" s="124">
        <v>2.1600000000000001E-2</v>
      </c>
      <c r="G156" s="210">
        <f>F156</f>
        <v>2.1600000000000001E-2</v>
      </c>
      <c r="H156" s="210">
        <f>G156</f>
        <v>2.1600000000000001E-2</v>
      </c>
      <c r="I156" s="210">
        <f>H156</f>
        <v>2.1600000000000001E-2</v>
      </c>
      <c r="J156" s="210">
        <f>I156</f>
        <v>2.1600000000000001E-2</v>
      </c>
      <c r="K156" s="210">
        <f>J156</f>
        <v>2.1600000000000001E-2</v>
      </c>
      <c r="L156" s="6"/>
      <c r="M156" s="5" t="s">
        <v>132</v>
      </c>
    </row>
    <row r="157" spans="3:18" ht="15" customHeight="1">
      <c r="C157" s="26" t="s">
        <v>4</v>
      </c>
      <c r="D157" s="34">
        <f>D24</f>
        <v>3999</v>
      </c>
      <c r="E157" s="34">
        <f>E24</f>
        <v>5201</v>
      </c>
      <c r="F157" s="22">
        <f>F24</f>
        <v>5686</v>
      </c>
      <c r="G157" s="38">
        <f ca="1">IF($D$7=1,AVERAGE(F46,G46)*G156,0)</f>
        <v>4744.4371106301642</v>
      </c>
      <c r="H157" s="38">
        <f ca="1">IF($D$7=1,AVERAGE(G46,H46)*H156,0)</f>
        <v>4090.2133392642463</v>
      </c>
      <c r="I157" s="38">
        <f ca="1">IF($D$7=1,AVERAGE(H46,I46)*I156,0)</f>
        <v>3592.0870665129901</v>
      </c>
      <c r="J157" s="38">
        <f ca="1">IF($D$7=1,AVERAGE(I46,J46)*J156,0)</f>
        <v>3200.5876330043361</v>
      </c>
      <c r="K157" s="38">
        <f ca="1">IF($D$7=1,AVERAGE(J46,K46)*K156,0)</f>
        <v>2913.259316698618</v>
      </c>
      <c r="L157" s="6"/>
      <c r="M157" s="5" t="s">
        <v>184</v>
      </c>
    </row>
    <row r="158" spans="3:18">
      <c r="C158" s="65"/>
      <c r="D158" s="100"/>
      <c r="E158" s="93"/>
      <c r="F158" s="93"/>
      <c r="G158" s="100"/>
      <c r="H158" s="100"/>
      <c r="I158" s="6"/>
      <c r="J158" s="6"/>
      <c r="K158" s="6"/>
    </row>
    <row r="159" spans="3:18">
      <c r="C159" s="7" t="s">
        <v>76</v>
      </c>
      <c r="D159" s="7"/>
      <c r="E159" s="7"/>
      <c r="F159" s="7"/>
      <c r="G159" s="7"/>
      <c r="H159" s="7"/>
      <c r="I159" s="7"/>
      <c r="J159" s="7"/>
      <c r="K159" s="7"/>
    </row>
    <row r="160" spans="3:18">
      <c r="C160" s="24"/>
    </row>
    <row r="161" spans="3:16" ht="15.75" thickBot="1">
      <c r="C161" s="75" t="s">
        <v>188</v>
      </c>
      <c r="D161" s="76"/>
      <c r="E161" s="76"/>
      <c r="F161" s="76"/>
      <c r="G161" s="76"/>
      <c r="H161" s="76"/>
      <c r="I161" s="76"/>
    </row>
    <row r="162" spans="3:16">
      <c r="E162" s="260" t="s">
        <v>77</v>
      </c>
      <c r="F162" s="77"/>
      <c r="G162" s="77"/>
      <c r="H162" s="77"/>
      <c r="I162" s="77"/>
    </row>
    <row r="163" spans="3:16" ht="15.75" customHeight="1" thickBot="1">
      <c r="D163" s="173"/>
      <c r="E163" s="251"/>
      <c r="F163" s="251"/>
      <c r="G163" s="251"/>
      <c r="H163" s="251"/>
      <c r="I163" s="251"/>
    </row>
    <row r="164" spans="3:16">
      <c r="D164" s="252"/>
      <c r="E164" s="253"/>
      <c r="F164" s="253"/>
      <c r="G164" s="253"/>
      <c r="H164" s="253"/>
      <c r="I164" s="253"/>
    </row>
    <row r="165" spans="3:16">
      <c r="C165" s="259" t="s">
        <v>78</v>
      </c>
      <c r="D165" s="252"/>
      <c r="E165" s="253"/>
      <c r="F165" s="253"/>
      <c r="G165" s="253"/>
      <c r="H165" s="253"/>
      <c r="I165" s="253"/>
    </row>
    <row r="166" spans="3:16">
      <c r="C166" s="259" t="s">
        <v>79</v>
      </c>
      <c r="D166" s="252"/>
      <c r="E166" s="253"/>
      <c r="F166" s="253"/>
      <c r="G166" s="253"/>
      <c r="H166" s="253"/>
      <c r="I166" s="253"/>
    </row>
    <row r="167" spans="3:16">
      <c r="C167" s="259" t="s">
        <v>80</v>
      </c>
      <c r="D167" s="252"/>
      <c r="E167" s="253"/>
      <c r="F167" s="253"/>
      <c r="G167" s="253"/>
      <c r="H167" s="253"/>
      <c r="I167" s="253"/>
    </row>
    <row r="168" spans="3:16">
      <c r="D168" s="252"/>
      <c r="E168" s="253"/>
      <c r="F168" s="253"/>
      <c r="G168" s="253"/>
      <c r="H168" s="253"/>
      <c r="I168" s="253"/>
    </row>
    <row r="169" spans="3:16">
      <c r="D169" s="252"/>
      <c r="E169" s="253"/>
      <c r="F169" s="253"/>
      <c r="G169" s="253"/>
      <c r="H169" s="253"/>
      <c r="I169" s="253"/>
    </row>
    <row r="171" spans="3:16">
      <c r="C171" s="7" t="s">
        <v>81</v>
      </c>
      <c r="D171" s="7"/>
      <c r="E171" s="7"/>
      <c r="F171" s="7"/>
      <c r="G171" s="7"/>
      <c r="H171" s="7"/>
      <c r="I171" s="7"/>
      <c r="J171" s="7"/>
      <c r="K171" s="7"/>
    </row>
    <row r="172" spans="3:16" ht="15.75" thickBot="1">
      <c r="F172"/>
    </row>
    <row r="173" spans="3:16" ht="15.75" thickBot="1">
      <c r="C173" s="6" t="s">
        <v>193</v>
      </c>
      <c r="D173" s="185" t="str">
        <f>D12</f>
        <v>Base case</v>
      </c>
      <c r="E173" s="6"/>
      <c r="F173" s="183" t="s">
        <v>191</v>
      </c>
      <c r="G173" s="31">
        <f>G15</f>
        <v>2019</v>
      </c>
      <c r="H173" s="31">
        <f t="shared" ref="H173:K174" si="31">H15</f>
        <v>2020</v>
      </c>
      <c r="I173" s="31">
        <f t="shared" si="31"/>
        <v>2021</v>
      </c>
      <c r="J173" s="31">
        <f t="shared" si="31"/>
        <v>2022</v>
      </c>
      <c r="K173" s="31">
        <f t="shared" si="31"/>
        <v>2023</v>
      </c>
    </row>
    <row r="174" spans="3:16">
      <c r="E174" s="184"/>
      <c r="F174" s="178" t="s">
        <v>190</v>
      </c>
      <c r="G174" s="32">
        <f>G16</f>
        <v>43738</v>
      </c>
      <c r="H174" s="32">
        <f t="shared" si="31"/>
        <v>44104</v>
      </c>
      <c r="I174" s="32">
        <f t="shared" si="31"/>
        <v>44469</v>
      </c>
      <c r="J174" s="32">
        <f t="shared" si="31"/>
        <v>44834</v>
      </c>
      <c r="K174" s="32">
        <f t="shared" si="31"/>
        <v>45199</v>
      </c>
    </row>
    <row r="175" spans="3:16">
      <c r="C175" s="26" t="s">
        <v>1</v>
      </c>
      <c r="D175" s="6"/>
      <c r="E175" s="6"/>
      <c r="F175" s="248"/>
      <c r="G175" s="249"/>
      <c r="H175" s="249"/>
      <c r="I175" s="249"/>
      <c r="J175" s="249"/>
      <c r="K175" s="249"/>
      <c r="M175" s="241"/>
      <c r="O175" s="241"/>
      <c r="P175" s="241"/>
    </row>
    <row r="176" spans="3:16">
      <c r="C176" s="26" t="s">
        <v>231</v>
      </c>
      <c r="E176" s="6"/>
      <c r="F176" s="248"/>
      <c r="G176" s="249"/>
      <c r="H176" s="249"/>
      <c r="I176" s="249"/>
      <c r="J176" s="249"/>
      <c r="K176" s="249"/>
      <c r="M176" s="241"/>
      <c r="O176" s="241"/>
      <c r="P176" s="241"/>
    </row>
    <row r="177" spans="3:19">
      <c r="C177" s="28" t="s">
        <v>232</v>
      </c>
      <c r="E177" s="6"/>
      <c r="F177" s="248"/>
      <c r="G177" s="249"/>
      <c r="H177" s="249"/>
      <c r="I177" s="249"/>
      <c r="J177" s="249"/>
      <c r="K177" s="249"/>
      <c r="M177" s="241"/>
      <c r="O177" s="241"/>
      <c r="P177" s="241"/>
    </row>
    <row r="178" spans="3:19">
      <c r="C178" s="26" t="s">
        <v>234</v>
      </c>
      <c r="E178" s="6"/>
      <c r="F178" s="248"/>
      <c r="G178" s="249"/>
      <c r="H178" s="249"/>
      <c r="I178" s="249"/>
      <c r="J178" s="249"/>
      <c r="K178" s="249"/>
      <c r="M178" s="241"/>
      <c r="O178" s="241"/>
      <c r="P178" s="241"/>
    </row>
    <row r="179" spans="3:19">
      <c r="E179" s="6"/>
      <c r="F179" s="179"/>
      <c r="G179" s="6"/>
    </row>
    <row r="180" spans="3:19">
      <c r="C180" s="54" t="s">
        <v>1</v>
      </c>
      <c r="E180" s="6"/>
      <c r="F180" s="179"/>
      <c r="G180" s="6"/>
    </row>
    <row r="181" spans="3:19">
      <c r="C181" s="81" t="s">
        <v>84</v>
      </c>
      <c r="E181" s="6"/>
      <c r="F181" s="180">
        <v>2.5000000000000001E-2</v>
      </c>
      <c r="G181" s="27">
        <f>G182+$F$181</f>
        <v>-1.4999999999999999E-2</v>
      </c>
      <c r="H181" s="67">
        <f>H182+$F$181</f>
        <v>8.4999999999999992E-2</v>
      </c>
      <c r="I181" s="67">
        <f>I182+$F$181</f>
        <v>9.4E-2</v>
      </c>
      <c r="J181" s="67">
        <f>J182+$F$181</f>
        <v>9.4E-2</v>
      </c>
      <c r="K181" s="67">
        <f>K182+$F$181</f>
        <v>9.4E-2</v>
      </c>
    </row>
    <row r="182" spans="3:19">
      <c r="C182" s="81" t="s">
        <v>83</v>
      </c>
      <c r="E182" s="6"/>
      <c r="F182" s="181" t="s">
        <v>189</v>
      </c>
      <c r="G182" s="66">
        <v>-0.04</v>
      </c>
      <c r="H182" s="66">
        <v>0.06</v>
      </c>
      <c r="I182" s="66">
        <v>6.9000000000000006E-2</v>
      </c>
      <c r="J182" s="27">
        <f>I182</f>
        <v>6.9000000000000006E-2</v>
      </c>
      <c r="K182" s="27">
        <f>J182</f>
        <v>6.9000000000000006E-2</v>
      </c>
      <c r="M182" s="5" t="s">
        <v>151</v>
      </c>
      <c r="O182" s="66"/>
      <c r="P182" s="66"/>
      <c r="Q182" s="66"/>
      <c r="R182" s="66"/>
      <c r="S182" s="66"/>
    </row>
    <row r="183" spans="3:19">
      <c r="C183" s="81" t="s">
        <v>85</v>
      </c>
      <c r="E183" s="6"/>
      <c r="F183" s="180">
        <v>-2.5000000000000001E-2</v>
      </c>
      <c r="G183" s="27">
        <f>G182+$F$183</f>
        <v>-6.5000000000000002E-2</v>
      </c>
      <c r="H183" s="67">
        <f>H182+$F$183</f>
        <v>3.4999999999999996E-2</v>
      </c>
      <c r="I183" s="67">
        <f>I182+$F$183</f>
        <v>4.4000000000000004E-2</v>
      </c>
      <c r="J183" s="67">
        <f>J182+$F$183</f>
        <v>4.4000000000000004E-2</v>
      </c>
      <c r="K183" s="67">
        <f>K182+$F$183</f>
        <v>4.4000000000000004E-2</v>
      </c>
      <c r="O183" s="66"/>
      <c r="P183" s="66"/>
      <c r="Q183" s="66"/>
      <c r="R183" s="66"/>
      <c r="S183" s="66"/>
    </row>
    <row r="184" spans="3:19">
      <c r="C184" s="54" t="s">
        <v>231</v>
      </c>
      <c r="E184" s="6"/>
      <c r="F184" s="181"/>
      <c r="G184" s="59"/>
      <c r="H184" s="59"/>
      <c r="I184" s="59"/>
      <c r="J184" s="59"/>
      <c r="K184" s="59"/>
      <c r="O184" s="66"/>
      <c r="P184" s="66"/>
      <c r="Q184" s="66"/>
      <c r="R184" s="66"/>
      <c r="S184" s="66"/>
    </row>
    <row r="185" spans="3:19">
      <c r="C185" s="81" t="s">
        <v>84</v>
      </c>
      <c r="E185" s="6"/>
      <c r="F185" s="180">
        <v>0.01</v>
      </c>
      <c r="G185" s="27">
        <f>G186+$F$185</f>
        <v>0.38800000000000001</v>
      </c>
      <c r="H185" s="67">
        <f>H186+$F$185</f>
        <v>0.39</v>
      </c>
      <c r="I185" s="67">
        <f>I186+$F$185</f>
        <v>0.39200000000000002</v>
      </c>
      <c r="J185" s="67">
        <f>J186+$F$185</f>
        <v>0.39200000000000002</v>
      </c>
      <c r="K185" s="67">
        <f>K186+$F$185</f>
        <v>0.39200000000000002</v>
      </c>
    </row>
    <row r="186" spans="3:19">
      <c r="C186" s="81" t="s">
        <v>83</v>
      </c>
      <c r="E186" s="6"/>
      <c r="F186" s="181" t="s">
        <v>189</v>
      </c>
      <c r="G186" s="66">
        <v>0.378</v>
      </c>
      <c r="H186" s="66">
        <v>0.38</v>
      </c>
      <c r="I186" s="66">
        <v>0.38200000000000001</v>
      </c>
      <c r="J186" s="27">
        <f>I186</f>
        <v>0.38200000000000001</v>
      </c>
      <c r="K186" s="27">
        <f>J186</f>
        <v>0.38200000000000001</v>
      </c>
      <c r="M186" s="5" t="s">
        <v>152</v>
      </c>
    </row>
    <row r="187" spans="3:19">
      <c r="C187" s="81" t="s">
        <v>85</v>
      </c>
      <c r="E187" s="6"/>
      <c r="F187" s="180">
        <v>-0.01</v>
      </c>
      <c r="G187" s="27">
        <f>G186+$F$187</f>
        <v>0.36799999999999999</v>
      </c>
      <c r="H187" s="67">
        <f>H186+$F$187</f>
        <v>0.37</v>
      </c>
      <c r="I187" s="67">
        <f>I186+$F$187</f>
        <v>0.372</v>
      </c>
      <c r="J187" s="67">
        <f>J186+$F$187</f>
        <v>0.372</v>
      </c>
      <c r="K187" s="67">
        <f>K186+$F$187</f>
        <v>0.372</v>
      </c>
    </row>
    <row r="188" spans="3:19">
      <c r="C188" s="83" t="s">
        <v>232</v>
      </c>
      <c r="E188" s="6"/>
      <c r="F188" s="181"/>
      <c r="G188" s="177"/>
      <c r="H188" s="82"/>
      <c r="I188" s="82"/>
      <c r="J188" s="82"/>
      <c r="K188" s="82"/>
    </row>
    <row r="189" spans="3:19">
      <c r="C189" s="81" t="s">
        <v>84</v>
      </c>
      <c r="E189" s="6"/>
      <c r="F189" s="180">
        <v>-0.01</v>
      </c>
      <c r="G189" s="27">
        <f>G190+$F$189</f>
        <v>5.1999999999999998E-2</v>
      </c>
      <c r="H189" s="67">
        <f>H190+$F$189</f>
        <v>5.2999999999999999E-2</v>
      </c>
      <c r="I189" s="67">
        <f>I190+$F$189</f>
        <v>5.2999999999999999E-2</v>
      </c>
      <c r="J189" s="67">
        <f>J190+$F$189</f>
        <v>5.2999999999999999E-2</v>
      </c>
      <c r="K189" s="67">
        <f>K190+$F$189</f>
        <v>5.2999999999999999E-2</v>
      </c>
    </row>
    <row r="190" spans="3:19">
      <c r="C190" s="81" t="s">
        <v>83</v>
      </c>
      <c r="E190" s="6"/>
      <c r="F190" s="181" t="s">
        <v>189</v>
      </c>
      <c r="G190" s="66">
        <v>6.2E-2</v>
      </c>
      <c r="H190" s="66">
        <v>6.3E-2</v>
      </c>
      <c r="I190" s="66">
        <v>6.3E-2</v>
      </c>
      <c r="J190" s="27">
        <f>I190</f>
        <v>6.3E-2</v>
      </c>
      <c r="K190" s="27">
        <f>J190</f>
        <v>6.3E-2</v>
      </c>
      <c r="M190" s="5" t="s">
        <v>153</v>
      </c>
    </row>
    <row r="191" spans="3:19">
      <c r="C191" s="81" t="s">
        <v>85</v>
      </c>
      <c r="E191" s="6"/>
      <c r="F191" s="180">
        <v>0.01</v>
      </c>
      <c r="G191" s="27">
        <f>G190+$F$191</f>
        <v>7.1999999999999995E-2</v>
      </c>
      <c r="H191" s="67">
        <f>H190+$F$191</f>
        <v>7.2999999999999995E-2</v>
      </c>
      <c r="I191" s="67">
        <f>I190+$F$191</f>
        <v>7.2999999999999995E-2</v>
      </c>
      <c r="J191" s="67">
        <f>J190+$F$191</f>
        <v>7.2999999999999995E-2</v>
      </c>
      <c r="K191" s="67">
        <f>K190+$F$191</f>
        <v>7.2999999999999995E-2</v>
      </c>
    </row>
    <row r="192" spans="3:19">
      <c r="C192" s="54" t="s">
        <v>234</v>
      </c>
      <c r="E192" s="6"/>
      <c r="F192" s="181"/>
      <c r="G192" s="177"/>
      <c r="H192" s="82"/>
      <c r="I192" s="82"/>
      <c r="J192" s="82"/>
      <c r="K192" s="82"/>
    </row>
    <row r="193" spans="3:13">
      <c r="C193" s="81" t="s">
        <v>84</v>
      </c>
      <c r="E193" s="6"/>
      <c r="F193" s="180">
        <v>-0.01</v>
      </c>
      <c r="G193" s="27">
        <f>G194+$F$193</f>
        <v>6.4000000000000001E-2</v>
      </c>
      <c r="H193" s="67">
        <f>H194+$F$193</f>
        <v>5.9000000000000004E-2</v>
      </c>
      <c r="I193" s="67">
        <f>I194+$F$193</f>
        <v>5.9000000000000004E-2</v>
      </c>
      <c r="J193" s="67">
        <f>J194+$F$193</f>
        <v>5.9000000000000004E-2</v>
      </c>
      <c r="K193" s="67">
        <f>K194+$F$193</f>
        <v>5.9000000000000004E-2</v>
      </c>
    </row>
    <row r="194" spans="3:13">
      <c r="C194" s="81" t="s">
        <v>83</v>
      </c>
      <c r="E194" s="6"/>
      <c r="F194" s="181" t="s">
        <v>189</v>
      </c>
      <c r="G194" s="66">
        <v>7.3999999999999996E-2</v>
      </c>
      <c r="H194" s="66">
        <v>6.9000000000000006E-2</v>
      </c>
      <c r="I194" s="66">
        <v>6.9000000000000006E-2</v>
      </c>
      <c r="J194" s="27">
        <f>I194</f>
        <v>6.9000000000000006E-2</v>
      </c>
      <c r="K194" s="27">
        <f>J194</f>
        <v>6.9000000000000006E-2</v>
      </c>
      <c r="M194" s="5" t="s">
        <v>153</v>
      </c>
    </row>
    <row r="195" spans="3:13" ht="15.75" thickBot="1">
      <c r="C195" s="81" t="s">
        <v>85</v>
      </c>
      <c r="E195" s="6"/>
      <c r="F195" s="182">
        <v>0.01</v>
      </c>
      <c r="G195" s="27">
        <f>G194+$F$195</f>
        <v>8.3999999999999991E-2</v>
      </c>
      <c r="H195" s="67">
        <f>H194+$F$195</f>
        <v>7.9000000000000001E-2</v>
      </c>
      <c r="I195" s="67">
        <f>I194+$F$195</f>
        <v>7.9000000000000001E-2</v>
      </c>
      <c r="J195" s="67">
        <f>J194+$F$195</f>
        <v>7.9000000000000001E-2</v>
      </c>
      <c r="K195" s="67">
        <f>K194+$F$195</f>
        <v>7.9000000000000001E-2</v>
      </c>
    </row>
    <row r="196" spans="3:13">
      <c r="F196" s="6"/>
    </row>
    <row r="197" spans="3:13">
      <c r="C197" s="7" t="s">
        <v>214</v>
      </c>
      <c r="D197" s="7"/>
      <c r="E197" s="7"/>
      <c r="F197" s="7"/>
      <c r="G197" s="7"/>
      <c r="H197" s="7"/>
      <c r="I197" s="7"/>
      <c r="J197" s="7"/>
      <c r="K197" s="7"/>
    </row>
    <row r="198" spans="3:13">
      <c r="C198" s="35" t="str">
        <f>C15</f>
        <v xml:space="preserve">Fiscal year  </v>
      </c>
      <c r="D198" s="30">
        <f>D15</f>
        <v>2016</v>
      </c>
      <c r="E198" s="30">
        <f t="shared" ref="E198:K199" si="32">E15</f>
        <v>2017</v>
      </c>
      <c r="F198" s="30">
        <f t="shared" si="32"/>
        <v>2018</v>
      </c>
      <c r="G198" s="191">
        <f t="shared" si="32"/>
        <v>2019</v>
      </c>
      <c r="H198" s="191">
        <f t="shared" si="32"/>
        <v>2020</v>
      </c>
      <c r="I198" s="191">
        <f t="shared" si="32"/>
        <v>2021</v>
      </c>
      <c r="J198" s="191">
        <f t="shared" si="32"/>
        <v>2022</v>
      </c>
      <c r="K198" s="191">
        <f t="shared" si="32"/>
        <v>2023</v>
      </c>
    </row>
    <row r="199" spans="3:13">
      <c r="C199" s="9" t="str">
        <f>C16</f>
        <v>Fiscal year end date</v>
      </c>
      <c r="D199" s="32">
        <f>D16</f>
        <v>42643</v>
      </c>
      <c r="E199" s="32">
        <f t="shared" si="32"/>
        <v>43008</v>
      </c>
      <c r="F199" s="32">
        <f t="shared" si="32"/>
        <v>43372</v>
      </c>
      <c r="G199" s="192">
        <f t="shared" si="32"/>
        <v>43738</v>
      </c>
      <c r="H199" s="192">
        <f t="shared" si="32"/>
        <v>44104</v>
      </c>
      <c r="I199" s="192">
        <f t="shared" si="32"/>
        <v>44469</v>
      </c>
      <c r="J199" s="192">
        <f t="shared" si="32"/>
        <v>44834</v>
      </c>
      <c r="K199" s="192">
        <f t="shared" si="32"/>
        <v>45199</v>
      </c>
    </row>
    <row r="200" spans="3:13">
      <c r="G200" s="66"/>
      <c r="H200" s="66"/>
      <c r="I200" s="66"/>
      <c r="J200" s="27"/>
      <c r="K200" s="27"/>
    </row>
    <row r="201" spans="3:13">
      <c r="C201" s="5" t="s">
        <v>2</v>
      </c>
      <c r="D201" s="92">
        <f>D29</f>
        <v>45687</v>
      </c>
      <c r="E201" s="92">
        <f t="shared" ref="E201:F201" si="33">E29</f>
        <v>48351</v>
      </c>
      <c r="F201" s="92">
        <f t="shared" si="33"/>
        <v>59531</v>
      </c>
      <c r="G201" s="443"/>
      <c r="H201" s="443"/>
      <c r="I201" s="443"/>
      <c r="J201" s="443"/>
      <c r="K201" s="443"/>
      <c r="M201" s="5" t="s">
        <v>223</v>
      </c>
    </row>
    <row r="202" spans="3:13">
      <c r="C202" s="5" t="s">
        <v>215</v>
      </c>
      <c r="D202" s="91">
        <v>5470.82</v>
      </c>
      <c r="E202" s="91">
        <v>5217.2420000000002</v>
      </c>
      <c r="F202" s="91">
        <v>4955.3770000000004</v>
      </c>
      <c r="G202" s="443"/>
      <c r="H202" s="443"/>
      <c r="I202" s="443"/>
      <c r="J202" s="443"/>
      <c r="K202" s="443"/>
      <c r="M202" s="5" t="s">
        <v>301</v>
      </c>
    </row>
    <row r="203" spans="3:13">
      <c r="C203" s="24" t="s">
        <v>216</v>
      </c>
      <c r="D203" s="245">
        <f t="shared" ref="D203:F203" si="34">D201/D202</f>
        <v>8.3510333003096431</v>
      </c>
      <c r="E203" s="245">
        <f t="shared" si="34"/>
        <v>9.2675402061088974</v>
      </c>
      <c r="F203" s="245">
        <f t="shared" si="34"/>
        <v>12.0134149228202</v>
      </c>
      <c r="G203" s="444"/>
      <c r="H203" s="444"/>
      <c r="I203" s="444"/>
      <c r="J203" s="444"/>
      <c r="K203" s="444"/>
      <c r="M203" s="5" t="s">
        <v>226</v>
      </c>
    </row>
    <row r="204" spans="3:13">
      <c r="D204" s="3"/>
      <c r="E204" s="3"/>
      <c r="F204" s="3"/>
      <c r="G204" s="34"/>
    </row>
    <row r="205" spans="3:13">
      <c r="C205" s="5" t="s">
        <v>217</v>
      </c>
      <c r="D205" s="91">
        <v>5500.2809999999999</v>
      </c>
      <c r="E205" s="91">
        <v>5251.692</v>
      </c>
      <c r="F205" s="91">
        <v>5000.1090000000004</v>
      </c>
      <c r="G205" s="443"/>
      <c r="H205" s="443"/>
      <c r="I205" s="443"/>
      <c r="J205" s="443"/>
      <c r="K205" s="443"/>
      <c r="M205" s="5" t="s">
        <v>227</v>
      </c>
    </row>
    <row r="206" spans="3:13">
      <c r="C206" s="24" t="s">
        <v>218</v>
      </c>
      <c r="D206" s="245">
        <f>D201/D205</f>
        <v>8.3063028961611227</v>
      </c>
      <c r="E206" s="245">
        <f t="shared" ref="E206:F206" si="35">E201/E205</f>
        <v>9.2067470826545037</v>
      </c>
      <c r="F206" s="245">
        <f t="shared" si="35"/>
        <v>11.905940450498179</v>
      </c>
      <c r="G206" s="444"/>
      <c r="H206" s="444"/>
      <c r="I206" s="444"/>
      <c r="J206" s="444"/>
      <c r="K206" s="444"/>
      <c r="M206" s="5" t="s">
        <v>228</v>
      </c>
    </row>
    <row r="207" spans="3:13">
      <c r="G207" s="243"/>
    </row>
    <row r="208" spans="3:13">
      <c r="C208" s="5" t="s">
        <v>224</v>
      </c>
      <c r="G208" s="443"/>
      <c r="H208" s="443"/>
      <c r="I208" s="443"/>
      <c r="J208" s="443"/>
      <c r="K208" s="443"/>
      <c r="M208" s="5" t="s">
        <v>221</v>
      </c>
    </row>
    <row r="209" spans="3:13">
      <c r="C209" s="5" t="s">
        <v>225</v>
      </c>
      <c r="G209" s="443"/>
      <c r="H209" s="443"/>
      <c r="I209" s="443"/>
      <c r="J209" s="443"/>
      <c r="K209" s="443"/>
      <c r="M209" s="5" t="s">
        <v>222</v>
      </c>
    </row>
    <row r="210" spans="3:13">
      <c r="C210" s="5" t="s">
        <v>220</v>
      </c>
      <c r="G210" s="246">
        <v>180</v>
      </c>
      <c r="H210" s="445"/>
      <c r="I210" s="445"/>
      <c r="J210" s="445"/>
      <c r="K210" s="445"/>
      <c r="M210" s="5" t="s">
        <v>229</v>
      </c>
    </row>
    <row r="211" spans="3:13" ht="15" customHeight="1">
      <c r="C211" s="5" t="s">
        <v>219</v>
      </c>
      <c r="H211" s="446">
        <v>0.15</v>
      </c>
      <c r="I211" s="446">
        <v>0.15</v>
      </c>
      <c r="J211" s="446">
        <v>0.15</v>
      </c>
      <c r="K211" s="446">
        <v>0.15</v>
      </c>
      <c r="M211" s="5" t="s">
        <v>300</v>
      </c>
    </row>
    <row r="212" spans="3:13">
      <c r="G212" s="6"/>
      <c r="M212" s="25" t="s">
        <v>302</v>
      </c>
    </row>
    <row r="213" spans="3:13">
      <c r="C213" s="24" t="s">
        <v>295</v>
      </c>
      <c r="D213" s="24"/>
      <c r="E213" s="24"/>
      <c r="F213" s="449" t="s">
        <v>303</v>
      </c>
      <c r="G213" s="450"/>
      <c r="H213" s="146"/>
      <c r="I213" s="147"/>
      <c r="J213" s="147"/>
      <c r="K213" s="147"/>
      <c r="M213" s="5" t="s">
        <v>304</v>
      </c>
    </row>
    <row r="214" spans="3:13">
      <c r="C214" s="5" t="s">
        <v>296</v>
      </c>
      <c r="G214" s="143"/>
      <c r="H214" s="92"/>
      <c r="I214" s="92"/>
      <c r="J214" s="92"/>
      <c r="K214" s="92"/>
      <c r="M214" s="5" t="s">
        <v>305</v>
      </c>
    </row>
    <row r="215" spans="3:13">
      <c r="C215" s="5" t="s">
        <v>297</v>
      </c>
      <c r="G215" s="92"/>
      <c r="H215" s="92"/>
      <c r="I215" s="92"/>
      <c r="J215" s="92"/>
      <c r="K215" s="92"/>
      <c r="M215" s="5" t="s">
        <v>306</v>
      </c>
    </row>
    <row r="216" spans="3:13">
      <c r="C216" s="24" t="s">
        <v>298</v>
      </c>
      <c r="D216" s="24"/>
      <c r="E216" s="24"/>
      <c r="F216" s="24"/>
      <c r="G216" s="147"/>
      <c r="H216" s="147"/>
      <c r="I216" s="147"/>
      <c r="J216" s="147"/>
      <c r="K216" s="147"/>
      <c r="M216" s="5" t="s">
        <v>307</v>
      </c>
    </row>
    <row r="217" spans="3:13">
      <c r="M217" s="25" t="s">
        <v>308</v>
      </c>
    </row>
    <row r="218" spans="3:13">
      <c r="C218" s="24" t="s">
        <v>2</v>
      </c>
      <c r="D218" s="147"/>
      <c r="E218" s="147"/>
      <c r="F218" s="147"/>
      <c r="G218" s="147"/>
      <c r="H218" s="147"/>
      <c r="I218" s="147"/>
      <c r="J218" s="147"/>
      <c r="K218" s="147"/>
      <c r="M218" s="5" t="s">
        <v>309</v>
      </c>
    </row>
    <row r="219" spans="3:13" ht="15" customHeight="1">
      <c r="C219" s="211" t="s">
        <v>299</v>
      </c>
      <c r="E219" s="447"/>
      <c r="F219" s="448"/>
      <c r="G219" s="448"/>
      <c r="H219" s="448"/>
      <c r="I219" s="448"/>
      <c r="J219" s="448"/>
      <c r="K219" s="448"/>
      <c r="M219" s="5" t="s">
        <v>310</v>
      </c>
    </row>
  </sheetData>
  <conditionalFormatting sqref="C40">
    <cfRule type="expression" dxfId="18" priority="3">
      <formula>#REF!=$C40</formula>
    </cfRule>
  </conditionalFormatting>
  <conditionalFormatting sqref="C192">
    <cfRule type="expression" dxfId="17" priority="2">
      <formula>#REF!=$C192</formula>
    </cfRule>
  </conditionalFormatting>
  <conditionalFormatting sqref="C178">
    <cfRule type="expression" dxfId="16" priority="1">
      <formula>#REF!=$C178</formula>
    </cfRule>
  </conditionalFormatting>
  <dataValidations count="3">
    <dataValidation type="list" allowBlank="1" showInputMessage="1" showErrorMessage="1" sqref="C3" xr:uid="{F69D8AE2-4412-4D3F-A5B7-0F8096AD5FCE}">
      <formula1>"$ bns except per share, $ mm except per share,$ in thousands except per share"</formula1>
    </dataValidation>
    <dataValidation type="list" allowBlank="1" showInputMessage="1" showErrorMessage="1" sqref="D12" xr:uid="{E8CD410A-557B-4A28-9A7E-0698A38708FC}">
      <formula1>$C$181:$C$183</formula1>
    </dataValidation>
    <dataValidation type="list" allowBlank="1" showInputMessage="1" showErrorMessage="1" sqref="D7" xr:uid="{DDB818BB-83C3-4A83-95DC-E06F7EB0FEC2}">
      <formula1>"0,1"</formula1>
    </dataValidation>
  </dataValidations>
  <pageMargins left="0.7" right="0.7" top="0.75" bottom="0.75" header="0.3" footer="0.3"/>
  <pageSetup scale="22"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6FFF3-B6B3-4F6A-9CF4-D83D418E1777}">
  <sheetPr>
    <pageSetUpPr fitToPage="1"/>
  </sheetPr>
  <dimension ref="C1:T222"/>
  <sheetViews>
    <sheetView topLeftCell="A107" zoomScaleNormal="100" workbookViewId="0">
      <selection activeCell="G107" sqref="G107"/>
    </sheetView>
  </sheetViews>
  <sheetFormatPr defaultColWidth="8.85546875" defaultRowHeight="15"/>
  <cols>
    <col min="1" max="2" width="1.7109375" style="5" customWidth="1"/>
    <col min="3" max="3" width="46.7109375" style="5" bestFit="1" customWidth="1"/>
    <col min="4" max="4" width="13.28515625" style="5" bestFit="1" customWidth="1"/>
    <col min="5" max="11" width="11.42578125" style="5" customWidth="1"/>
    <col min="12" max="12" width="2.28515625" style="5" customWidth="1"/>
    <col min="13" max="13" width="11.42578125" style="5" customWidth="1"/>
    <col min="14" max="14" width="11.85546875" style="5" customWidth="1"/>
    <col min="15" max="17" width="10.28515625" style="5" bestFit="1" customWidth="1"/>
    <col min="18" max="19" width="9.42578125" style="5" bestFit="1" customWidth="1"/>
    <col min="20" max="16384" width="8.85546875" style="5"/>
  </cols>
  <sheetData>
    <row r="1" spans="3:19" ht="15.75" thickBot="1"/>
    <row r="2" spans="3:19" ht="15.75" thickBot="1">
      <c r="C2" s="96" t="str">
        <f>"Financial Statement Model for "&amp;D5</f>
        <v>Financial Statement Model for Apple</v>
      </c>
      <c r="D2" s="79"/>
      <c r="E2" s="79"/>
      <c r="F2" s="79"/>
      <c r="G2" s="79"/>
      <c r="H2" s="79"/>
      <c r="I2" s="79"/>
      <c r="J2" s="79"/>
      <c r="K2" s="79"/>
    </row>
    <row r="3" spans="3:19">
      <c r="C3" s="2" t="s">
        <v>46</v>
      </c>
      <c r="D3" s="64"/>
      <c r="E3" s="64"/>
      <c r="F3" s="64"/>
      <c r="G3" s="64"/>
      <c r="H3" s="64"/>
      <c r="I3" s="6"/>
      <c r="J3" s="6"/>
      <c r="K3" s="6"/>
    </row>
    <row r="4" spans="3:19">
      <c r="O4" s="6"/>
      <c r="P4" s="6"/>
    </row>
    <row r="5" spans="3:19">
      <c r="C5" s="1" t="s">
        <v>5</v>
      </c>
      <c r="D5" s="112" t="s">
        <v>50</v>
      </c>
      <c r="O5" s="6"/>
      <c r="P5" s="6"/>
    </row>
    <row r="6" spans="3:19">
      <c r="C6" s="1" t="s">
        <v>6</v>
      </c>
      <c r="D6" s="112" t="s">
        <v>51</v>
      </c>
      <c r="O6" s="6"/>
      <c r="P6" s="6"/>
    </row>
    <row r="7" spans="3:19">
      <c r="C7" s="5" t="s">
        <v>109</v>
      </c>
      <c r="D7" s="113">
        <v>1</v>
      </c>
      <c r="O7" s="6"/>
      <c r="P7" s="6"/>
    </row>
    <row r="8" spans="3:19">
      <c r="C8" s="5" t="s">
        <v>73</v>
      </c>
      <c r="D8" s="114">
        <v>171.25</v>
      </c>
      <c r="O8" s="6"/>
      <c r="P8" s="6"/>
    </row>
    <row r="9" spans="3:19">
      <c r="C9" s="5" t="s">
        <v>9</v>
      </c>
      <c r="D9" s="115">
        <v>43500</v>
      </c>
      <c r="O9" s="6"/>
      <c r="P9" s="6"/>
    </row>
    <row r="10" spans="3:19">
      <c r="C10" s="1" t="s">
        <v>8</v>
      </c>
      <c r="D10" s="116">
        <v>43372</v>
      </c>
      <c r="O10" s="6"/>
      <c r="P10" s="6"/>
    </row>
    <row r="11" spans="3:19" ht="15" customHeight="1">
      <c r="C11" t="s">
        <v>292</v>
      </c>
      <c r="D11" s="132">
        <v>4745.3980000000001</v>
      </c>
      <c r="O11" s="6"/>
      <c r="P11" s="6"/>
    </row>
    <row r="12" spans="3:19">
      <c r="C12" s="21" t="s">
        <v>82</v>
      </c>
      <c r="D12" s="113" t="s">
        <v>83</v>
      </c>
      <c r="O12" s="6"/>
      <c r="P12" s="6"/>
    </row>
    <row r="13" spans="3:19">
      <c r="C13" s="176"/>
      <c r="D13" s="176"/>
      <c r="O13" s="6"/>
      <c r="P13" s="6"/>
    </row>
    <row r="14" spans="3:19">
      <c r="C14" s="7" t="s">
        <v>19</v>
      </c>
      <c r="D14" s="9"/>
      <c r="E14" s="9"/>
      <c r="F14" s="9"/>
      <c r="G14" s="9"/>
      <c r="H14" s="9"/>
      <c r="I14" s="9"/>
      <c r="J14" s="9"/>
      <c r="K14" s="9"/>
      <c r="Q14" s="6"/>
    </row>
    <row r="15" spans="3:19">
      <c r="C15" s="6" t="s">
        <v>10</v>
      </c>
      <c r="D15" s="10">
        <f>E15-1</f>
        <v>2016</v>
      </c>
      <c r="E15" s="10">
        <f>F15-1</f>
        <v>2017</v>
      </c>
      <c r="F15" s="10">
        <f>YEAR(D10)</f>
        <v>2018</v>
      </c>
      <c r="G15" s="11">
        <f>F15+1</f>
        <v>2019</v>
      </c>
      <c r="H15" s="11">
        <f>G15+1</f>
        <v>2020</v>
      </c>
      <c r="I15" s="11">
        <f>H15+1</f>
        <v>2021</v>
      </c>
      <c r="J15" s="11">
        <f>I15+1</f>
        <v>2022</v>
      </c>
      <c r="K15" s="11">
        <f>J15+1</f>
        <v>2023</v>
      </c>
      <c r="Q15" s="6"/>
    </row>
    <row r="16" spans="3:19">
      <c r="C16" s="12" t="s">
        <v>7</v>
      </c>
      <c r="D16" s="89">
        <f>EOMONTH(E16,-12)</f>
        <v>42643</v>
      </c>
      <c r="E16" s="89">
        <f>EOMONTH(F16,-12)</f>
        <v>43008</v>
      </c>
      <c r="F16" s="89">
        <f>D10</f>
        <v>43372</v>
      </c>
      <c r="G16" s="89">
        <f>EOMONTH(F16,12)</f>
        <v>43738</v>
      </c>
      <c r="H16" s="89">
        <f>EOMONTH(G16,12)</f>
        <v>44104</v>
      </c>
      <c r="I16" s="89">
        <f>EOMONTH(H16,12)</f>
        <v>44469</v>
      </c>
      <c r="J16" s="89">
        <f>EOMONTH(I16,12)</f>
        <v>44834</v>
      </c>
      <c r="K16" s="89">
        <f>EOMONTH(J16,12)</f>
        <v>45199</v>
      </c>
      <c r="M16" s="84" t="s">
        <v>86</v>
      </c>
      <c r="N16" s="97"/>
      <c r="O16" s="97"/>
      <c r="P16" s="97"/>
      <c r="Q16" s="97"/>
      <c r="R16" s="97"/>
      <c r="S16" s="97"/>
    </row>
    <row r="17" spans="3:14">
      <c r="C17" s="14"/>
      <c r="D17" s="15"/>
      <c r="E17" s="16"/>
      <c r="F17" s="16"/>
      <c r="G17" s="85"/>
      <c r="H17" s="86"/>
      <c r="I17" s="86"/>
      <c r="J17" s="16"/>
      <c r="K17" s="16"/>
    </row>
    <row r="18" spans="3:14" ht="15" customHeight="1">
      <c r="C18" s="6" t="s">
        <v>11</v>
      </c>
      <c r="D18" s="17">
        <v>215639</v>
      </c>
      <c r="E18" s="17">
        <v>229234</v>
      </c>
      <c r="F18" s="17">
        <v>265595</v>
      </c>
      <c r="G18" s="38">
        <f ca="1">F18*(1+G37)</f>
        <v>254971.19999999998</v>
      </c>
      <c r="H18" s="38">
        <f ca="1">G18*(1+H37)</f>
        <v>270269.47200000001</v>
      </c>
      <c r="I18" s="38">
        <f ca="1">H18*(1+I37)</f>
        <v>288918.06556800002</v>
      </c>
      <c r="J18" s="38">
        <f ca="1">I18*(1+J37)</f>
        <v>308853.41209219198</v>
      </c>
      <c r="K18" s="38">
        <f ca="1">J18*(1+K37)</f>
        <v>330164.29752655321</v>
      </c>
      <c r="M18" s="5" t="s">
        <v>87</v>
      </c>
    </row>
    <row r="19" spans="3:14">
      <c r="C19" s="6" t="s">
        <v>14</v>
      </c>
      <c r="D19" s="17">
        <v>-131376</v>
      </c>
      <c r="E19" s="17">
        <v>-141048</v>
      </c>
      <c r="F19" s="17">
        <v>-163756</v>
      </c>
      <c r="G19" s="63">
        <f ca="1">G20-G18</f>
        <v>-158592.08639999997</v>
      </c>
      <c r="H19" s="63">
        <f ca="1">H20-H18</f>
        <v>-167296.80316800001</v>
      </c>
      <c r="I19" s="63">
        <f ca="1">I20-I18</f>
        <v>-178551.36452102399</v>
      </c>
      <c r="J19" s="63">
        <f ca="1">J20-J18</f>
        <v>-190871.40867297465</v>
      </c>
      <c r="K19" s="63">
        <f ca="1">K20-K18</f>
        <v>-204041.53587140987</v>
      </c>
      <c r="M19" s="5" t="s">
        <v>88</v>
      </c>
    </row>
    <row r="20" spans="3:14">
      <c r="C20" s="19" t="s">
        <v>13</v>
      </c>
      <c r="D20" s="20">
        <f>SUM(D18:D19)</f>
        <v>84263</v>
      </c>
      <c r="E20" s="20">
        <f>SUM(E18:E19)</f>
        <v>88186</v>
      </c>
      <c r="F20" s="20">
        <f>SUM(F18:F19)</f>
        <v>101839</v>
      </c>
      <c r="G20" s="20">
        <f ca="1">G18*G38</f>
        <v>96379.113599999997</v>
      </c>
      <c r="H20" s="20">
        <f ca="1">H18*H38</f>
        <v>102972.66883200001</v>
      </c>
      <c r="I20" s="20">
        <f ca="1">I18*I38</f>
        <v>110366.70104697601</v>
      </c>
      <c r="J20" s="20">
        <f ca="1">J18*J38</f>
        <v>117982.00341921733</v>
      </c>
      <c r="K20" s="20">
        <f ca="1">K18*K38</f>
        <v>126122.76165514333</v>
      </c>
      <c r="M20" s="87" t="s">
        <v>89</v>
      </c>
    </row>
    <row r="21" spans="3:14">
      <c r="C21" s="21" t="s">
        <v>52</v>
      </c>
      <c r="D21" s="17">
        <v>-10045</v>
      </c>
      <c r="E21" s="17">
        <v>-11581</v>
      </c>
      <c r="F21" s="17">
        <v>-14236</v>
      </c>
      <c r="G21" s="63">
        <f ca="1">-G39*G18</f>
        <v>-15808.214399999999</v>
      </c>
      <c r="H21" s="63">
        <f ca="1">-H39*H18</f>
        <v>-17026.976736000001</v>
      </c>
      <c r="I21" s="63">
        <f ca="1">-I39*I18</f>
        <v>-18201.838130784003</v>
      </c>
      <c r="J21" s="63">
        <f ca="1">-J39*J18</f>
        <v>-19457.764961808094</v>
      </c>
      <c r="K21" s="63">
        <f ca="1">-K39*K18</f>
        <v>-20800.350744172854</v>
      </c>
      <c r="M21" s="87" t="s">
        <v>233</v>
      </c>
    </row>
    <row r="22" spans="3:14">
      <c r="C22" s="21" t="s">
        <v>16</v>
      </c>
      <c r="D22" s="17">
        <v>-14194</v>
      </c>
      <c r="E22" s="17">
        <v>-15261</v>
      </c>
      <c r="F22" s="17">
        <v>-16705</v>
      </c>
      <c r="G22" s="63">
        <f ca="1">-G18*G40</f>
        <v>-18867.868799999997</v>
      </c>
      <c r="H22" s="63">
        <f ca="1">-H18*H40</f>
        <v>-18648.593568000004</v>
      </c>
      <c r="I22" s="63">
        <f ca="1">-I18*I40</f>
        <v>-19935.346524192002</v>
      </c>
      <c r="J22" s="63">
        <f ca="1">-J18*J40</f>
        <v>-21310.885434361247</v>
      </c>
      <c r="K22" s="63">
        <f ca="1">-K18*K40</f>
        <v>-22781.336529332173</v>
      </c>
      <c r="M22" s="87" t="s">
        <v>235</v>
      </c>
    </row>
    <row r="23" spans="3:14">
      <c r="C23" s="19" t="s">
        <v>3</v>
      </c>
      <c r="D23" s="20">
        <f t="shared" ref="D23:K23" si="0">D20+D21+D22</f>
        <v>60024</v>
      </c>
      <c r="E23" s="20">
        <f t="shared" si="0"/>
        <v>61344</v>
      </c>
      <c r="F23" s="20">
        <f t="shared" si="0"/>
        <v>70898</v>
      </c>
      <c r="G23" s="20">
        <f t="shared" ca="1" si="0"/>
        <v>61703.030400000003</v>
      </c>
      <c r="H23" s="20">
        <f t="shared" ca="1" si="0"/>
        <v>67297.098528000002</v>
      </c>
      <c r="I23" s="20">
        <f t="shared" ca="1" si="0"/>
        <v>72229.516392000005</v>
      </c>
      <c r="J23" s="20">
        <f t="shared" ca="1" si="0"/>
        <v>77213.353023047996</v>
      </c>
      <c r="K23" s="20">
        <f t="shared" ca="1" si="0"/>
        <v>82541.074381638304</v>
      </c>
      <c r="M23" s="24" t="s">
        <v>90</v>
      </c>
    </row>
    <row r="24" spans="3:14">
      <c r="C24" s="6" t="s">
        <v>4</v>
      </c>
      <c r="D24" s="17">
        <v>3999</v>
      </c>
      <c r="E24" s="17">
        <v>5201</v>
      </c>
      <c r="F24" s="17">
        <v>5686</v>
      </c>
      <c r="G24" s="61">
        <f ca="1">G157</f>
        <v>4744.4371106301642</v>
      </c>
      <c r="H24" s="61">
        <f ca="1">H157</f>
        <v>4090.2133392642463</v>
      </c>
      <c r="I24" s="61">
        <f ca="1">I157</f>
        <v>3592.0870665129901</v>
      </c>
      <c r="J24" s="61">
        <f ca="1">J157</f>
        <v>3200.5876330043361</v>
      </c>
      <c r="K24" s="61">
        <f ca="1">K157</f>
        <v>2913.259316698618</v>
      </c>
      <c r="M24" s="5" t="s">
        <v>95</v>
      </c>
    </row>
    <row r="25" spans="3:14">
      <c r="C25" s="6" t="s">
        <v>17</v>
      </c>
      <c r="D25" s="17">
        <v>-1456</v>
      </c>
      <c r="E25" s="17">
        <v>-2323</v>
      </c>
      <c r="F25" s="17">
        <v>-3240</v>
      </c>
      <c r="G25" s="61">
        <f ca="1">-G143</f>
        <v>-3223.1468651501777</v>
      </c>
      <c r="H25" s="61">
        <f ca="1">-H143</f>
        <v>-3223.5392651501775</v>
      </c>
      <c r="I25" s="61">
        <f ca="1">-I143</f>
        <v>-3223.5392651501775</v>
      </c>
      <c r="J25" s="61">
        <f ca="1">-J143</f>
        <v>-3223.5392651501775</v>
      </c>
      <c r="K25" s="61">
        <f ca="1">-K143</f>
        <v>-3223.5392651501775</v>
      </c>
      <c r="M25" s="5" t="s">
        <v>94</v>
      </c>
    </row>
    <row r="26" spans="3:14">
      <c r="C26" s="21" t="s">
        <v>53</v>
      </c>
      <c r="D26" s="17">
        <v>-1195</v>
      </c>
      <c r="E26" s="17">
        <v>-133</v>
      </c>
      <c r="F26" s="17">
        <v>-441</v>
      </c>
      <c r="G26" s="61">
        <f>F26</f>
        <v>-441</v>
      </c>
      <c r="H26" s="61">
        <f>G26</f>
        <v>-441</v>
      </c>
      <c r="I26" s="61">
        <f>H26</f>
        <v>-441</v>
      </c>
      <c r="J26" s="61">
        <f>I26</f>
        <v>-441</v>
      </c>
      <c r="K26" s="61">
        <f>J26</f>
        <v>-441</v>
      </c>
      <c r="M26" s="5" t="s">
        <v>91</v>
      </c>
    </row>
    <row r="27" spans="3:14">
      <c r="C27" s="19" t="s">
        <v>12</v>
      </c>
      <c r="D27" s="20">
        <f t="shared" ref="D27:K27" si="1">SUM(D23:D26)</f>
        <v>61372</v>
      </c>
      <c r="E27" s="20">
        <f t="shared" si="1"/>
        <v>64089</v>
      </c>
      <c r="F27" s="20">
        <f t="shared" si="1"/>
        <v>72903</v>
      </c>
      <c r="G27" s="20">
        <f ca="1">SUM(G23:G26)</f>
        <v>62783.320645479995</v>
      </c>
      <c r="H27" s="20">
        <f t="shared" ca="1" si="1"/>
        <v>67722.77260211407</v>
      </c>
      <c r="I27" s="20">
        <f t="shared" ca="1" si="1"/>
        <v>72157.064193362821</v>
      </c>
      <c r="J27" s="20">
        <f t="shared" ca="1" si="1"/>
        <v>76749.40139090216</v>
      </c>
      <c r="K27" s="20">
        <f t="shared" ca="1" si="1"/>
        <v>81789.794433186747</v>
      </c>
      <c r="M27" s="24" t="s">
        <v>96</v>
      </c>
      <c r="N27" s="24"/>
    </row>
    <row r="28" spans="3:14">
      <c r="C28" s="6" t="s">
        <v>15</v>
      </c>
      <c r="D28" s="17">
        <v>-15685</v>
      </c>
      <c r="E28" s="17">
        <v>-15738</v>
      </c>
      <c r="F28" s="17">
        <v>-13372</v>
      </c>
      <c r="G28" s="63">
        <f ca="1">-G41*G27</f>
        <v>-10484.81454779516</v>
      </c>
      <c r="H28" s="63">
        <f ca="1">-H41*H27</f>
        <v>-11512.871342359393</v>
      </c>
      <c r="I28" s="63">
        <f ca="1">-I41*I27</f>
        <v>-12194.543848678317</v>
      </c>
      <c r="J28" s="63">
        <f ca="1">-J41*J27</f>
        <v>-12970.648835062466</v>
      </c>
      <c r="K28" s="63">
        <f ca="1">-K41*K27</f>
        <v>-13822.475259208561</v>
      </c>
      <c r="M28" s="5" t="s">
        <v>92</v>
      </c>
    </row>
    <row r="29" spans="3:14">
      <c r="C29" s="19" t="s">
        <v>2</v>
      </c>
      <c r="D29" s="23">
        <f t="shared" ref="D29:K29" si="2">SUM(D27:D28)</f>
        <v>45687</v>
      </c>
      <c r="E29" s="23">
        <f t="shared" si="2"/>
        <v>48351</v>
      </c>
      <c r="F29" s="23">
        <f t="shared" si="2"/>
        <v>59531</v>
      </c>
      <c r="G29" s="20">
        <f ca="1">SUM(G27:G28)</f>
        <v>52298.506097684833</v>
      </c>
      <c r="H29" s="20">
        <f t="shared" ca="1" si="2"/>
        <v>56209.901259754675</v>
      </c>
      <c r="I29" s="20">
        <f t="shared" ca="1" si="2"/>
        <v>59962.520344684504</v>
      </c>
      <c r="J29" s="20">
        <f t="shared" ca="1" si="2"/>
        <v>63778.752555839696</v>
      </c>
      <c r="K29" s="20">
        <f t="shared" ca="1" si="2"/>
        <v>67967.319173978191</v>
      </c>
      <c r="M29" s="24" t="s">
        <v>93</v>
      </c>
    </row>
    <row r="30" spans="3:14">
      <c r="C30" s="28"/>
      <c r="D30" s="34"/>
      <c r="E30" s="34"/>
      <c r="F30" s="34"/>
      <c r="G30" s="57"/>
      <c r="H30" s="57"/>
      <c r="I30" s="57"/>
      <c r="J30" s="57"/>
      <c r="K30" s="57"/>
    </row>
    <row r="31" spans="3:14">
      <c r="C31" s="72" t="s">
        <v>49</v>
      </c>
      <c r="D31" s="3">
        <v>10505</v>
      </c>
      <c r="E31" s="3">
        <v>10157</v>
      </c>
      <c r="F31" s="3">
        <v>10903</v>
      </c>
      <c r="G31" s="57">
        <f ca="1">G107</f>
        <v>11085.020171261172</v>
      </c>
      <c r="H31" s="57">
        <f ca="1">H107</f>
        <v>11711.890744865921</v>
      </c>
      <c r="I31" s="57">
        <f ca="1">I107</f>
        <v>12226.380531123083</v>
      </c>
      <c r="J31" s="57">
        <f ca="1">J107</f>
        <v>13365.451007770575</v>
      </c>
      <c r="K31" s="57">
        <f ca="1">K107</f>
        <v>14603.503412486743</v>
      </c>
      <c r="M31" s="5" t="s">
        <v>159</v>
      </c>
    </row>
    <row r="32" spans="3:14">
      <c r="C32" s="73" t="s">
        <v>47</v>
      </c>
      <c r="D32" s="69">
        <f t="shared" ref="D32:K32" si="3">D23+D31</f>
        <v>70529</v>
      </c>
      <c r="E32" s="69">
        <f t="shared" si="3"/>
        <v>71501</v>
      </c>
      <c r="F32" s="69">
        <f t="shared" si="3"/>
        <v>81801</v>
      </c>
      <c r="G32" s="186">
        <f t="shared" ca="1" si="3"/>
        <v>72788.050571261178</v>
      </c>
      <c r="H32" s="186">
        <f t="shared" ca="1" si="3"/>
        <v>79008.989272865918</v>
      </c>
      <c r="I32" s="186">
        <f t="shared" ca="1" si="3"/>
        <v>84455.896923123088</v>
      </c>
      <c r="J32" s="186">
        <f t="shared" ca="1" si="3"/>
        <v>90578.804030818574</v>
      </c>
      <c r="K32" s="186">
        <f t="shared" ca="1" si="3"/>
        <v>97144.577794125042</v>
      </c>
      <c r="M32" s="24" t="s">
        <v>97</v>
      </c>
    </row>
    <row r="33" spans="3:20">
      <c r="C33" s="72" t="s">
        <v>74</v>
      </c>
      <c r="D33" s="3">
        <v>4210</v>
      </c>
      <c r="E33" s="3">
        <v>4840</v>
      </c>
      <c r="F33" s="3">
        <v>5340</v>
      </c>
      <c r="G33" s="57">
        <f ca="1">F33*(1+G37)</f>
        <v>5126.3999999999996</v>
      </c>
      <c r="H33" s="57">
        <f ca="1">G33*(1+H37)</f>
        <v>5433.9839999999995</v>
      </c>
      <c r="I33" s="57">
        <f ca="1">H33*(1+I37)</f>
        <v>5808.9288959999994</v>
      </c>
      <c r="J33" s="57">
        <f ca="1">I33*(1+J37)</f>
        <v>6209.7449898239993</v>
      </c>
      <c r="K33" s="57">
        <f ca="1">J33*(1+K37)</f>
        <v>6638.2173941218552</v>
      </c>
      <c r="M33" s="5" t="s">
        <v>99</v>
      </c>
    </row>
    <row r="34" spans="3:20">
      <c r="C34" s="73" t="s">
        <v>72</v>
      </c>
      <c r="D34" s="69">
        <f t="shared" ref="D34:K34" si="4">SUM(D32:D33)</f>
        <v>74739</v>
      </c>
      <c r="E34" s="69">
        <f t="shared" si="4"/>
        <v>76341</v>
      </c>
      <c r="F34" s="69">
        <f>SUM(F32:F33)</f>
        <v>87141</v>
      </c>
      <c r="G34" s="186">
        <f t="shared" ca="1" si="4"/>
        <v>77914.450571261172</v>
      </c>
      <c r="H34" s="186">
        <f t="shared" ca="1" si="4"/>
        <v>84442.973272865915</v>
      </c>
      <c r="I34" s="186">
        <f t="shared" ca="1" si="4"/>
        <v>90264.825819123085</v>
      </c>
      <c r="J34" s="186">
        <f t="shared" ca="1" si="4"/>
        <v>96788.549020642575</v>
      </c>
      <c r="K34" s="186">
        <f t="shared" ca="1" si="4"/>
        <v>103782.79518824689</v>
      </c>
      <c r="M34" s="24" t="s">
        <v>98</v>
      </c>
    </row>
    <row r="35" spans="3:20">
      <c r="C35" s="28"/>
      <c r="G35" s="187"/>
      <c r="H35" s="188"/>
      <c r="I35" s="188"/>
      <c r="J35" s="188"/>
      <c r="K35" s="188"/>
    </row>
    <row r="36" spans="3:20">
      <c r="C36" s="25" t="s">
        <v>18</v>
      </c>
      <c r="G36" s="188"/>
      <c r="H36" s="188"/>
      <c r="I36" s="188"/>
      <c r="J36" s="188"/>
      <c r="K36" s="188"/>
    </row>
    <row r="37" spans="3:20">
      <c r="C37" s="26" t="s">
        <v>1</v>
      </c>
      <c r="D37" s="27"/>
      <c r="E37" s="27">
        <f>E18/D18-1</f>
        <v>6.304518199398057E-2</v>
      </c>
      <c r="F37" s="27">
        <f>F18/E18-1</f>
        <v>0.15861957650261305</v>
      </c>
      <c r="G37" s="189">
        <f t="shared" ref="G37:K40" ca="1" si="5">G175</f>
        <v>-0.04</v>
      </c>
      <c r="H37" s="189">
        <f t="shared" ca="1" si="5"/>
        <v>0.06</v>
      </c>
      <c r="I37" s="189">
        <f t="shared" ca="1" si="5"/>
        <v>6.9000000000000006E-2</v>
      </c>
      <c r="J37" s="189">
        <f t="shared" ca="1" si="5"/>
        <v>6.9000000000000006E-2</v>
      </c>
      <c r="K37" s="189">
        <f t="shared" ca="1" si="5"/>
        <v>6.9000000000000006E-2</v>
      </c>
      <c r="M37" s="5" t="s">
        <v>192</v>
      </c>
      <c r="O37" s="59"/>
      <c r="P37" s="59"/>
      <c r="Q37" s="59"/>
      <c r="R37" s="59"/>
      <c r="S37" s="59"/>
      <c r="T37" s="59"/>
    </row>
    <row r="38" spans="3:20">
      <c r="C38" s="26" t="s">
        <v>231</v>
      </c>
      <c r="D38" s="27">
        <f>D20/D18</f>
        <v>0.39075955648097049</v>
      </c>
      <c r="E38" s="27">
        <f>E20/E18</f>
        <v>0.38469860491899105</v>
      </c>
      <c r="F38" s="27">
        <f>F20/F18</f>
        <v>0.38343718820007905</v>
      </c>
      <c r="G38" s="189">
        <f t="shared" ca="1" si="5"/>
        <v>0.378</v>
      </c>
      <c r="H38" s="189">
        <f t="shared" ca="1" si="5"/>
        <v>0.38100000000000001</v>
      </c>
      <c r="I38" s="189">
        <f t="shared" ca="1" si="5"/>
        <v>0.38200000000000001</v>
      </c>
      <c r="J38" s="189">
        <f t="shared" ca="1" si="5"/>
        <v>0.38200000000000001</v>
      </c>
      <c r="K38" s="189">
        <f t="shared" ca="1" si="5"/>
        <v>0.38200000000000001</v>
      </c>
      <c r="M38" s="5" t="s">
        <v>192</v>
      </c>
      <c r="O38" s="59"/>
      <c r="P38" s="59"/>
      <c r="Q38" s="59"/>
      <c r="R38" s="59"/>
      <c r="S38" s="59"/>
      <c r="T38" s="59"/>
    </row>
    <row r="39" spans="3:20">
      <c r="C39" s="26" t="s">
        <v>232</v>
      </c>
      <c r="D39" s="27">
        <f>-D21/D18</f>
        <v>4.6582482760539605E-2</v>
      </c>
      <c r="E39" s="27">
        <f>-E21/E18</f>
        <v>5.0520428906706681E-2</v>
      </c>
      <c r="F39" s="27">
        <f>-F21/F18</f>
        <v>5.3600406634161032E-2</v>
      </c>
      <c r="G39" s="189">
        <f t="shared" ca="1" si="5"/>
        <v>6.2E-2</v>
      </c>
      <c r="H39" s="189">
        <f t="shared" ca="1" si="5"/>
        <v>6.3E-2</v>
      </c>
      <c r="I39" s="189">
        <f t="shared" ca="1" si="5"/>
        <v>6.3E-2</v>
      </c>
      <c r="J39" s="189">
        <f t="shared" ca="1" si="5"/>
        <v>6.3E-2</v>
      </c>
      <c r="K39" s="189">
        <f t="shared" ca="1" si="5"/>
        <v>6.3E-2</v>
      </c>
      <c r="M39" s="5" t="s">
        <v>192</v>
      </c>
      <c r="O39" s="59"/>
      <c r="P39" s="59"/>
      <c r="Q39" s="59"/>
      <c r="R39" s="59"/>
      <c r="S39" s="59"/>
      <c r="T39" s="59"/>
    </row>
    <row r="40" spans="3:20">
      <c r="C40" s="26" t="s">
        <v>234</v>
      </c>
      <c r="D40" s="27">
        <f>-D22/D18</f>
        <v>6.5822972653369755E-2</v>
      </c>
      <c r="E40" s="27">
        <f>-E22/E18</f>
        <v>6.6573893924984945E-2</v>
      </c>
      <c r="F40" s="27">
        <f>-F22/F18</f>
        <v>6.2896515371147807E-2</v>
      </c>
      <c r="G40" s="189">
        <f t="shared" ca="1" si="5"/>
        <v>7.3999999999999996E-2</v>
      </c>
      <c r="H40" s="189">
        <f t="shared" ca="1" si="5"/>
        <v>6.9000000000000006E-2</v>
      </c>
      <c r="I40" s="189">
        <f t="shared" ca="1" si="5"/>
        <v>6.9000000000000006E-2</v>
      </c>
      <c r="J40" s="189">
        <f t="shared" ca="1" si="5"/>
        <v>6.9000000000000006E-2</v>
      </c>
      <c r="K40" s="189">
        <f t="shared" ca="1" si="5"/>
        <v>6.9000000000000006E-2</v>
      </c>
      <c r="M40" s="5" t="s">
        <v>192</v>
      </c>
      <c r="O40" s="59"/>
      <c r="P40" s="59"/>
      <c r="Q40" s="59"/>
      <c r="R40" s="59"/>
      <c r="S40" s="59"/>
      <c r="T40" s="59"/>
    </row>
    <row r="41" spans="3:20">
      <c r="C41" s="26" t="s">
        <v>0</v>
      </c>
      <c r="D41" s="27">
        <f>-(D28/D27)</f>
        <v>0.25557257381216192</v>
      </c>
      <c r="E41" s="27">
        <f>-(E28/E27)</f>
        <v>0.24556476150353415</v>
      </c>
      <c r="F41" s="27">
        <f>-(F28/F27)</f>
        <v>0.18342180705869443</v>
      </c>
      <c r="G41" s="59">
        <v>0.16700000000000001</v>
      </c>
      <c r="H41" s="59">
        <v>0.17</v>
      </c>
      <c r="I41" s="59">
        <v>0.16900000000000001</v>
      </c>
      <c r="J41" s="189">
        <f>I41</f>
        <v>0.16900000000000001</v>
      </c>
      <c r="K41" s="189">
        <f>J41</f>
        <v>0.16900000000000001</v>
      </c>
      <c r="M41" s="5" t="s">
        <v>153</v>
      </c>
      <c r="O41" s="29"/>
      <c r="P41" s="29"/>
      <c r="Q41" s="29"/>
      <c r="R41" s="29"/>
      <c r="S41" s="29"/>
      <c r="T41" s="29"/>
    </row>
    <row r="42" spans="3:20">
      <c r="C42" s="28"/>
      <c r="G42" s="187"/>
      <c r="H42" s="188"/>
      <c r="I42" s="188"/>
      <c r="J42" s="188"/>
      <c r="K42" s="188"/>
    </row>
    <row r="43" spans="3:20">
      <c r="C43" s="7" t="s">
        <v>20</v>
      </c>
      <c r="D43" s="13"/>
      <c r="E43" s="13"/>
      <c r="F43" s="13"/>
      <c r="G43" s="190"/>
      <c r="H43" s="190"/>
      <c r="I43" s="190"/>
      <c r="J43" s="190"/>
      <c r="K43" s="190"/>
    </row>
    <row r="44" spans="3:20">
      <c r="C44" s="35" t="str">
        <f>C15</f>
        <v xml:space="preserve">Fiscal year  </v>
      </c>
      <c r="D44" s="30"/>
      <c r="E44" s="30">
        <f t="shared" ref="E44:K45" si="6">E15</f>
        <v>2017</v>
      </c>
      <c r="F44" s="30">
        <f t="shared" si="6"/>
        <v>2018</v>
      </c>
      <c r="G44" s="191">
        <f t="shared" si="6"/>
        <v>2019</v>
      </c>
      <c r="H44" s="191">
        <f t="shared" si="6"/>
        <v>2020</v>
      </c>
      <c r="I44" s="191">
        <f t="shared" si="6"/>
        <v>2021</v>
      </c>
      <c r="J44" s="191">
        <f t="shared" si="6"/>
        <v>2022</v>
      </c>
      <c r="K44" s="191">
        <f t="shared" si="6"/>
        <v>2023</v>
      </c>
    </row>
    <row r="45" spans="3:20">
      <c r="C45" s="9" t="str">
        <f>C16</f>
        <v>Fiscal year end date</v>
      </c>
      <c r="D45" s="32"/>
      <c r="E45" s="32">
        <f t="shared" si="6"/>
        <v>43008</v>
      </c>
      <c r="F45" s="32">
        <f t="shared" si="6"/>
        <v>43372</v>
      </c>
      <c r="G45" s="192">
        <f t="shared" si="6"/>
        <v>43738</v>
      </c>
      <c r="H45" s="192">
        <f t="shared" si="6"/>
        <v>44104</v>
      </c>
      <c r="I45" s="192">
        <f t="shared" si="6"/>
        <v>44469</v>
      </c>
      <c r="J45" s="192">
        <f t="shared" si="6"/>
        <v>44834</v>
      </c>
      <c r="K45" s="192">
        <f t="shared" si="6"/>
        <v>45199</v>
      </c>
    </row>
    <row r="46" spans="3:20">
      <c r="C46" s="5" t="s">
        <v>138</v>
      </c>
      <c r="D46" s="36"/>
      <c r="E46" s="36">
        <f>20289+53892+194714</f>
        <v>268895</v>
      </c>
      <c r="F46" s="36">
        <f>25913+40388+170799</f>
        <v>237100</v>
      </c>
      <c r="G46" s="193">
        <f ca="1">G91+F46</f>
        <v>202199.73246575586</v>
      </c>
      <c r="H46" s="193">
        <f ca="1">H91+G46</f>
        <v>176523.72487352614</v>
      </c>
      <c r="I46" s="193">
        <f ca="1">I91+H46</f>
        <v>156076.92943323214</v>
      </c>
      <c r="J46" s="193">
        <f ca="1">J91+I46</f>
        <v>140273.77732642859</v>
      </c>
      <c r="K46" s="193">
        <f ca="1">K91+J46</f>
        <v>129472.4557012212</v>
      </c>
      <c r="M46" s="5" t="s">
        <v>118</v>
      </c>
    </row>
    <row r="47" spans="3:20">
      <c r="C47" s="5" t="s">
        <v>54</v>
      </c>
      <c r="D47" s="36"/>
      <c r="E47" s="36">
        <v>17874</v>
      </c>
      <c r="F47" s="36">
        <v>23186</v>
      </c>
      <c r="G47" s="193">
        <f ca="1">F47*(1+G37)</f>
        <v>22258.559999999998</v>
      </c>
      <c r="H47" s="193">
        <f ca="1">G47*(1+H37)</f>
        <v>23594.0736</v>
      </c>
      <c r="I47" s="193">
        <f ca="1">H47*(1+I37)</f>
        <v>25222.064678399998</v>
      </c>
      <c r="J47" s="193">
        <f ca="1">I47*(1+J37)</f>
        <v>26962.387141209598</v>
      </c>
      <c r="K47" s="193">
        <f ca="1">J47*(1+K37)</f>
        <v>28822.791853953058</v>
      </c>
      <c r="M47" s="5" t="s">
        <v>103</v>
      </c>
    </row>
    <row r="48" spans="3:20">
      <c r="C48" s="5" t="s">
        <v>55</v>
      </c>
      <c r="D48" s="36"/>
      <c r="E48" s="36">
        <v>4855</v>
      </c>
      <c r="F48" s="36">
        <v>3956</v>
      </c>
      <c r="G48" s="193">
        <f ca="1">F48*G19/F19</f>
        <v>3831.2507254598299</v>
      </c>
      <c r="H48" s="193">
        <f ca="1">G48*H19/G19</f>
        <v>4041.5383456643303</v>
      </c>
      <c r="I48" s="193">
        <f ca="1">H48*I19/H19</f>
        <v>4313.4248396710409</v>
      </c>
      <c r="J48" s="193">
        <f ca="1">I48*J19/I19</f>
        <v>4611.0511536083422</v>
      </c>
      <c r="K48" s="193">
        <f ca="1">J48*K19/J19</f>
        <v>4929.2136832073174</v>
      </c>
      <c r="M48" s="5" t="s">
        <v>104</v>
      </c>
    </row>
    <row r="49" spans="3:13">
      <c r="C49" s="6" t="s">
        <v>108</v>
      </c>
      <c r="D49" s="37"/>
      <c r="E49" s="37">
        <f>17799+13936</f>
        <v>31735</v>
      </c>
      <c r="F49" s="37">
        <f>25809+12087</f>
        <v>37896</v>
      </c>
      <c r="G49" s="193">
        <f ca="1">F49*(1+G37)</f>
        <v>36380.159999999996</v>
      </c>
      <c r="H49" s="193">
        <f ca="1">G49*(1+H37)</f>
        <v>38562.969599999997</v>
      </c>
      <c r="I49" s="193">
        <f ca="1">H49*(1+I37)</f>
        <v>41223.814502399997</v>
      </c>
      <c r="J49" s="193">
        <f ca="1">I49*(1+J37)</f>
        <v>44068.257703065596</v>
      </c>
      <c r="K49" s="193">
        <f ca="1">J49*(1+K37)</f>
        <v>47108.967484577122</v>
      </c>
      <c r="M49" s="5" t="s">
        <v>103</v>
      </c>
    </row>
    <row r="50" spans="3:13">
      <c r="C50" s="21" t="s">
        <v>21</v>
      </c>
      <c r="D50" s="37"/>
      <c r="E50" s="37">
        <v>33783</v>
      </c>
      <c r="F50" s="37">
        <v>41304</v>
      </c>
      <c r="G50" s="193">
        <f>G100</f>
        <v>45042.85982873883</v>
      </c>
      <c r="H50" s="193">
        <f>H100</f>
        <v>48611.181883872909</v>
      </c>
      <c r="I50" s="193">
        <f>I100</f>
        <v>51947.567835949827</v>
      </c>
      <c r="J50" s="193">
        <f ca="1">J100</f>
        <v>55218.714198720052</v>
      </c>
      <c r="K50" s="193">
        <f ca="1">K100</f>
        <v>58399.73337534142</v>
      </c>
      <c r="M50" s="5" t="s">
        <v>105</v>
      </c>
    </row>
    <row r="51" spans="3:13">
      <c r="C51" s="21" t="s">
        <v>56</v>
      </c>
      <c r="D51" s="37"/>
      <c r="E51" s="37">
        <v>18177</v>
      </c>
      <c r="F51" s="37">
        <v>22283</v>
      </c>
      <c r="G51" s="193">
        <f ca="1">F51*(1+G37)</f>
        <v>21391.68</v>
      </c>
      <c r="H51" s="193">
        <f ca="1">G51*(1+H37)</f>
        <v>22675.180800000002</v>
      </c>
      <c r="I51" s="193">
        <f ca="1">H51*(1+I37)</f>
        <v>24239.7682752</v>
      </c>
      <c r="J51" s="193">
        <f ca="1">I51*(1+J37)</f>
        <v>25912.3122861888</v>
      </c>
      <c r="K51" s="193">
        <f ca="1">J51*(1+K37)</f>
        <v>27700.261833935827</v>
      </c>
      <c r="M51" s="5" t="s">
        <v>103</v>
      </c>
    </row>
    <row r="52" spans="3:13">
      <c r="C52" s="39" t="s">
        <v>22</v>
      </c>
      <c r="D52" s="40"/>
      <c r="E52" s="40">
        <f t="shared" ref="E52:K52" si="7">SUM(E46:E51)</f>
        <v>375319</v>
      </c>
      <c r="F52" s="40">
        <f t="shared" si="7"/>
        <v>365725</v>
      </c>
      <c r="G52" s="194">
        <f t="shared" ca="1" si="7"/>
        <v>331104.24301995453</v>
      </c>
      <c r="H52" s="194">
        <f t="shared" ca="1" si="7"/>
        <v>314008.66910306341</v>
      </c>
      <c r="I52" s="194">
        <f t="shared" ca="1" si="7"/>
        <v>303023.56956485298</v>
      </c>
      <c r="J52" s="194">
        <f t="shared" ca="1" si="7"/>
        <v>297046.49980922102</v>
      </c>
      <c r="K52" s="194">
        <f t="shared" ca="1" si="7"/>
        <v>296433.42393223592</v>
      </c>
    </row>
    <row r="53" spans="3:13">
      <c r="C53" s="41"/>
      <c r="D53" s="42"/>
      <c r="E53" s="42"/>
      <c r="F53" s="42"/>
      <c r="G53" s="193"/>
      <c r="H53" s="193"/>
      <c r="I53" s="193"/>
      <c r="J53" s="193"/>
      <c r="K53" s="193"/>
    </row>
    <row r="54" spans="3:13">
      <c r="C54" s="41" t="s">
        <v>57</v>
      </c>
      <c r="D54" s="37"/>
      <c r="E54" s="37">
        <v>44242</v>
      </c>
      <c r="F54" s="37">
        <v>55888</v>
      </c>
      <c r="G54" s="193">
        <f ca="1">F54*G19/F19</f>
        <v>54125.616922269706</v>
      </c>
      <c r="H54" s="193">
        <f ca="1">G54*H19/G19</f>
        <v>57096.434545623881</v>
      </c>
      <c r="I54" s="193">
        <f ca="1">H54*I19/H19</f>
        <v>60937.484185928995</v>
      </c>
      <c r="J54" s="193">
        <f ca="1">I54*J19/I19</f>
        <v>65142.170594758099</v>
      </c>
      <c r="K54" s="193">
        <f ca="1">J54*K19/J19</f>
        <v>69636.980365796408</v>
      </c>
      <c r="M54" s="5" t="s">
        <v>104</v>
      </c>
    </row>
    <row r="55" spans="3:13">
      <c r="C55" s="41" t="s">
        <v>117</v>
      </c>
      <c r="D55" s="37"/>
      <c r="E55" s="37">
        <v>30551</v>
      </c>
      <c r="F55" s="37">
        <v>32687</v>
      </c>
      <c r="G55" s="193">
        <f ca="1">F55*(1+G37)</f>
        <v>31379.52</v>
      </c>
      <c r="H55" s="193">
        <f ca="1">G55*(1+H37)</f>
        <v>33262.2912</v>
      </c>
      <c r="I55" s="193">
        <f ca="1">H55*(1+I37)</f>
        <v>35557.389292799999</v>
      </c>
      <c r="J55" s="193">
        <f ca="1">I55*(1+J37)</f>
        <v>38010.849154003197</v>
      </c>
      <c r="K55" s="193">
        <f ca="1">J55*(1+K37)</f>
        <v>40633.597745629413</v>
      </c>
      <c r="M55" s="5" t="s">
        <v>103</v>
      </c>
    </row>
    <row r="56" spans="3:13">
      <c r="C56" s="41" t="s">
        <v>58</v>
      </c>
      <c r="D56" s="37"/>
      <c r="E56" s="37">
        <f>7548+2836</f>
        <v>10384</v>
      </c>
      <c r="F56" s="37">
        <f>7543+2797</f>
        <v>10340</v>
      </c>
      <c r="G56" s="193">
        <f ca="1">F56*(1+G37)</f>
        <v>9926.4</v>
      </c>
      <c r="H56" s="193">
        <f ca="1">G56*(1+H37)</f>
        <v>10521.984</v>
      </c>
      <c r="I56" s="193">
        <f ca="1">H56*(1+I37)</f>
        <v>11248.000896</v>
      </c>
      <c r="J56" s="193">
        <f ca="1">I56*(1+J37)</f>
        <v>12024.112957824</v>
      </c>
      <c r="K56" s="193">
        <f ca="1">J56*(1+K37)</f>
        <v>12853.776751913854</v>
      </c>
      <c r="M56" s="5" t="s">
        <v>103</v>
      </c>
    </row>
    <row r="57" spans="3:13">
      <c r="C57" s="41" t="s">
        <v>60</v>
      </c>
      <c r="D57" s="37"/>
      <c r="E57" s="37">
        <v>11977</v>
      </c>
      <c r="F57" s="37">
        <v>11964</v>
      </c>
      <c r="G57" s="193">
        <f ca="1">G136</f>
        <v>12000</v>
      </c>
      <c r="H57" s="193">
        <f ca="1">H136</f>
        <v>12000</v>
      </c>
      <c r="I57" s="193">
        <f ca="1">I136</f>
        <v>12000</v>
      </c>
      <c r="J57" s="193">
        <f ca="1">J136</f>
        <v>12000</v>
      </c>
      <c r="K57" s="193">
        <f ca="1">K136</f>
        <v>12000</v>
      </c>
      <c r="M57" s="5" t="s">
        <v>187</v>
      </c>
    </row>
    <row r="58" spans="3:13">
      <c r="C58" s="41" t="s">
        <v>122</v>
      </c>
      <c r="D58" s="37"/>
      <c r="E58" s="37">
        <f>6496+97207</f>
        <v>103703</v>
      </c>
      <c r="F58" s="37">
        <f>8784+93735</f>
        <v>102519</v>
      </c>
      <c r="G58" s="193">
        <f>F58</f>
        <v>102519</v>
      </c>
      <c r="H58" s="193">
        <f t="shared" ref="H58:K58" si="8">G58</f>
        <v>102519</v>
      </c>
      <c r="I58" s="193">
        <f t="shared" si="8"/>
        <v>102519</v>
      </c>
      <c r="J58" s="193">
        <f t="shared" si="8"/>
        <v>102519</v>
      </c>
      <c r="K58" s="193">
        <f t="shared" si="8"/>
        <v>102519</v>
      </c>
      <c r="M58" s="5" t="s">
        <v>100</v>
      </c>
    </row>
    <row r="59" spans="3:13" ht="15.75" customHeight="1">
      <c r="C59" s="41" t="s">
        <v>59</v>
      </c>
      <c r="D59" s="37"/>
      <c r="E59" s="37">
        <v>40415</v>
      </c>
      <c r="F59" s="37">
        <v>45180</v>
      </c>
      <c r="G59" s="193">
        <f ca="1">F59*(1+G37)</f>
        <v>43372.799999999996</v>
      </c>
      <c r="H59" s="193">
        <f t="shared" ref="H59:K59" ca="1" si="9">G59*(1+H37)</f>
        <v>45975.167999999998</v>
      </c>
      <c r="I59" s="193">
        <f t="shared" ca="1" si="9"/>
        <v>49147.454591999995</v>
      </c>
      <c r="J59" s="193">
        <f t="shared" ca="1" si="9"/>
        <v>52538.628958847992</v>
      </c>
      <c r="K59" s="193">
        <f t="shared" ca="1" si="9"/>
        <v>56163.794357008504</v>
      </c>
      <c r="L59" s="6"/>
      <c r="M59" t="s">
        <v>103</v>
      </c>
    </row>
    <row r="60" spans="3:13">
      <c r="C60" s="39" t="s">
        <v>24</v>
      </c>
      <c r="D60" s="43"/>
      <c r="E60" s="43">
        <f t="shared" ref="E60:K60" si="10">SUM(E54:E59)</f>
        <v>241272</v>
      </c>
      <c r="F60" s="43">
        <f t="shared" si="10"/>
        <v>258578</v>
      </c>
      <c r="G60" s="194">
        <f t="shared" ca="1" si="10"/>
        <v>253323.33692226969</v>
      </c>
      <c r="H60" s="194">
        <f t="shared" ca="1" si="10"/>
        <v>261374.87774562387</v>
      </c>
      <c r="I60" s="194">
        <f t="shared" ca="1" si="10"/>
        <v>271409.32896672899</v>
      </c>
      <c r="J60" s="194">
        <f t="shared" ca="1" si="10"/>
        <v>282234.7616654333</v>
      </c>
      <c r="K60" s="194">
        <f t="shared" ca="1" si="10"/>
        <v>293807.14922034822</v>
      </c>
    </row>
    <row r="61" spans="3:13">
      <c r="C61" s="39"/>
      <c r="D61" s="43"/>
      <c r="E61" s="43"/>
      <c r="F61" s="43"/>
      <c r="G61" s="57"/>
      <c r="H61" s="57"/>
      <c r="I61" s="57"/>
      <c r="J61" s="57"/>
      <c r="K61" s="57"/>
    </row>
    <row r="62" spans="3:13">
      <c r="C62" s="41" t="s">
        <v>61</v>
      </c>
      <c r="D62" s="37"/>
      <c r="E62" s="37">
        <v>35867</v>
      </c>
      <c r="F62" s="3">
        <v>40201</v>
      </c>
      <c r="G62" s="193">
        <f ca="1">F62+G33</f>
        <v>45327.4</v>
      </c>
      <c r="H62" s="193">
        <f ca="1">G62+H33</f>
        <v>50761.383999999998</v>
      </c>
      <c r="I62" s="193">
        <f ca="1">H62+I33</f>
        <v>56570.312895999996</v>
      </c>
      <c r="J62" s="193">
        <f ca="1">I62+J33</f>
        <v>62780.057885823997</v>
      </c>
      <c r="K62" s="193">
        <f ca="1">J62+K33</f>
        <v>69418.275279945854</v>
      </c>
      <c r="M62" s="5" t="s">
        <v>155</v>
      </c>
    </row>
    <row r="63" spans="3:13" ht="15.75" customHeight="1">
      <c r="C63" s="41" t="s">
        <v>44</v>
      </c>
      <c r="D63" s="38"/>
      <c r="E63" s="38">
        <f>98330</f>
        <v>98330</v>
      </c>
      <c r="F63" s="3">
        <v>70400</v>
      </c>
      <c r="G63" s="193">
        <f ca="1">G120</f>
        <v>35907.506097684833</v>
      </c>
      <c r="H63" s="193">
        <f ca="1">H120</f>
        <v>5326.4073574395152</v>
      </c>
      <c r="I63" s="193">
        <f ca="1">I120</f>
        <v>-21502.07229787598</v>
      </c>
      <c r="J63" s="193">
        <f ca="1">J120</f>
        <v>-44514.319742036285</v>
      </c>
      <c r="K63" s="193">
        <f ca="1">K120</f>
        <v>-63338.000568058094</v>
      </c>
      <c r="M63" s="5" t="s">
        <v>107</v>
      </c>
    </row>
    <row r="64" spans="3:13" ht="15.75" customHeight="1">
      <c r="C64" s="41" t="s">
        <v>121</v>
      </c>
      <c r="D64" s="37"/>
      <c r="E64" s="37">
        <v>-150</v>
      </c>
      <c r="F64" s="3">
        <v>-3454</v>
      </c>
      <c r="G64" s="193">
        <f>F64</f>
        <v>-3454</v>
      </c>
      <c r="H64" s="193">
        <f>G64</f>
        <v>-3454</v>
      </c>
      <c r="I64" s="193">
        <f>H64</f>
        <v>-3454</v>
      </c>
      <c r="J64" s="193">
        <f>I64</f>
        <v>-3454</v>
      </c>
      <c r="K64" s="193">
        <f>J64</f>
        <v>-3454</v>
      </c>
      <c r="M64" s="5" t="s">
        <v>100</v>
      </c>
    </row>
    <row r="65" spans="3:13">
      <c r="C65" s="39" t="s">
        <v>25</v>
      </c>
      <c r="D65" s="44"/>
      <c r="E65" s="44">
        <f t="shared" ref="E65:K65" si="11">SUM(E62:E64)</f>
        <v>134047</v>
      </c>
      <c r="F65" s="44">
        <f t="shared" si="11"/>
        <v>107147</v>
      </c>
      <c r="G65" s="194">
        <f t="shared" ca="1" si="11"/>
        <v>77780.906097684841</v>
      </c>
      <c r="H65" s="194">
        <f t="shared" ca="1" si="11"/>
        <v>52633.791357439513</v>
      </c>
      <c r="I65" s="194">
        <f t="shared" ca="1" si="11"/>
        <v>31614.240598124015</v>
      </c>
      <c r="J65" s="194">
        <f t="shared" ca="1" si="11"/>
        <v>14811.738143787712</v>
      </c>
      <c r="K65" s="194">
        <f t="shared" ca="1" si="11"/>
        <v>2626.2747118877596</v>
      </c>
    </row>
    <row r="66" spans="3:13">
      <c r="C66" s="6"/>
      <c r="D66" s="45"/>
      <c r="E66" s="45"/>
      <c r="F66" s="45"/>
      <c r="G66" s="188"/>
      <c r="H66" s="188"/>
      <c r="I66" s="188"/>
      <c r="J66" s="188"/>
      <c r="K66" s="188"/>
    </row>
    <row r="67" spans="3:13">
      <c r="C67" s="14" t="s">
        <v>26</v>
      </c>
      <c r="D67" s="46"/>
      <c r="E67" s="46">
        <f t="shared" ref="E67:K67" si="12">ROUND(E52-E60-E65,3)</f>
        <v>0</v>
      </c>
      <c r="F67" s="46">
        <f t="shared" si="12"/>
        <v>0</v>
      </c>
      <c r="G67" s="195">
        <f t="shared" ca="1" si="12"/>
        <v>0</v>
      </c>
      <c r="H67" s="195">
        <f t="shared" ca="1" si="12"/>
        <v>0</v>
      </c>
      <c r="I67" s="195">
        <f t="shared" ca="1" si="12"/>
        <v>0</v>
      </c>
      <c r="J67" s="195">
        <f t="shared" ca="1" si="12"/>
        <v>0</v>
      </c>
      <c r="K67" s="195">
        <f t="shared" ca="1" si="12"/>
        <v>0</v>
      </c>
    </row>
    <row r="68" spans="3:13">
      <c r="E68" s="34"/>
      <c r="F68" s="34"/>
      <c r="G68" s="188"/>
      <c r="H68" s="57"/>
      <c r="I68" s="57"/>
      <c r="J68" s="57"/>
      <c r="K68" s="57"/>
    </row>
    <row r="69" spans="3:13">
      <c r="C69" s="7" t="s">
        <v>32</v>
      </c>
      <c r="D69" s="13"/>
      <c r="E69" s="13"/>
      <c r="F69" s="13"/>
      <c r="G69" s="196"/>
      <c r="H69" s="196"/>
      <c r="I69" s="196"/>
      <c r="J69" s="196"/>
      <c r="K69" s="196"/>
    </row>
    <row r="70" spans="3:13">
      <c r="C70" s="35" t="str">
        <f>C15</f>
        <v xml:space="preserve">Fiscal year  </v>
      </c>
      <c r="D70" s="30"/>
      <c r="E70" s="30"/>
      <c r="F70" s="30"/>
      <c r="G70" s="191">
        <f t="shared" ref="G70:K71" si="13">G15</f>
        <v>2019</v>
      </c>
      <c r="H70" s="191">
        <f t="shared" si="13"/>
        <v>2020</v>
      </c>
      <c r="I70" s="191">
        <f t="shared" si="13"/>
        <v>2021</v>
      </c>
      <c r="J70" s="191">
        <f t="shared" si="13"/>
        <v>2022</v>
      </c>
      <c r="K70" s="191">
        <f t="shared" si="13"/>
        <v>2023</v>
      </c>
    </row>
    <row r="71" spans="3:13">
      <c r="C71" s="9" t="str">
        <f>C16</f>
        <v>Fiscal year end date</v>
      </c>
      <c r="D71" s="32"/>
      <c r="E71" s="32"/>
      <c r="F71" s="32"/>
      <c r="G71" s="192">
        <f t="shared" si="13"/>
        <v>43738</v>
      </c>
      <c r="H71" s="192">
        <f t="shared" si="13"/>
        <v>44104</v>
      </c>
      <c r="I71" s="192">
        <f t="shared" si="13"/>
        <v>44469</v>
      </c>
      <c r="J71" s="192">
        <f t="shared" si="13"/>
        <v>44834</v>
      </c>
      <c r="K71" s="192">
        <f t="shared" si="13"/>
        <v>45199</v>
      </c>
    </row>
    <row r="72" spans="3:13">
      <c r="G72" s="188"/>
      <c r="H72" s="188"/>
      <c r="I72" s="188"/>
      <c r="J72" s="188"/>
      <c r="K72" s="188"/>
    </row>
    <row r="73" spans="3:13">
      <c r="C73" s="6" t="s">
        <v>2</v>
      </c>
      <c r="D73" s="50"/>
      <c r="E73" s="50"/>
      <c r="F73" s="50"/>
      <c r="G73" s="193">
        <f ca="1">G29</f>
        <v>52298.506097684833</v>
      </c>
      <c r="H73" s="193">
        <f ca="1">H29</f>
        <v>56209.901259754675</v>
      </c>
      <c r="I73" s="193">
        <f ca="1">I29</f>
        <v>59962.520344684504</v>
      </c>
      <c r="J73" s="193">
        <f ca="1">J29</f>
        <v>63778.752555839696</v>
      </c>
      <c r="K73" s="193">
        <f ca="1">K29</f>
        <v>67967.319173978191</v>
      </c>
      <c r="M73" s="24"/>
    </row>
    <row r="74" spans="3:13">
      <c r="C74" s="6" t="s">
        <v>33</v>
      </c>
      <c r="D74" s="50"/>
      <c r="E74" s="50"/>
      <c r="F74" s="50"/>
      <c r="G74" s="193">
        <f ca="1">G31</f>
        <v>11085.020171261172</v>
      </c>
      <c r="H74" s="193">
        <f ca="1">H31</f>
        <v>11711.890744865921</v>
      </c>
      <c r="I74" s="193">
        <f ca="1">I31</f>
        <v>12226.380531123083</v>
      </c>
      <c r="J74" s="193">
        <f ca="1">J31</f>
        <v>13365.451007770575</v>
      </c>
      <c r="K74" s="193">
        <f ca="1">K31</f>
        <v>14603.503412486743</v>
      </c>
      <c r="M74" s="5" t="s">
        <v>170</v>
      </c>
    </row>
    <row r="75" spans="3:13">
      <c r="C75" s="6" t="s">
        <v>74</v>
      </c>
      <c r="D75" s="50"/>
      <c r="E75" s="50"/>
      <c r="F75" s="50"/>
      <c r="G75" s="193">
        <f ca="1">G33</f>
        <v>5126.3999999999996</v>
      </c>
      <c r="H75" s="193">
        <f ca="1">H33</f>
        <v>5433.9839999999995</v>
      </c>
      <c r="I75" s="193">
        <f ca="1">I33</f>
        <v>5808.9288959999994</v>
      </c>
      <c r="J75" s="193">
        <f ca="1">J33</f>
        <v>6209.7449898239993</v>
      </c>
      <c r="K75" s="193">
        <f ca="1">K33</f>
        <v>6638.2173941218552</v>
      </c>
    </row>
    <row r="76" spans="3:13">
      <c r="C76" s="6" t="s">
        <v>65</v>
      </c>
      <c r="D76" s="22"/>
      <c r="E76" s="22"/>
      <c r="F76" s="22"/>
      <c r="G76" s="193">
        <f ca="1">-1*(SUM(G47:G49)-SUM(F47:F49))</f>
        <v>2568.0292745401748</v>
      </c>
      <c r="H76" s="193">
        <f ca="1">-1*(SUM(H47:H49)-SUM(G47:G49))</f>
        <v>-3728.6108202044925</v>
      </c>
      <c r="I76" s="193">
        <f ca="1">-1*(SUM(I47:I49)-SUM(H47:H49))</f>
        <v>-4560.7224748067092</v>
      </c>
      <c r="J76" s="193">
        <f ca="1">-1*(SUM(J47:J49)-SUM(I47:I49))</f>
        <v>-4882.3919774125097</v>
      </c>
      <c r="K76" s="193">
        <f ca="1">-1*(SUM(K47:K49)-SUM(J47:J49))</f>
        <v>-5219.277023853967</v>
      </c>
    </row>
    <row r="77" spans="3:13">
      <c r="C77" s="6" t="s">
        <v>66</v>
      </c>
      <c r="D77" s="22"/>
      <c r="E77" s="22"/>
      <c r="F77" s="22"/>
      <c r="G77" s="193">
        <f ca="1">SUM(G54:G56)-SUM(F54:F56)</f>
        <v>-3483.4630777302955</v>
      </c>
      <c r="H77" s="193">
        <f ca="1">SUM(H54:H56)-SUM(G54:G56)</f>
        <v>5449.1728233541653</v>
      </c>
      <c r="I77" s="193">
        <f ca="1">SUM(I54:I56)-SUM(H54:H56)</f>
        <v>6862.1646291051147</v>
      </c>
      <c r="J77" s="193">
        <f ca="1">SUM(J54:J56)-SUM(I54:I56)</f>
        <v>7434.2583318562974</v>
      </c>
      <c r="K77" s="193">
        <f ca="1">SUM(K54:K56)-SUM(J54:J56)</f>
        <v>7947.2221567544038</v>
      </c>
    </row>
    <row r="78" spans="3:13">
      <c r="C78" s="21" t="s">
        <v>56</v>
      </c>
      <c r="E78" s="6"/>
      <c r="F78" s="6"/>
      <c r="G78" s="193">
        <f ca="1">-(G112)</f>
        <v>-647.56000000000131</v>
      </c>
      <c r="H78" s="193">
        <f ca="1">-(H112)</f>
        <v>-2914.7136000000028</v>
      </c>
      <c r="I78" s="193">
        <f ca="1">-(I112)</f>
        <v>-3308.3539583999991</v>
      </c>
      <c r="J78" s="193">
        <f ca="1">-(J112)</f>
        <v>-3536.6303815296014</v>
      </c>
      <c r="K78" s="193">
        <f ca="1">-(K112)</f>
        <v>-3780.6578778551411</v>
      </c>
      <c r="L78" s="6"/>
      <c r="M78" s="5" t="s">
        <v>171</v>
      </c>
    </row>
    <row r="79" spans="3:13">
      <c r="C79" s="21" t="s">
        <v>59</v>
      </c>
      <c r="E79" s="6"/>
      <c r="F79" s="6"/>
      <c r="G79" s="193">
        <f ca="1">G59-F59</f>
        <v>-1807.2000000000044</v>
      </c>
      <c r="H79" s="193">
        <f ca="1">H59-G59</f>
        <v>2602.3680000000022</v>
      </c>
      <c r="I79" s="193">
        <f ca="1">I59-H59</f>
        <v>3172.2865919999967</v>
      </c>
      <c r="J79" s="193">
        <f ca="1">J59-I59</f>
        <v>3391.1743668479976</v>
      </c>
      <c r="K79" s="193">
        <f ca="1">K59-J59</f>
        <v>3625.1653981605123</v>
      </c>
      <c r="L79" s="6"/>
      <c r="M79" s="24"/>
    </row>
    <row r="80" spans="3:13">
      <c r="C80" s="19" t="s">
        <v>34</v>
      </c>
      <c r="G80" s="194">
        <f ca="1">SUM(G73:G79)</f>
        <v>65139.732465755871</v>
      </c>
      <c r="H80" s="194">
        <f ca="1">SUM(H73:H79)</f>
        <v>74763.992407770274</v>
      </c>
      <c r="I80" s="194">
        <f ca="1">SUM(I73:I79)</f>
        <v>80163.204559706006</v>
      </c>
      <c r="J80" s="194">
        <f ca="1">SUM(J73:J79)</f>
        <v>85760.358893196448</v>
      </c>
      <c r="K80" s="194">
        <f ca="1">SUM(K73:K79)</f>
        <v>91781.492633792601</v>
      </c>
    </row>
    <row r="81" spans="3:13">
      <c r="C81" s="6"/>
      <c r="G81" s="57"/>
      <c r="H81" s="57"/>
      <c r="I81" s="57"/>
      <c r="J81" s="57"/>
      <c r="K81" s="57"/>
    </row>
    <row r="82" spans="3:13">
      <c r="C82" s="6" t="s">
        <v>35</v>
      </c>
      <c r="G82" s="193">
        <f>-(G98)</f>
        <v>-13285</v>
      </c>
      <c r="H82" s="193">
        <f>-(H98)</f>
        <v>-13649</v>
      </c>
      <c r="I82" s="193">
        <f>-(I98)</f>
        <v>-13819</v>
      </c>
      <c r="J82" s="193">
        <f ca="1">-(J98)</f>
        <v>-14772.510999999999</v>
      </c>
      <c r="K82" s="193">
        <f ca="1">-(K98)</f>
        <v>-15791.814258999997</v>
      </c>
      <c r="M82" s="5" t="s">
        <v>105</v>
      </c>
    </row>
    <row r="83" spans="3:13">
      <c r="C83" s="19" t="s">
        <v>36</v>
      </c>
      <c r="G83" s="194">
        <f>IFERROR(G82,"NA")</f>
        <v>-13285</v>
      </c>
      <c r="H83" s="194">
        <f>IFERROR(H82,"NA")</f>
        <v>-13649</v>
      </c>
      <c r="I83" s="194">
        <f>IFERROR(I82,"NA")</f>
        <v>-13819</v>
      </c>
      <c r="J83" s="194">
        <f ca="1">IFERROR(J82,"NA")</f>
        <v>-14772.510999999999</v>
      </c>
      <c r="K83" s="194">
        <f ca="1">IFERROR(K82,"NA")</f>
        <v>-15791.814258999997</v>
      </c>
    </row>
    <row r="84" spans="3:13">
      <c r="C84" s="6"/>
      <c r="G84" s="193"/>
      <c r="H84" s="193"/>
      <c r="I84" s="193"/>
      <c r="J84" s="193"/>
      <c r="K84" s="193"/>
    </row>
    <row r="85" spans="3:13">
      <c r="C85" s="6" t="s">
        <v>67</v>
      </c>
      <c r="G85" s="193">
        <f>G58-F58</f>
        <v>0</v>
      </c>
      <c r="H85" s="193">
        <f>H58-G58</f>
        <v>0</v>
      </c>
      <c r="I85" s="193">
        <f>I58-H58</f>
        <v>0</v>
      </c>
      <c r="J85" s="193">
        <f>J58-I58</f>
        <v>0</v>
      </c>
      <c r="K85" s="193">
        <f>K58-J58</f>
        <v>0</v>
      </c>
    </row>
    <row r="86" spans="3:13">
      <c r="C86" s="6" t="s">
        <v>23</v>
      </c>
      <c r="G86" s="193">
        <f ca="1">G57-F57</f>
        <v>36</v>
      </c>
      <c r="H86" s="193">
        <f ca="1">H57-G57</f>
        <v>0</v>
      </c>
      <c r="I86" s="193">
        <f ca="1">I57-H57</f>
        <v>0</v>
      </c>
      <c r="J86" s="193">
        <f ca="1">J57-I57</f>
        <v>0</v>
      </c>
      <c r="K86" s="193">
        <f ca="1">K57-J57</f>
        <v>0</v>
      </c>
      <c r="M86" s="5" t="s">
        <v>183</v>
      </c>
    </row>
    <row r="87" spans="3:13">
      <c r="C87" s="21" t="s">
        <v>70</v>
      </c>
      <c r="G87" s="193">
        <f>G119</f>
        <v>-73056</v>
      </c>
      <c r="H87" s="193">
        <f>H119</f>
        <v>-73056</v>
      </c>
      <c r="I87" s="193">
        <f>I119</f>
        <v>-73056</v>
      </c>
      <c r="J87" s="193">
        <f>J119</f>
        <v>-73056</v>
      </c>
      <c r="K87" s="193">
        <f>K119</f>
        <v>-73056</v>
      </c>
      <c r="M87" s="5" t="s">
        <v>107</v>
      </c>
    </row>
    <row r="88" spans="3:13">
      <c r="C88" s="21" t="s">
        <v>71</v>
      </c>
      <c r="G88" s="193">
        <f>G118</f>
        <v>-13735</v>
      </c>
      <c r="H88" s="193">
        <f>H118</f>
        <v>-13735</v>
      </c>
      <c r="I88" s="193">
        <f>I118</f>
        <v>-13735</v>
      </c>
      <c r="J88" s="193">
        <f>J118</f>
        <v>-13735</v>
      </c>
      <c r="K88" s="193">
        <f>K118</f>
        <v>-13735</v>
      </c>
      <c r="M88" s="5" t="s">
        <v>107</v>
      </c>
    </row>
    <row r="89" spans="3:13">
      <c r="C89" s="19" t="s">
        <v>37</v>
      </c>
      <c r="G89" s="194">
        <f ca="1">SUM(G85:G88)</f>
        <v>-86755</v>
      </c>
      <c r="H89" s="194">
        <f ca="1">SUM(H85:H88)</f>
        <v>-86791</v>
      </c>
      <c r="I89" s="194">
        <f ca="1">SUM(I85:I88)</f>
        <v>-86791</v>
      </c>
      <c r="J89" s="194">
        <f ca="1">SUM(J85:J88)</f>
        <v>-86791</v>
      </c>
      <c r="K89" s="194">
        <f ca="1">SUM(K85:K88)</f>
        <v>-86791</v>
      </c>
    </row>
    <row r="90" spans="3:13">
      <c r="G90" s="193"/>
      <c r="H90" s="193"/>
      <c r="I90" s="193"/>
      <c r="J90" s="193"/>
      <c r="K90" s="193"/>
    </row>
    <row r="91" spans="3:13">
      <c r="C91" s="24" t="s">
        <v>38</v>
      </c>
      <c r="G91" s="194">
        <f ca="1">G80+G83+G89</f>
        <v>-34900.267534244129</v>
      </c>
      <c r="H91" s="194">
        <f ca="1">H80+H83+H89</f>
        <v>-25676.007592229726</v>
      </c>
      <c r="I91" s="194">
        <f ca="1">I80+I83+I89</f>
        <v>-20446.795440293994</v>
      </c>
      <c r="J91" s="194">
        <f ca="1">J80+J83+J89</f>
        <v>-15803.152106803551</v>
      </c>
      <c r="K91" s="194">
        <f ca="1">K80+K83+K89</f>
        <v>-10801.321625207391</v>
      </c>
    </row>
    <row r="92" spans="3:13">
      <c r="G92" s="188"/>
      <c r="H92" s="188"/>
      <c r="I92" s="188"/>
      <c r="J92" s="188"/>
      <c r="K92" s="188"/>
    </row>
    <row r="93" spans="3:13">
      <c r="C93" s="7" t="s">
        <v>29</v>
      </c>
      <c r="D93" s="9"/>
      <c r="E93" s="9"/>
      <c r="F93" s="9"/>
      <c r="G93" s="190"/>
      <c r="H93" s="190"/>
      <c r="I93" s="190"/>
      <c r="J93" s="190"/>
      <c r="K93" s="190"/>
    </row>
    <row r="94" spans="3:13">
      <c r="C94" s="35" t="str">
        <f t="shared" ref="C94:K94" si="14">C15</f>
        <v xml:space="preserve">Fiscal year  </v>
      </c>
      <c r="D94" s="30">
        <f t="shared" si="14"/>
        <v>2016</v>
      </c>
      <c r="E94" s="30">
        <f t="shared" si="14"/>
        <v>2017</v>
      </c>
      <c r="F94" s="30">
        <f t="shared" si="14"/>
        <v>2018</v>
      </c>
      <c r="G94" s="191">
        <f t="shared" si="14"/>
        <v>2019</v>
      </c>
      <c r="H94" s="191">
        <f t="shared" si="14"/>
        <v>2020</v>
      </c>
      <c r="I94" s="191">
        <f t="shared" si="14"/>
        <v>2021</v>
      </c>
      <c r="J94" s="191">
        <f t="shared" si="14"/>
        <v>2022</v>
      </c>
      <c r="K94" s="191">
        <f t="shared" si="14"/>
        <v>2023</v>
      </c>
    </row>
    <row r="95" spans="3:13">
      <c r="C95" s="9" t="str">
        <f t="shared" ref="C95:K95" si="15">C16</f>
        <v>Fiscal year end date</v>
      </c>
      <c r="D95" s="32">
        <f t="shared" si="15"/>
        <v>42643</v>
      </c>
      <c r="E95" s="32">
        <f t="shared" si="15"/>
        <v>43008</v>
      </c>
      <c r="F95" s="32">
        <f t="shared" si="15"/>
        <v>43372</v>
      </c>
      <c r="G95" s="192">
        <f t="shared" si="15"/>
        <v>43738</v>
      </c>
      <c r="H95" s="192">
        <f t="shared" si="15"/>
        <v>44104</v>
      </c>
      <c r="I95" s="192">
        <f t="shared" si="15"/>
        <v>44469</v>
      </c>
      <c r="J95" s="192">
        <f t="shared" si="15"/>
        <v>44834</v>
      </c>
      <c r="K95" s="192">
        <f t="shared" si="15"/>
        <v>45199</v>
      </c>
    </row>
    <row r="96" spans="3:13">
      <c r="C96" s="19"/>
      <c r="G96" s="197" t="s">
        <v>116</v>
      </c>
      <c r="H96" s="197"/>
      <c r="I96" s="197"/>
      <c r="J96" s="197"/>
      <c r="K96" s="197"/>
    </row>
    <row r="97" spans="3:17">
      <c r="C97" s="41" t="s">
        <v>27</v>
      </c>
      <c r="F97" s="6"/>
      <c r="G97" s="61">
        <f>F100</f>
        <v>41304</v>
      </c>
      <c r="H97" s="61">
        <f>G100</f>
        <v>45042.85982873883</v>
      </c>
      <c r="I97" s="61">
        <f>H100</f>
        <v>48611.181883872909</v>
      </c>
      <c r="J97" s="61">
        <f>I100</f>
        <v>51947.567835949827</v>
      </c>
      <c r="K97" s="61">
        <f ca="1">J100</f>
        <v>55218.714198720052</v>
      </c>
      <c r="L97" s="6"/>
      <c r="M97" s="5" t="s">
        <v>167</v>
      </c>
    </row>
    <row r="98" spans="3:17">
      <c r="C98" s="47" t="s">
        <v>30</v>
      </c>
      <c r="D98" s="3">
        <v>12734</v>
      </c>
      <c r="E98" s="3">
        <v>12451</v>
      </c>
      <c r="F98" s="71">
        <v>13313</v>
      </c>
      <c r="G98" s="17">
        <v>13285</v>
      </c>
      <c r="H98" s="17">
        <v>13649</v>
      </c>
      <c r="I98" s="17">
        <v>13819</v>
      </c>
      <c r="J98" s="71">
        <f ca="1">I98*(1+J37)</f>
        <v>14772.510999999999</v>
      </c>
      <c r="K98" s="71">
        <f t="shared" ref="K98" ca="1" si="16">J98*(1+K37)</f>
        <v>15791.814258999997</v>
      </c>
      <c r="L98" s="6"/>
      <c r="M98" s="5" t="s">
        <v>154</v>
      </c>
    </row>
    <row r="99" spans="3:17">
      <c r="C99" s="103" t="s">
        <v>31</v>
      </c>
      <c r="D99" s="95">
        <v>-8300</v>
      </c>
      <c r="E99" s="95">
        <v>-8200</v>
      </c>
      <c r="F99" s="95">
        <v>-9300</v>
      </c>
      <c r="G99" s="126">
        <f>-(G102*G98)</f>
        <v>-9546.1401712611732</v>
      </c>
      <c r="H99" s="126">
        <f>-(H102*H98)</f>
        <v>-10080.677944865922</v>
      </c>
      <c r="I99" s="126">
        <f>-(I102*I98)</f>
        <v>-10482.614047923083</v>
      </c>
      <c r="J99" s="126">
        <f ca="1">-(J102*J98)</f>
        <v>-11501.364637229775</v>
      </c>
      <c r="K99" s="126">
        <f ca="1">-(K102*K98)</f>
        <v>-12610.795082378629</v>
      </c>
      <c r="L99" s="6"/>
      <c r="M99" s="5" t="s">
        <v>166</v>
      </c>
    </row>
    <row r="100" spans="3:17">
      <c r="C100" s="54" t="s">
        <v>28</v>
      </c>
      <c r="D100" s="51"/>
      <c r="E100" s="51">
        <f>E50</f>
        <v>33783</v>
      </c>
      <c r="F100" s="51">
        <f>F50</f>
        <v>41304</v>
      </c>
      <c r="G100" s="162">
        <f>SUM(G97:G99)</f>
        <v>45042.85982873883</v>
      </c>
      <c r="H100" s="162">
        <f>SUM(H97:H99)</f>
        <v>48611.181883872909</v>
      </c>
      <c r="I100" s="162">
        <f>SUM(I97:I99)</f>
        <v>51947.567835949827</v>
      </c>
      <c r="J100" s="162">
        <f ca="1">SUM(J97:J99)</f>
        <v>55218.714198720052</v>
      </c>
      <c r="K100" s="162">
        <f ca="1">SUM(K97:K99)</f>
        <v>58399.73337534142</v>
      </c>
      <c r="L100" s="6"/>
      <c r="M100" s="5" t="s">
        <v>165</v>
      </c>
    </row>
    <row r="101" spans="3:17">
      <c r="C101" s="41"/>
      <c r="F101" s="6"/>
      <c r="G101" s="21"/>
      <c r="H101" s="21"/>
      <c r="I101" s="21"/>
      <c r="J101" s="21"/>
      <c r="K101" s="21"/>
      <c r="L101" s="6"/>
      <c r="M101" s="25" t="s">
        <v>48</v>
      </c>
    </row>
    <row r="102" spans="3:17">
      <c r="C102" s="41" t="s">
        <v>123</v>
      </c>
      <c r="D102" s="4">
        <f>-(D99/D98)</f>
        <v>0.65179833516569818</v>
      </c>
      <c r="E102" s="4">
        <f>-(E99/E98)</f>
        <v>0.6585816400289134</v>
      </c>
      <c r="F102" s="80">
        <f>-(F99/F98)</f>
        <v>0.69856531210095396</v>
      </c>
      <c r="G102" s="189">
        <f>F102+$M$102</f>
        <v>0.71856531210095398</v>
      </c>
      <c r="H102" s="189">
        <f>G102+$M$102</f>
        <v>0.738565312100954</v>
      </c>
      <c r="I102" s="189">
        <f>H102+$M$102</f>
        <v>0.75856531210095401</v>
      </c>
      <c r="J102" s="189">
        <f>I102+$M$102</f>
        <v>0.77856531210095403</v>
      </c>
      <c r="K102" s="189">
        <f>J102+$M$102</f>
        <v>0.79856531210095405</v>
      </c>
      <c r="L102" s="6"/>
      <c r="M102" s="88">
        <v>0.02</v>
      </c>
      <c r="O102" s="98"/>
      <c r="P102" s="98"/>
      <c r="Q102" s="98"/>
    </row>
    <row r="103" spans="3:17">
      <c r="C103" s="41"/>
      <c r="D103" s="4"/>
      <c r="E103" s="4"/>
      <c r="F103" s="80"/>
      <c r="G103" s="189"/>
      <c r="H103" s="189"/>
      <c r="I103" s="189"/>
      <c r="J103" s="189"/>
      <c r="K103" s="189"/>
      <c r="L103" s="6"/>
      <c r="O103" s="98"/>
      <c r="P103" s="98"/>
      <c r="Q103" s="98"/>
    </row>
    <row r="104" spans="3:17">
      <c r="C104" s="128" t="s">
        <v>130</v>
      </c>
      <c r="D104" s="48"/>
      <c r="E104" s="48"/>
      <c r="F104" s="48"/>
      <c r="G104" s="198"/>
      <c r="H104" s="198"/>
      <c r="I104" s="198"/>
      <c r="J104" s="198"/>
      <c r="K104" s="198"/>
      <c r="L104" s="6"/>
      <c r="O104" s="98"/>
      <c r="P104" s="98"/>
      <c r="Q104" s="98"/>
    </row>
    <row r="105" spans="3:17">
      <c r="C105" s="41" t="s">
        <v>156</v>
      </c>
      <c r="D105" s="22">
        <f>D107+D99</f>
        <v>2205</v>
      </c>
      <c r="E105" s="22">
        <f>E107+E99</f>
        <v>1957</v>
      </c>
      <c r="F105" s="22">
        <f>F107+F99</f>
        <v>1603</v>
      </c>
      <c r="G105" s="63">
        <f ca="1">G106*G18</f>
        <v>1538.8799999999999</v>
      </c>
      <c r="H105" s="63">
        <f ca="1">H106*H18</f>
        <v>1631.2128</v>
      </c>
      <c r="I105" s="63">
        <f ca="1">I106*I18</f>
        <v>1743.7664832</v>
      </c>
      <c r="J105" s="63">
        <f ca="1">J106*J18</f>
        <v>1864.0863705407999</v>
      </c>
      <c r="K105" s="63">
        <f ca="1">K106*K18</f>
        <v>1992.708330108115</v>
      </c>
      <c r="L105" s="6"/>
      <c r="M105" s="5" t="s">
        <v>238</v>
      </c>
      <c r="O105" s="98"/>
      <c r="P105" s="98"/>
      <c r="Q105" s="98"/>
    </row>
    <row r="106" spans="3:17">
      <c r="C106" s="26" t="s">
        <v>157</v>
      </c>
      <c r="D106" s="93">
        <f>D105/D18</f>
        <v>1.0225423044996499E-2</v>
      </c>
      <c r="E106" s="93">
        <f>E105/E18</f>
        <v>8.537128000209393E-3</v>
      </c>
      <c r="F106" s="100">
        <f>F105/F18</f>
        <v>6.0355051864681188E-3</v>
      </c>
      <c r="G106" s="189">
        <f>F106</f>
        <v>6.0355051864681188E-3</v>
      </c>
      <c r="H106" s="189">
        <f>G106</f>
        <v>6.0355051864681188E-3</v>
      </c>
      <c r="I106" s="189">
        <f>H106</f>
        <v>6.0355051864681188E-3</v>
      </c>
      <c r="J106" s="189">
        <f>I106</f>
        <v>6.0355051864681188E-3</v>
      </c>
      <c r="K106" s="189">
        <f>J106</f>
        <v>6.0355051864681188E-3</v>
      </c>
      <c r="L106" s="6"/>
      <c r="M106" s="5" t="s">
        <v>158</v>
      </c>
    </row>
    <row r="107" spans="3:17">
      <c r="C107" s="39" t="s">
        <v>110</v>
      </c>
      <c r="D107" s="51">
        <f>D31</f>
        <v>10505</v>
      </c>
      <c r="E107" s="51">
        <f>E31</f>
        <v>10157</v>
      </c>
      <c r="F107" s="51">
        <f>F31</f>
        <v>10903</v>
      </c>
      <c r="G107" s="20">
        <f ca="1">-G99+G105</f>
        <v>11085.020171261172</v>
      </c>
      <c r="H107" s="20">
        <f ca="1">-H99+H105</f>
        <v>11711.890744865921</v>
      </c>
      <c r="I107" s="20">
        <f ca="1">-I99+I105</f>
        <v>12226.380531123083</v>
      </c>
      <c r="J107" s="20">
        <f ca="1">-J99+J105</f>
        <v>13365.451007770575</v>
      </c>
      <c r="K107" s="20">
        <f ca="1">-K99+K105</f>
        <v>14603.503412486743</v>
      </c>
      <c r="M107" s="5" t="s">
        <v>160</v>
      </c>
    </row>
    <row r="108" spans="3:17">
      <c r="C108" s="41"/>
      <c r="D108" s="22"/>
      <c r="E108" s="22"/>
      <c r="F108" s="22"/>
      <c r="G108" s="21"/>
      <c r="H108" s="61"/>
      <c r="I108" s="61"/>
      <c r="J108" s="61"/>
      <c r="K108" s="61"/>
    </row>
    <row r="109" spans="3:17">
      <c r="C109" s="127" t="s">
        <v>129</v>
      </c>
      <c r="D109" s="9"/>
      <c r="E109" s="9"/>
      <c r="F109" s="9"/>
      <c r="G109" s="21"/>
      <c r="H109" s="61"/>
      <c r="I109" s="61"/>
      <c r="J109" s="61"/>
      <c r="K109" s="61"/>
    </row>
    <row r="110" spans="3:17">
      <c r="C110" s="41" t="s">
        <v>27</v>
      </c>
      <c r="D110" s="22"/>
      <c r="E110" s="6"/>
      <c r="F110" s="6"/>
      <c r="G110" s="154">
        <f>F113</f>
        <v>22283</v>
      </c>
      <c r="H110" s="154">
        <f ca="1">G113</f>
        <v>21391.68</v>
      </c>
      <c r="I110" s="154">
        <f ca="1">H113</f>
        <v>22675.180800000002</v>
      </c>
      <c r="J110" s="154">
        <f ca="1">I113</f>
        <v>24239.7682752</v>
      </c>
      <c r="K110" s="154">
        <f ca="1">J113</f>
        <v>25912.3122861888</v>
      </c>
      <c r="M110" s="5" t="s">
        <v>167</v>
      </c>
    </row>
    <row r="111" spans="3:17">
      <c r="C111" s="26" t="s">
        <v>124</v>
      </c>
      <c r="G111" s="61">
        <f ca="1">-(G105)</f>
        <v>-1538.8799999999999</v>
      </c>
      <c r="H111" s="61">
        <f ca="1">-(H105)</f>
        <v>-1631.2128</v>
      </c>
      <c r="I111" s="61">
        <f ca="1">-(I105)</f>
        <v>-1743.7664832</v>
      </c>
      <c r="J111" s="61">
        <f ca="1">-(J105)</f>
        <v>-1864.0863705407999</v>
      </c>
      <c r="K111" s="61">
        <f ca="1">-(K105)</f>
        <v>-1992.708330108115</v>
      </c>
      <c r="M111" s="5" t="s">
        <v>162</v>
      </c>
    </row>
    <row r="112" spans="3:17" ht="15" customHeight="1">
      <c r="C112" s="111" t="s">
        <v>125</v>
      </c>
      <c r="D112" s="101"/>
      <c r="E112" s="101"/>
      <c r="F112" s="101"/>
      <c r="G112" s="133">
        <f ca="1">G113-G111-G110</f>
        <v>647.56000000000131</v>
      </c>
      <c r="H112" s="133">
        <f ca="1">H113-H111-H110</f>
        <v>2914.7136000000028</v>
      </c>
      <c r="I112" s="133">
        <f ca="1">I113-I111-I110</f>
        <v>3308.3539583999991</v>
      </c>
      <c r="J112" s="133">
        <f ca="1">J113-J111-J110</f>
        <v>3536.6303815296014</v>
      </c>
      <c r="K112" s="133">
        <f ca="1">K113-K111-K110</f>
        <v>3780.6578778551411</v>
      </c>
      <c r="M112" s="5" t="s">
        <v>168</v>
      </c>
    </row>
    <row r="113" spans="3:17">
      <c r="C113" s="54" t="s">
        <v>28</v>
      </c>
      <c r="D113" s="6"/>
      <c r="E113" s="51">
        <f t="shared" ref="E113:K113" si="17">E51</f>
        <v>18177</v>
      </c>
      <c r="F113" s="51">
        <f t="shared" si="17"/>
        <v>22283</v>
      </c>
      <c r="G113" s="162">
        <f t="shared" ca="1" si="17"/>
        <v>21391.68</v>
      </c>
      <c r="H113" s="162">
        <f t="shared" ca="1" si="17"/>
        <v>22675.180800000002</v>
      </c>
      <c r="I113" s="162">
        <f t="shared" ca="1" si="17"/>
        <v>24239.7682752</v>
      </c>
      <c r="J113" s="162">
        <f t="shared" ca="1" si="17"/>
        <v>25912.3122861888</v>
      </c>
      <c r="K113" s="162">
        <f t="shared" ca="1" si="17"/>
        <v>27700.261833935827</v>
      </c>
      <c r="M113" s="5" t="s">
        <v>169</v>
      </c>
    </row>
    <row r="114" spans="3:17">
      <c r="C114" s="26"/>
      <c r="E114" s="34"/>
      <c r="F114" s="34"/>
      <c r="G114" s="21"/>
      <c r="H114" s="61"/>
      <c r="I114" s="61"/>
      <c r="J114" s="61"/>
      <c r="K114" s="61"/>
    </row>
    <row r="115" spans="3:17">
      <c r="C115" s="74" t="s">
        <v>75</v>
      </c>
      <c r="D115" s="70"/>
      <c r="E115" s="70"/>
      <c r="F115" s="70"/>
      <c r="G115" s="190"/>
      <c r="H115" s="190"/>
      <c r="I115" s="190"/>
      <c r="J115" s="190"/>
      <c r="K115" s="190"/>
    </row>
    <row r="116" spans="3:17">
      <c r="C116" s="41" t="s">
        <v>27</v>
      </c>
      <c r="D116" s="6"/>
      <c r="E116" s="6"/>
      <c r="F116" s="6"/>
      <c r="G116" s="193">
        <f>F120</f>
        <v>70400</v>
      </c>
      <c r="H116" s="193">
        <f ca="1">G120</f>
        <v>35907.506097684833</v>
      </c>
      <c r="I116" s="193">
        <f ca="1">H120</f>
        <v>5326.4073574395152</v>
      </c>
      <c r="J116" s="193">
        <f ca="1">I120</f>
        <v>-21502.07229787598</v>
      </c>
      <c r="K116" s="193">
        <f ca="1">J120</f>
        <v>-44514.319742036285</v>
      </c>
      <c r="M116" s="5" t="s">
        <v>167</v>
      </c>
    </row>
    <row r="117" spans="3:17">
      <c r="C117" s="26" t="s">
        <v>62</v>
      </c>
      <c r="D117" s="33">
        <f t="shared" ref="D117:K117" si="18">D29</f>
        <v>45687</v>
      </c>
      <c r="E117" s="33">
        <f t="shared" si="18"/>
        <v>48351</v>
      </c>
      <c r="F117" s="33">
        <f t="shared" si="18"/>
        <v>59531</v>
      </c>
      <c r="G117" s="193">
        <f t="shared" ca="1" si="18"/>
        <v>52298.506097684833</v>
      </c>
      <c r="H117" s="193">
        <f t="shared" ca="1" si="18"/>
        <v>56209.901259754675</v>
      </c>
      <c r="I117" s="193">
        <f t="shared" ca="1" si="18"/>
        <v>59962.520344684504</v>
      </c>
      <c r="J117" s="193">
        <f t="shared" ca="1" si="18"/>
        <v>63778.752555839696</v>
      </c>
      <c r="K117" s="193">
        <f t="shared" ca="1" si="18"/>
        <v>67967.319173978191</v>
      </c>
      <c r="M117" s="5" t="s">
        <v>101</v>
      </c>
    </row>
    <row r="118" spans="3:17">
      <c r="C118" s="26" t="s">
        <v>63</v>
      </c>
      <c r="D118" s="3">
        <v>-12188</v>
      </c>
      <c r="E118" s="3">
        <v>-12803</v>
      </c>
      <c r="F118" s="3">
        <v>-13735</v>
      </c>
      <c r="G118" s="193">
        <f>F118</f>
        <v>-13735</v>
      </c>
      <c r="H118" s="193">
        <f>G118</f>
        <v>-13735</v>
      </c>
      <c r="I118" s="193">
        <f t="shared" ref="I118:K119" si="19">H118</f>
        <v>-13735</v>
      </c>
      <c r="J118" s="193">
        <f t="shared" si="19"/>
        <v>-13735</v>
      </c>
      <c r="K118" s="193">
        <f t="shared" si="19"/>
        <v>-13735</v>
      </c>
      <c r="M118" s="5" t="s">
        <v>163</v>
      </c>
    </row>
    <row r="119" spans="3:17">
      <c r="C119" s="104" t="s">
        <v>64</v>
      </c>
      <c r="D119" s="95">
        <v>-29000</v>
      </c>
      <c r="E119" s="95">
        <v>-33001</v>
      </c>
      <c r="F119" s="95">
        <v>-73056</v>
      </c>
      <c r="G119" s="199">
        <f>F119</f>
        <v>-73056</v>
      </c>
      <c r="H119" s="199">
        <f>G119</f>
        <v>-73056</v>
      </c>
      <c r="I119" s="199">
        <f t="shared" si="19"/>
        <v>-73056</v>
      </c>
      <c r="J119" s="199">
        <f t="shared" si="19"/>
        <v>-73056</v>
      </c>
      <c r="K119" s="199">
        <f t="shared" si="19"/>
        <v>-73056</v>
      </c>
      <c r="M119" s="5" t="s">
        <v>236</v>
      </c>
    </row>
    <row r="120" spans="3:17">
      <c r="C120" s="83" t="s">
        <v>28</v>
      </c>
      <c r="D120" s="23">
        <f>D63</f>
        <v>0</v>
      </c>
      <c r="E120" s="23">
        <f>E63</f>
        <v>98330</v>
      </c>
      <c r="F120" s="23">
        <f>F63</f>
        <v>70400</v>
      </c>
      <c r="G120" s="162">
        <f ca="1">SUM(G116:G119)</f>
        <v>35907.506097684833</v>
      </c>
      <c r="H120" s="162">
        <f ca="1">SUM(H116:H119)</f>
        <v>5326.4073574395152</v>
      </c>
      <c r="I120" s="162">
        <f ca="1">SUM(I116:I119)</f>
        <v>-21502.07229787598</v>
      </c>
      <c r="J120" s="162">
        <f ca="1">SUM(J116:J119)</f>
        <v>-44514.319742036285</v>
      </c>
      <c r="K120" s="162">
        <f ca="1">SUM(K116:K119)</f>
        <v>-63338.000568058094</v>
      </c>
      <c r="M120" s="5" t="s">
        <v>164</v>
      </c>
    </row>
    <row r="121" spans="3:17">
      <c r="E121" s="68"/>
      <c r="F121" s="68"/>
      <c r="G121" s="188"/>
      <c r="H121" s="188"/>
      <c r="I121" s="188"/>
      <c r="J121" s="188"/>
      <c r="K121" s="188"/>
    </row>
    <row r="122" spans="3:17">
      <c r="C122" s="7" t="s">
        <v>131</v>
      </c>
      <c r="D122" s="9"/>
      <c r="E122" s="9"/>
      <c r="F122" s="9"/>
      <c r="G122" s="190"/>
      <c r="H122" s="190"/>
      <c r="I122" s="190"/>
      <c r="J122" s="190"/>
      <c r="K122" s="190"/>
      <c r="O122" s="98"/>
      <c r="P122" s="98"/>
    </row>
    <row r="123" spans="3:17">
      <c r="C123" s="35" t="str">
        <f t="shared" ref="C123:K123" si="20">C15</f>
        <v xml:space="preserve">Fiscal year  </v>
      </c>
      <c r="D123" s="30">
        <f t="shared" si="20"/>
        <v>2016</v>
      </c>
      <c r="E123" s="30">
        <f t="shared" si="20"/>
        <v>2017</v>
      </c>
      <c r="F123" s="30">
        <f t="shared" si="20"/>
        <v>2018</v>
      </c>
      <c r="G123" s="191">
        <f t="shared" si="20"/>
        <v>2019</v>
      </c>
      <c r="H123" s="191">
        <f t="shared" si="20"/>
        <v>2020</v>
      </c>
      <c r="I123" s="191">
        <f t="shared" si="20"/>
        <v>2021</v>
      </c>
      <c r="J123" s="191">
        <f t="shared" si="20"/>
        <v>2022</v>
      </c>
      <c r="K123" s="191">
        <f t="shared" si="20"/>
        <v>2023</v>
      </c>
      <c r="O123" s="98"/>
      <c r="P123" s="98"/>
    </row>
    <row r="124" spans="3:17">
      <c r="C124" s="9" t="str">
        <f t="shared" ref="C124:K124" si="21">C16</f>
        <v>Fiscal year end date</v>
      </c>
      <c r="D124" s="32">
        <f t="shared" si="21"/>
        <v>42643</v>
      </c>
      <c r="E124" s="32">
        <f t="shared" si="21"/>
        <v>43008</v>
      </c>
      <c r="F124" s="32">
        <f t="shared" si="21"/>
        <v>43372</v>
      </c>
      <c r="G124" s="192">
        <f t="shared" si="21"/>
        <v>43738</v>
      </c>
      <c r="H124" s="192">
        <f t="shared" si="21"/>
        <v>44104</v>
      </c>
      <c r="I124" s="192">
        <f t="shared" si="21"/>
        <v>44469</v>
      </c>
      <c r="J124" s="192">
        <f t="shared" si="21"/>
        <v>44834</v>
      </c>
      <c r="K124" s="192">
        <f t="shared" si="21"/>
        <v>45199</v>
      </c>
      <c r="O124" s="98"/>
      <c r="P124" s="98"/>
    </row>
    <row r="125" spans="3:17">
      <c r="C125" s="19"/>
      <c r="G125" s="188"/>
      <c r="H125" s="188"/>
      <c r="I125" s="188"/>
      <c r="J125" s="188"/>
      <c r="K125" s="188"/>
      <c r="O125" s="98"/>
      <c r="P125" s="98"/>
    </row>
    <row r="126" spans="3:17">
      <c r="C126" s="53" t="s">
        <v>39</v>
      </c>
      <c r="G126" s="188"/>
      <c r="H126" s="188"/>
      <c r="I126" s="188"/>
      <c r="J126" s="188"/>
      <c r="K126" s="188"/>
      <c r="O126" s="98"/>
      <c r="P126" s="98"/>
      <c r="Q126" s="98"/>
    </row>
    <row r="127" spans="3:17">
      <c r="C127" s="26" t="s">
        <v>45</v>
      </c>
      <c r="G127" s="57">
        <f>F46</f>
        <v>237100</v>
      </c>
      <c r="H127" s="57">
        <f ca="1">G46</f>
        <v>202199.73246575586</v>
      </c>
      <c r="I127" s="57">
        <f ca="1">H46</f>
        <v>176523.72487352614</v>
      </c>
      <c r="J127" s="57">
        <f ca="1">I46</f>
        <v>156076.92943323214</v>
      </c>
      <c r="K127" s="57">
        <f ca="1">J46</f>
        <v>140273.77732642859</v>
      </c>
      <c r="M127" s="5" t="s">
        <v>172</v>
      </c>
      <c r="O127" s="98"/>
      <c r="P127" s="98"/>
    </row>
    <row r="128" spans="3:17">
      <c r="C128" s="26" t="s">
        <v>69</v>
      </c>
      <c r="G128" s="200">
        <v>-50000</v>
      </c>
      <c r="H128" s="200">
        <v>-50000</v>
      </c>
      <c r="I128" s="200">
        <v>-50000</v>
      </c>
      <c r="J128" s="200">
        <v>-50000</v>
      </c>
      <c r="K128" s="200">
        <v>-50000</v>
      </c>
      <c r="M128" s="5" t="s">
        <v>126</v>
      </c>
      <c r="O128" s="98"/>
      <c r="P128" s="98"/>
    </row>
    <row r="129" spans="3:19">
      <c r="C129" s="111" t="s">
        <v>40</v>
      </c>
      <c r="D129" s="101"/>
      <c r="E129" s="101"/>
      <c r="F129" s="101"/>
      <c r="G129" s="126">
        <f ca="1">SUM(G80,G83,G85,G87,G88)</f>
        <v>-34936.267534244129</v>
      </c>
      <c r="H129" s="126">
        <f ca="1">SUM(H80,H83,H85,H87,H88)</f>
        <v>-25676.007592229726</v>
      </c>
      <c r="I129" s="126">
        <f ca="1">SUM(I80,I83,I85,I87,I88)</f>
        <v>-20446.795440293994</v>
      </c>
      <c r="J129" s="126">
        <f ca="1">SUM(J80,J83,J85,J87,J88)</f>
        <v>-15803.152106803551</v>
      </c>
      <c r="K129" s="126">
        <f ca="1">SUM(K80,K83,K85,K87,K88)</f>
        <v>-10801.321625207391</v>
      </c>
      <c r="M129" s="5" t="s">
        <v>174</v>
      </c>
    </row>
    <row r="130" spans="3:19">
      <c r="C130" s="54" t="s">
        <v>102</v>
      </c>
      <c r="D130" s="6"/>
      <c r="E130" s="6"/>
      <c r="F130" s="6"/>
      <c r="G130" s="162">
        <f ca="1">SUM(G127:G129)</f>
        <v>152163.73246575586</v>
      </c>
      <c r="H130" s="162">
        <f ca="1">SUM(H127:H129)</f>
        <v>126523.72487352614</v>
      </c>
      <c r="I130" s="162">
        <f ca="1">SUM(I127:I129)</f>
        <v>106076.92943323214</v>
      </c>
      <c r="J130" s="162">
        <f ca="1">SUM(J127:J129)</f>
        <v>90273.777326428593</v>
      </c>
      <c r="K130" s="162">
        <f ca="1">SUM(K127:K129)</f>
        <v>79472.455701221203</v>
      </c>
    </row>
    <row r="131" spans="3:19">
      <c r="C131" s="6"/>
      <c r="G131" s="188"/>
      <c r="H131" s="188"/>
      <c r="I131" s="188"/>
      <c r="J131" s="188"/>
      <c r="K131" s="188"/>
    </row>
    <row r="132" spans="3:19">
      <c r="C132" s="19" t="s">
        <v>113</v>
      </c>
      <c r="G132" s="188"/>
      <c r="H132" s="188"/>
      <c r="I132" s="188"/>
      <c r="J132" s="188"/>
      <c r="K132" s="188"/>
    </row>
    <row r="133" spans="3:19">
      <c r="C133" s="26" t="s">
        <v>27</v>
      </c>
      <c r="G133" s="57">
        <f>F136</f>
        <v>11964</v>
      </c>
      <c r="H133" s="57">
        <f ca="1">G136</f>
        <v>12000</v>
      </c>
      <c r="I133" s="57">
        <f ca="1">H136</f>
        <v>12000</v>
      </c>
      <c r="J133" s="57">
        <f ca="1">I136</f>
        <v>12000</v>
      </c>
      <c r="K133" s="57">
        <f ca="1">J136</f>
        <v>12000</v>
      </c>
      <c r="M133" s="5" t="s">
        <v>167</v>
      </c>
    </row>
    <row r="134" spans="3:19">
      <c r="C134" s="47" t="s">
        <v>176</v>
      </c>
      <c r="G134" s="57">
        <f ca="1">-MIN(G130,G133)</f>
        <v>-11964</v>
      </c>
      <c r="H134" s="57">
        <f ca="1">-MIN(H130,H133)</f>
        <v>-12000</v>
      </c>
      <c r="I134" s="57">
        <f ca="1">-MIN(I130,I133)</f>
        <v>-12000</v>
      </c>
      <c r="J134" s="57">
        <f ca="1">-MIN(J130,J133)</f>
        <v>-12000</v>
      </c>
      <c r="K134" s="57">
        <f ca="1">-MIN(K130,K133)</f>
        <v>-12000</v>
      </c>
      <c r="M134" s="5" t="s">
        <v>175</v>
      </c>
    </row>
    <row r="135" spans="3:19">
      <c r="C135" s="103" t="s">
        <v>128</v>
      </c>
      <c r="D135" s="101"/>
      <c r="E135" s="101"/>
      <c r="F135" s="101"/>
      <c r="G135" s="201">
        <v>12000</v>
      </c>
      <c r="H135" s="201">
        <v>12000</v>
      </c>
      <c r="I135" s="201">
        <v>12000</v>
      </c>
      <c r="J135" s="201">
        <v>12000</v>
      </c>
      <c r="K135" s="201">
        <v>12000</v>
      </c>
      <c r="M135" s="5" t="s">
        <v>126</v>
      </c>
    </row>
    <row r="136" spans="3:19">
      <c r="C136" s="26" t="s">
        <v>28</v>
      </c>
      <c r="D136" s="102">
        <f>D57</f>
        <v>0</v>
      </c>
      <c r="E136" s="102">
        <f>E57</f>
        <v>11977</v>
      </c>
      <c r="F136" s="102">
        <f>F57</f>
        <v>11964</v>
      </c>
      <c r="G136" s="202">
        <f ca="1">SUM(G133:G135)</f>
        <v>12000</v>
      </c>
      <c r="H136" s="202">
        <f ca="1">SUM(H133:H135)</f>
        <v>12000</v>
      </c>
      <c r="I136" s="202">
        <f ca="1">SUM(I133:I135)</f>
        <v>12000</v>
      </c>
      <c r="J136" s="202">
        <f ca="1">SUM(J133:J135)</f>
        <v>12000</v>
      </c>
      <c r="K136" s="202">
        <f ca="1">SUM(K133:K135)</f>
        <v>12000</v>
      </c>
    </row>
    <row r="137" spans="3:19">
      <c r="C137" s="117" t="s">
        <v>119</v>
      </c>
      <c r="D137" s="122"/>
      <c r="E137" s="122"/>
      <c r="F137" s="123"/>
      <c r="G137" s="203" t="str">
        <f ca="1">IF(G136&lt;0,"Negative Debt","OK")</f>
        <v>OK</v>
      </c>
      <c r="H137" s="203" t="str">
        <f ca="1">IF(H136&lt;0,"Negative Debt","OK")</f>
        <v>OK</v>
      </c>
      <c r="I137" s="203" t="str">
        <f ca="1">IF(I136&lt;0,"Negative Debt","OK")</f>
        <v>OK</v>
      </c>
      <c r="J137" s="203" t="str">
        <f ca="1">IF(J136&lt;0,"Negative Debt","OK")</f>
        <v>OK</v>
      </c>
      <c r="K137" s="204" t="str">
        <f ca="1">IF(K136&lt;0,"Negative Debt","OK")</f>
        <v>OK</v>
      </c>
      <c r="L137" s="6"/>
      <c r="S137" s="68"/>
    </row>
    <row r="138" spans="3:19">
      <c r="D138" s="22"/>
      <c r="E138" s="22"/>
      <c r="F138" s="120"/>
      <c r="G138" s="205"/>
      <c r="H138" s="205"/>
      <c r="I138" s="205"/>
      <c r="J138" s="205"/>
      <c r="K138" s="205"/>
      <c r="L138" s="6"/>
      <c r="S138" s="68"/>
    </row>
    <row r="139" spans="3:19">
      <c r="C139" s="7" t="s">
        <v>43</v>
      </c>
      <c r="D139" s="48"/>
      <c r="E139" s="48"/>
      <c r="F139" s="48"/>
      <c r="G139" s="206"/>
      <c r="H139" s="206"/>
      <c r="I139" s="206"/>
      <c r="J139" s="206"/>
      <c r="K139" s="206"/>
      <c r="R139" s="99"/>
    </row>
    <row r="140" spans="3:19">
      <c r="C140" s="35" t="str">
        <f t="shared" ref="C140:K140" si="22">C15</f>
        <v xml:space="preserve">Fiscal year  </v>
      </c>
      <c r="D140" s="30">
        <f t="shared" si="22"/>
        <v>2016</v>
      </c>
      <c r="E140" s="30">
        <f t="shared" si="22"/>
        <v>2017</v>
      </c>
      <c r="F140" s="30">
        <f t="shared" si="22"/>
        <v>2018</v>
      </c>
      <c r="G140" s="191">
        <f t="shared" si="22"/>
        <v>2019</v>
      </c>
      <c r="H140" s="191">
        <f t="shared" si="22"/>
        <v>2020</v>
      </c>
      <c r="I140" s="191">
        <f t="shared" si="22"/>
        <v>2021</v>
      </c>
      <c r="J140" s="191">
        <f t="shared" si="22"/>
        <v>2022</v>
      </c>
      <c r="K140" s="191">
        <f t="shared" si="22"/>
        <v>2023</v>
      </c>
      <c r="R140" s="99"/>
      <c r="S140" s="68"/>
    </row>
    <row r="141" spans="3:19">
      <c r="C141" s="9" t="str">
        <f t="shared" ref="C141:K141" si="23">C16</f>
        <v>Fiscal year end date</v>
      </c>
      <c r="D141" s="32">
        <f t="shared" si="23"/>
        <v>42643</v>
      </c>
      <c r="E141" s="32">
        <f t="shared" si="23"/>
        <v>43008</v>
      </c>
      <c r="F141" s="32">
        <f t="shared" si="23"/>
        <v>43372</v>
      </c>
      <c r="G141" s="192">
        <f t="shared" si="23"/>
        <v>43738</v>
      </c>
      <c r="H141" s="192">
        <f t="shared" si="23"/>
        <v>44104</v>
      </c>
      <c r="I141" s="192">
        <f t="shared" si="23"/>
        <v>44469</v>
      </c>
      <c r="J141" s="192">
        <f t="shared" si="23"/>
        <v>44834</v>
      </c>
      <c r="K141" s="192">
        <f t="shared" si="23"/>
        <v>45199</v>
      </c>
      <c r="R141" s="99"/>
    </row>
    <row r="142" spans="3:19">
      <c r="C142" s="26"/>
      <c r="D142" s="34"/>
      <c r="E142" s="34"/>
      <c r="F142" s="34"/>
      <c r="G142" s="207"/>
      <c r="H142" s="207"/>
      <c r="I142" s="207"/>
      <c r="J142" s="207"/>
      <c r="K142" s="207"/>
      <c r="R142" s="99"/>
    </row>
    <row r="143" spans="3:19">
      <c r="C143" s="41" t="s">
        <v>120</v>
      </c>
      <c r="D143" s="34">
        <f>-(D25)</f>
        <v>1456</v>
      </c>
      <c r="E143" s="34">
        <f>-(E25)</f>
        <v>2323</v>
      </c>
      <c r="F143" s="22">
        <f>-(F25)</f>
        <v>3240</v>
      </c>
      <c r="G143" s="61">
        <f ca="1">G148+G153</f>
        <v>3223.1468651501777</v>
      </c>
      <c r="H143" s="61">
        <f ca="1">H148+H153</f>
        <v>3223.5392651501775</v>
      </c>
      <c r="I143" s="61">
        <f ca="1">I148+I153</f>
        <v>3223.5392651501775</v>
      </c>
      <c r="J143" s="61">
        <f ca="1">J148+J153</f>
        <v>3223.5392651501775</v>
      </c>
      <c r="K143" s="61">
        <f ca="1">K148+K153</f>
        <v>3223.5392651501775</v>
      </c>
      <c r="L143" s="6"/>
      <c r="M143" s="5" t="s">
        <v>178</v>
      </c>
      <c r="R143" s="68"/>
    </row>
    <row r="144" spans="3:19">
      <c r="C144" s="60"/>
      <c r="F144" s="6"/>
      <c r="G144" s="208"/>
      <c r="H144" s="208"/>
      <c r="I144" s="208"/>
      <c r="J144" s="208"/>
      <c r="K144" s="208"/>
      <c r="L144" s="6"/>
      <c r="R144" s="68"/>
    </row>
    <row r="145" spans="3:18">
      <c r="C145" s="94" t="s">
        <v>68</v>
      </c>
      <c r="F145" s="6"/>
      <c r="G145" s="208"/>
      <c r="H145" s="208"/>
      <c r="I145" s="208"/>
      <c r="J145" s="208"/>
      <c r="K145" s="208"/>
      <c r="L145" s="6"/>
      <c r="R145" s="68"/>
    </row>
    <row r="146" spans="3:18">
      <c r="C146" s="26" t="s">
        <v>111</v>
      </c>
      <c r="E146" s="56">
        <v>1.2E-2</v>
      </c>
      <c r="F146" s="124">
        <v>2.18E-2</v>
      </c>
      <c r="G146" s="209">
        <f>F146</f>
        <v>2.18E-2</v>
      </c>
      <c r="H146" s="209">
        <f>G146</f>
        <v>2.18E-2</v>
      </c>
      <c r="I146" s="209">
        <f>H146</f>
        <v>2.18E-2</v>
      </c>
      <c r="J146" s="209">
        <f>I146</f>
        <v>2.18E-2</v>
      </c>
      <c r="K146" s="209">
        <f>J146</f>
        <v>2.18E-2</v>
      </c>
      <c r="L146" s="6"/>
      <c r="M146" s="5" t="s">
        <v>132</v>
      </c>
    </row>
    <row r="147" spans="3:18">
      <c r="C147" s="26" t="s">
        <v>112</v>
      </c>
      <c r="D147" s="102"/>
      <c r="E147" s="102">
        <f t="shared" ref="E147:K147" si="24">E57</f>
        <v>11977</v>
      </c>
      <c r="F147" s="102">
        <f t="shared" si="24"/>
        <v>11964</v>
      </c>
      <c r="G147" s="61">
        <f t="shared" ca="1" si="24"/>
        <v>12000</v>
      </c>
      <c r="H147" s="61">
        <f t="shared" ca="1" si="24"/>
        <v>12000</v>
      </c>
      <c r="I147" s="61">
        <f t="shared" ca="1" si="24"/>
        <v>12000</v>
      </c>
      <c r="J147" s="61">
        <f t="shared" ca="1" si="24"/>
        <v>12000</v>
      </c>
      <c r="K147" s="61">
        <f t="shared" ca="1" si="24"/>
        <v>12000</v>
      </c>
      <c r="L147" s="6"/>
      <c r="M147" s="5" t="s">
        <v>181</v>
      </c>
    </row>
    <row r="148" spans="3:18">
      <c r="C148" s="163" t="s">
        <v>41</v>
      </c>
      <c r="D148" s="22"/>
      <c r="E148" s="51">
        <f>AVERAGE(D147:E147)*E146</f>
        <v>143.72399999999999</v>
      </c>
      <c r="F148" s="51">
        <f>AVERAGE(E147:F147)*F146</f>
        <v>260.95690000000002</v>
      </c>
      <c r="G148" s="164">
        <f ca="1">IF($D$7=1,AVERAGE(F147:G147)*G146,0)</f>
        <v>261.20760000000001</v>
      </c>
      <c r="H148" s="164">
        <f ca="1">IF($D$7=1,AVERAGE(G147:H147)*H146,0)</f>
        <v>261.60000000000002</v>
      </c>
      <c r="I148" s="164">
        <f ca="1">IF($D$7=1,AVERAGE(H147:I147)*I146,0)</f>
        <v>261.60000000000002</v>
      </c>
      <c r="J148" s="164">
        <f ca="1">IF($D$7=1,AVERAGE(I147:J147)*J146,0)</f>
        <v>261.60000000000002</v>
      </c>
      <c r="K148" s="164">
        <f ca="1">IF($D$7=1,AVERAGE(J147:K147)*K146,0)</f>
        <v>261.60000000000002</v>
      </c>
      <c r="L148" s="6"/>
      <c r="M148" s="5" t="s">
        <v>180</v>
      </c>
    </row>
    <row r="149" spans="3:18">
      <c r="C149" s="81"/>
      <c r="D149" s="34"/>
      <c r="E149" s="34"/>
      <c r="F149" s="22"/>
      <c r="G149" s="208"/>
      <c r="H149" s="208"/>
      <c r="I149" s="208"/>
      <c r="J149" s="208"/>
      <c r="K149" s="208"/>
      <c r="L149" s="6"/>
    </row>
    <row r="150" spans="3:18">
      <c r="C150" s="94" t="s">
        <v>67</v>
      </c>
      <c r="D150" s="34"/>
      <c r="E150" s="34"/>
      <c r="F150" s="22"/>
      <c r="G150" s="208"/>
      <c r="H150" s="208"/>
      <c r="I150" s="208"/>
      <c r="J150" s="208"/>
      <c r="K150" s="208"/>
      <c r="L150" s="6"/>
    </row>
    <row r="151" spans="3:18">
      <c r="C151" s="26" t="s">
        <v>112</v>
      </c>
      <c r="D151" s="34"/>
      <c r="E151" s="34">
        <f t="shared" ref="E151:K151" si="25">E58</f>
        <v>103703</v>
      </c>
      <c r="F151" s="22">
        <f t="shared" si="25"/>
        <v>102519</v>
      </c>
      <c r="G151" s="61">
        <f t="shared" si="25"/>
        <v>102519</v>
      </c>
      <c r="H151" s="61">
        <f t="shared" si="25"/>
        <v>102519</v>
      </c>
      <c r="I151" s="61">
        <f t="shared" si="25"/>
        <v>102519</v>
      </c>
      <c r="J151" s="61">
        <f t="shared" si="25"/>
        <v>102519</v>
      </c>
      <c r="K151" s="61">
        <f t="shared" si="25"/>
        <v>102519</v>
      </c>
      <c r="L151" s="6"/>
      <c r="M151" s="5" t="s">
        <v>183</v>
      </c>
    </row>
    <row r="152" spans="3:18">
      <c r="C152" s="26" t="s">
        <v>111</v>
      </c>
      <c r="E152" s="93">
        <f t="shared" ref="E152" si="26">E153/AVERAGE(D151:E151)</f>
        <v>2.101458974185896E-2</v>
      </c>
      <c r="F152" s="100">
        <f>F153/AVERAGE(E151:F151)</f>
        <v>2.8891612921996681E-2</v>
      </c>
      <c r="G152" s="209">
        <f>F152</f>
        <v>2.8891612921996681E-2</v>
      </c>
      <c r="H152" s="209">
        <f>G152</f>
        <v>2.8891612921996681E-2</v>
      </c>
      <c r="I152" s="209">
        <f>H152</f>
        <v>2.8891612921996681E-2</v>
      </c>
      <c r="J152" s="209">
        <f>I152</f>
        <v>2.8891612921996681E-2</v>
      </c>
      <c r="K152" s="209">
        <f>J152</f>
        <v>2.8891612921996681E-2</v>
      </c>
      <c r="L152" s="6"/>
      <c r="M152" s="5" t="s">
        <v>132</v>
      </c>
      <c r="R152" s="99"/>
    </row>
    <row r="153" spans="3:18">
      <c r="C153" s="54" t="s">
        <v>186</v>
      </c>
      <c r="D153" s="52"/>
      <c r="E153" s="52">
        <f>E143-E148</f>
        <v>2179.2759999999998</v>
      </c>
      <c r="F153" s="51">
        <f>F143-F148</f>
        <v>2979.0430999999999</v>
      </c>
      <c r="G153" s="20">
        <f>G152*AVERAGE(F151:G151)</f>
        <v>2961.9392651501776</v>
      </c>
      <c r="H153" s="20">
        <f>H152*AVERAGE(G151:H151)</f>
        <v>2961.9392651501776</v>
      </c>
      <c r="I153" s="20">
        <f>I152*AVERAGE(H151:I151)</f>
        <v>2961.9392651501776</v>
      </c>
      <c r="J153" s="20">
        <f>J152*AVERAGE(I151:J151)</f>
        <v>2961.9392651501776</v>
      </c>
      <c r="K153" s="20">
        <f>K152*AVERAGE(J151:K151)</f>
        <v>2961.9392651501776</v>
      </c>
      <c r="L153" s="6"/>
      <c r="M153" s="5" t="s">
        <v>114</v>
      </c>
    </row>
    <row r="154" spans="3:18">
      <c r="E154" s="34"/>
      <c r="F154" s="6"/>
      <c r="G154" s="208"/>
      <c r="H154" s="208"/>
      <c r="I154" s="208"/>
      <c r="J154" s="208"/>
      <c r="K154" s="208"/>
      <c r="L154" s="6"/>
    </row>
    <row r="155" spans="3:18">
      <c r="C155" s="60" t="s">
        <v>42</v>
      </c>
      <c r="E155" s="34"/>
      <c r="F155" s="22"/>
      <c r="G155" s="208"/>
      <c r="H155" s="208"/>
      <c r="I155" s="208"/>
      <c r="J155" s="208"/>
      <c r="K155" s="208"/>
      <c r="L155" s="6"/>
    </row>
    <row r="156" spans="3:18" ht="15" customHeight="1">
      <c r="C156" s="26" t="s">
        <v>115</v>
      </c>
      <c r="D156" s="55">
        <v>1.7299999999999999E-2</v>
      </c>
      <c r="E156" s="56">
        <v>1.9900000000000001E-2</v>
      </c>
      <c r="F156" s="124">
        <v>2.1600000000000001E-2</v>
      </c>
      <c r="G156" s="210">
        <f>F156</f>
        <v>2.1600000000000001E-2</v>
      </c>
      <c r="H156" s="210">
        <f>G156</f>
        <v>2.1600000000000001E-2</v>
      </c>
      <c r="I156" s="210">
        <f>H156</f>
        <v>2.1600000000000001E-2</v>
      </c>
      <c r="J156" s="210">
        <f>I156</f>
        <v>2.1600000000000001E-2</v>
      </c>
      <c r="K156" s="210">
        <f>J156</f>
        <v>2.1600000000000001E-2</v>
      </c>
      <c r="L156" s="6"/>
      <c r="M156" s="5" t="s">
        <v>132</v>
      </c>
    </row>
    <row r="157" spans="3:18" ht="15" customHeight="1">
      <c r="C157" s="26" t="s">
        <v>4</v>
      </c>
      <c r="D157" s="34">
        <f>D24</f>
        <v>3999</v>
      </c>
      <c r="E157" s="34">
        <f>E24</f>
        <v>5201</v>
      </c>
      <c r="F157" s="22">
        <f>F24</f>
        <v>5686</v>
      </c>
      <c r="G157" s="38">
        <f ca="1">IF($D$7=1,AVERAGE(F46,G46)*G156,0)</f>
        <v>4744.4371106301642</v>
      </c>
      <c r="H157" s="38">
        <f ca="1">IF($D$7=1,AVERAGE(G46,H46)*H156,0)</f>
        <v>4090.2133392642463</v>
      </c>
      <c r="I157" s="38">
        <f ca="1">IF($D$7=1,AVERAGE(H46,I46)*I156,0)</f>
        <v>3592.0870665129901</v>
      </c>
      <c r="J157" s="38">
        <f ca="1">IF($D$7=1,AVERAGE(I46,J46)*J156,0)</f>
        <v>3200.5876330043361</v>
      </c>
      <c r="K157" s="38">
        <f ca="1">IF($D$7=1,AVERAGE(J46,K46)*K156,0)</f>
        <v>2913.259316698618</v>
      </c>
      <c r="L157" s="6"/>
      <c r="M157" s="5" t="s">
        <v>184</v>
      </c>
    </row>
    <row r="158" spans="3:18">
      <c r="C158" s="65"/>
      <c r="D158" s="100"/>
      <c r="E158" s="93"/>
      <c r="F158" s="93"/>
      <c r="G158" s="100"/>
      <c r="H158" s="100"/>
      <c r="I158" s="6"/>
      <c r="J158" s="6"/>
      <c r="K158" s="6"/>
    </row>
    <row r="159" spans="3:18">
      <c r="C159" s="7" t="s">
        <v>76</v>
      </c>
      <c r="D159" s="7"/>
      <c r="E159" s="7"/>
      <c r="F159" s="7"/>
      <c r="G159" s="7"/>
      <c r="H159" s="7"/>
      <c r="I159" s="7"/>
      <c r="J159" s="7"/>
      <c r="K159" s="7"/>
    </row>
    <row r="160" spans="3:18">
      <c r="C160" s="24"/>
    </row>
    <row r="161" spans="3:16" ht="15.75" thickBot="1">
      <c r="C161" s="75" t="s">
        <v>188</v>
      </c>
      <c r="D161" s="76"/>
      <c r="E161" s="76"/>
      <c r="F161" s="76"/>
      <c r="G161" s="76"/>
      <c r="H161" s="76"/>
      <c r="I161" s="76"/>
    </row>
    <row r="162" spans="3:16">
      <c r="D162" s="24"/>
      <c r="E162" s="260" t="s">
        <v>77</v>
      </c>
      <c r="F162" s="77"/>
      <c r="G162" s="77"/>
      <c r="H162" s="77"/>
      <c r="I162" s="77"/>
    </row>
    <row r="163" spans="3:16" ht="15.75" customHeight="1" thickBot="1">
      <c r="D163" s="173">
        <f ca="1">G29</f>
        <v>52298.506097684833</v>
      </c>
      <c r="E163" s="251">
        <v>-0.05</v>
      </c>
      <c r="F163" s="251">
        <v>-2.5000000000000001E-2</v>
      </c>
      <c r="G163" s="251">
        <v>0</v>
      </c>
      <c r="H163" s="251">
        <v>2.5000000000000001E-2</v>
      </c>
      <c r="I163" s="251">
        <v>0.05</v>
      </c>
    </row>
    <row r="164" spans="3:16">
      <c r="C164" s="78"/>
      <c r="D164" s="252">
        <v>0.39</v>
      </c>
      <c r="E164" s="253">
        <f t="dataTable" ref="E164:I169" dt2D="1" dtr="1" r1="G37" r2="G38" ca="1"/>
        <v>54288.885665875699</v>
      </c>
      <c r="F164" s="253">
        <v>55720.488707046679</v>
      </c>
      <c r="G164" s="253">
        <v>57152.091748217441</v>
      </c>
      <c r="H164" s="253">
        <v>58583.694789388217</v>
      </c>
      <c r="I164" s="253">
        <v>60015.297830558986</v>
      </c>
    </row>
    <row r="165" spans="3:16">
      <c r="C165" s="259" t="s">
        <v>78</v>
      </c>
      <c r="D165" s="252">
        <v>0.38500000000000001</v>
      </c>
      <c r="E165" s="253">
        <v>53232.084561090189</v>
      </c>
      <c r="F165" s="253">
        <v>54635.877046871799</v>
      </c>
      <c r="G165" s="253">
        <v>56039.669532653461</v>
      </c>
      <c r="H165" s="253">
        <v>57443.462018435137</v>
      </c>
      <c r="I165" s="253">
        <v>58847.254504216806</v>
      </c>
    </row>
    <row r="166" spans="3:16">
      <c r="C166" s="259" t="s">
        <v>79</v>
      </c>
      <c r="D166" s="252">
        <v>0.38</v>
      </c>
      <c r="E166" s="253">
        <v>52175.283456304423</v>
      </c>
      <c r="F166" s="253">
        <v>53551.265386696919</v>
      </c>
      <c r="G166" s="253">
        <v>54927.247317089503</v>
      </c>
      <c r="H166" s="253">
        <v>56303.229247482057</v>
      </c>
      <c r="I166" s="253">
        <v>57679.21117787464</v>
      </c>
    </row>
    <row r="167" spans="3:16">
      <c r="C167" s="259" t="s">
        <v>80</v>
      </c>
      <c r="D167" s="252">
        <v>0.375</v>
      </c>
      <c r="E167" s="253">
        <v>51118.482351518644</v>
      </c>
      <c r="F167" s="253">
        <v>52466.653726522054</v>
      </c>
      <c r="G167" s="253">
        <v>53814.825101525523</v>
      </c>
      <c r="H167" s="253">
        <v>55162.996476528984</v>
      </c>
      <c r="I167" s="253">
        <v>56511.16785153246</v>
      </c>
    </row>
    <row r="168" spans="3:16">
      <c r="D168" s="252">
        <v>0.37</v>
      </c>
      <c r="E168" s="253">
        <v>50061.681246732878</v>
      </c>
      <c r="F168" s="253">
        <v>51382.042066347174</v>
      </c>
      <c r="G168" s="253">
        <v>52702.402885961536</v>
      </c>
      <c r="H168" s="253">
        <v>54022.763705575911</v>
      </c>
      <c r="I168" s="253">
        <v>55343.124525190302</v>
      </c>
    </row>
    <row r="169" spans="3:16">
      <c r="D169" s="252">
        <v>0.36499999999999999</v>
      </c>
      <c r="E169" s="253">
        <v>49004.880141947084</v>
      </c>
      <c r="F169" s="253">
        <v>50297.430406172294</v>
      </c>
      <c r="G169" s="253">
        <v>51589.980670397563</v>
      </c>
      <c r="H169" s="253">
        <v>52882.530934622839</v>
      </c>
      <c r="I169" s="253">
        <v>54175.081198848122</v>
      </c>
    </row>
    <row r="171" spans="3:16">
      <c r="C171" s="7" t="s">
        <v>81</v>
      </c>
      <c r="D171" s="7"/>
      <c r="E171" s="7"/>
      <c r="F171" s="7"/>
      <c r="G171" s="7"/>
      <c r="H171" s="7"/>
      <c r="I171" s="7"/>
      <c r="J171" s="7"/>
      <c r="K171" s="7"/>
    </row>
    <row r="172" spans="3:16" ht="15.75" thickBot="1">
      <c r="F172"/>
    </row>
    <row r="173" spans="3:16" ht="15.75" thickBot="1">
      <c r="C173" s="6" t="s">
        <v>193</v>
      </c>
      <c r="D173" s="185" t="str">
        <f>D12</f>
        <v>Base case</v>
      </c>
      <c r="E173" s="6"/>
      <c r="F173" s="183" t="s">
        <v>191</v>
      </c>
      <c r="G173" s="31">
        <f t="shared" ref="G173:K174" si="27">G15</f>
        <v>2019</v>
      </c>
      <c r="H173" s="31">
        <f t="shared" si="27"/>
        <v>2020</v>
      </c>
      <c r="I173" s="31">
        <f t="shared" si="27"/>
        <v>2021</v>
      </c>
      <c r="J173" s="31">
        <f t="shared" si="27"/>
        <v>2022</v>
      </c>
      <c r="K173" s="31">
        <f t="shared" si="27"/>
        <v>2023</v>
      </c>
    </row>
    <row r="174" spans="3:16">
      <c r="E174" s="184"/>
      <c r="F174" s="178" t="s">
        <v>190</v>
      </c>
      <c r="G174" s="32">
        <f t="shared" si="27"/>
        <v>43738</v>
      </c>
      <c r="H174" s="32">
        <f t="shared" si="27"/>
        <v>44104</v>
      </c>
      <c r="I174" s="32">
        <f t="shared" si="27"/>
        <v>44469</v>
      </c>
      <c r="J174" s="32">
        <f t="shared" si="27"/>
        <v>44834</v>
      </c>
      <c r="K174" s="32">
        <f t="shared" si="27"/>
        <v>45199</v>
      </c>
    </row>
    <row r="175" spans="3:16">
      <c r="C175" s="26" t="s">
        <v>1</v>
      </c>
      <c r="D175" s="6"/>
      <c r="E175" s="6"/>
      <c r="F175" s="248" t="str">
        <f ca="1">OFFSET(F$180,MATCH($D$12,$C$181:$C$183,0)+MATCH($C175,$C$180:$C$195,0)-1,0)</f>
        <v>NM</v>
      </c>
      <c r="G175" s="249">
        <f ca="1">OFFSET(G$180,MATCH($D$12,$C$181:$C$183,0)+MATCH($C175,$C$180:$C$195,0)-1,0)</f>
        <v>-0.04</v>
      </c>
      <c r="H175" s="249">
        <f t="shared" ref="H175:K178" ca="1" si="28">OFFSET(H$180,MATCH($D$12,$C$181:$C$183,0)+MATCH($C175,$C$180:$C$195,0)-1,0)</f>
        <v>0.06</v>
      </c>
      <c r="I175" s="249">
        <f t="shared" ca="1" si="28"/>
        <v>6.9000000000000006E-2</v>
      </c>
      <c r="J175" s="249">
        <f t="shared" ca="1" si="28"/>
        <v>6.9000000000000006E-2</v>
      </c>
      <c r="K175" s="249">
        <f t="shared" ca="1" si="28"/>
        <v>6.9000000000000006E-2</v>
      </c>
      <c r="M175" s="241"/>
      <c r="N175" s="241"/>
      <c r="O175" s="241"/>
      <c r="P175" s="241"/>
    </row>
    <row r="176" spans="3:16">
      <c r="C176" s="26" t="s">
        <v>231</v>
      </c>
      <c r="E176" s="6"/>
      <c r="F176" s="248" t="str">
        <f t="shared" ref="F176:G178" ca="1" si="29">OFFSET(F$180,MATCH($D$12,$C$181:$C$183,0)+MATCH($C176,$C$180:$C$195,0)-1,0)</f>
        <v>NM</v>
      </c>
      <c r="G176" s="249">
        <f t="shared" ca="1" si="29"/>
        <v>0.378</v>
      </c>
      <c r="H176" s="249">
        <f t="shared" ca="1" si="28"/>
        <v>0.38100000000000001</v>
      </c>
      <c r="I176" s="249">
        <f t="shared" ca="1" si="28"/>
        <v>0.38200000000000001</v>
      </c>
      <c r="J176" s="249">
        <f t="shared" ca="1" si="28"/>
        <v>0.38200000000000001</v>
      </c>
      <c r="K176" s="249">
        <f t="shared" ca="1" si="28"/>
        <v>0.38200000000000001</v>
      </c>
      <c r="M176" s="241"/>
      <c r="N176" s="241"/>
      <c r="O176" s="241"/>
      <c r="P176" s="241"/>
    </row>
    <row r="177" spans="3:19">
      <c r="C177" s="28" t="s">
        <v>232</v>
      </c>
      <c r="E177" s="6"/>
      <c r="F177" s="248" t="str">
        <f t="shared" ca="1" si="29"/>
        <v>NM</v>
      </c>
      <c r="G177" s="249">
        <f t="shared" ca="1" si="29"/>
        <v>6.2E-2</v>
      </c>
      <c r="H177" s="249">
        <f t="shared" ca="1" si="28"/>
        <v>6.3E-2</v>
      </c>
      <c r="I177" s="249">
        <f t="shared" ca="1" si="28"/>
        <v>6.3E-2</v>
      </c>
      <c r="J177" s="249">
        <f t="shared" ca="1" si="28"/>
        <v>6.3E-2</v>
      </c>
      <c r="K177" s="249">
        <f t="shared" ca="1" si="28"/>
        <v>6.3E-2</v>
      </c>
      <c r="M177" s="241"/>
      <c r="N177" s="241"/>
      <c r="O177" s="241"/>
      <c r="P177" s="241"/>
    </row>
    <row r="178" spans="3:19">
      <c r="C178" s="26" t="s">
        <v>234</v>
      </c>
      <c r="E178" s="6"/>
      <c r="F178" s="248" t="str">
        <f t="shared" ca="1" si="29"/>
        <v>NM</v>
      </c>
      <c r="G178" s="249">
        <f t="shared" ca="1" si="29"/>
        <v>7.3999999999999996E-2</v>
      </c>
      <c r="H178" s="249">
        <f t="shared" ca="1" si="28"/>
        <v>6.9000000000000006E-2</v>
      </c>
      <c r="I178" s="249">
        <f t="shared" ca="1" si="28"/>
        <v>6.9000000000000006E-2</v>
      </c>
      <c r="J178" s="249">
        <f t="shared" ca="1" si="28"/>
        <v>6.9000000000000006E-2</v>
      </c>
      <c r="K178" s="249">
        <f t="shared" ca="1" si="28"/>
        <v>6.9000000000000006E-2</v>
      </c>
      <c r="M178" s="241"/>
      <c r="N178" s="241"/>
      <c r="O178" s="241"/>
      <c r="P178" s="241"/>
    </row>
    <row r="179" spans="3:19">
      <c r="E179" s="6"/>
      <c r="F179" s="179"/>
      <c r="G179" s="6"/>
    </row>
    <row r="180" spans="3:19">
      <c r="C180" s="54" t="s">
        <v>1</v>
      </c>
      <c r="E180" s="6"/>
      <c r="F180" s="179"/>
      <c r="G180" s="6"/>
    </row>
    <row r="181" spans="3:19">
      <c r="C181" s="81" t="s">
        <v>84</v>
      </c>
      <c r="E181" s="6"/>
      <c r="F181" s="180">
        <v>2.5000000000000001E-2</v>
      </c>
      <c r="G181" s="27">
        <f>G182+$F$181</f>
        <v>-1.4999999999999999E-2</v>
      </c>
      <c r="H181" s="67">
        <f>H182+$F$181</f>
        <v>8.4999999999999992E-2</v>
      </c>
      <c r="I181" s="67">
        <f>I182+$F$181</f>
        <v>9.4E-2</v>
      </c>
      <c r="J181" s="67">
        <f>J182+$F$181</f>
        <v>9.4E-2</v>
      </c>
      <c r="K181" s="67">
        <f>K182+$F$181</f>
        <v>9.4E-2</v>
      </c>
    </row>
    <row r="182" spans="3:19">
      <c r="C182" s="81" t="s">
        <v>83</v>
      </c>
      <c r="E182" s="6"/>
      <c r="F182" s="181" t="s">
        <v>189</v>
      </c>
      <c r="G182" s="66">
        <v>-0.04</v>
      </c>
      <c r="H182" s="66">
        <v>0.06</v>
      </c>
      <c r="I182" s="66">
        <v>6.9000000000000006E-2</v>
      </c>
      <c r="J182" s="27">
        <f>I182</f>
        <v>6.9000000000000006E-2</v>
      </c>
      <c r="K182" s="27">
        <f>J182</f>
        <v>6.9000000000000006E-2</v>
      </c>
      <c r="M182" s="5" t="s">
        <v>151</v>
      </c>
      <c r="O182" s="66"/>
      <c r="P182" s="66"/>
      <c r="Q182" s="66"/>
      <c r="R182" s="66"/>
      <c r="S182" s="66"/>
    </row>
    <row r="183" spans="3:19">
      <c r="C183" s="81" t="s">
        <v>85</v>
      </c>
      <c r="E183" s="6"/>
      <c r="F183" s="180">
        <v>-2.5000000000000001E-2</v>
      </c>
      <c r="G183" s="27">
        <f>G182+$F$183</f>
        <v>-6.5000000000000002E-2</v>
      </c>
      <c r="H183" s="67">
        <f>H182+$F$183</f>
        <v>3.4999999999999996E-2</v>
      </c>
      <c r="I183" s="67">
        <f>I182+$F$183</f>
        <v>4.4000000000000004E-2</v>
      </c>
      <c r="J183" s="67">
        <f>J182+$F$183</f>
        <v>4.4000000000000004E-2</v>
      </c>
      <c r="K183" s="67">
        <f>K182+$F$183</f>
        <v>4.4000000000000004E-2</v>
      </c>
      <c r="O183" s="66"/>
      <c r="P183" s="66"/>
      <c r="Q183" s="66"/>
      <c r="R183" s="66"/>
      <c r="S183" s="66"/>
    </row>
    <row r="184" spans="3:19">
      <c r="C184" s="54" t="s">
        <v>231</v>
      </c>
      <c r="E184" s="6"/>
      <c r="F184" s="181"/>
      <c r="G184" s="59"/>
      <c r="H184" s="59"/>
      <c r="I184" s="59"/>
      <c r="J184" s="59"/>
      <c r="K184" s="59"/>
      <c r="O184" s="66"/>
      <c r="P184" s="66"/>
      <c r="Q184" s="66"/>
      <c r="R184" s="66"/>
      <c r="S184" s="66"/>
    </row>
    <row r="185" spans="3:19">
      <c r="C185" s="81" t="s">
        <v>84</v>
      </c>
      <c r="E185" s="6"/>
      <c r="F185" s="180">
        <v>0.01</v>
      </c>
      <c r="G185" s="27">
        <f>G186+$F$185</f>
        <v>0.38800000000000001</v>
      </c>
      <c r="H185" s="67">
        <f>H186+$F$185</f>
        <v>0.39100000000000001</v>
      </c>
      <c r="I185" s="67">
        <f>I186+$F$185</f>
        <v>0.39200000000000002</v>
      </c>
      <c r="J185" s="67">
        <f>J186+$F$185</f>
        <v>0.39200000000000002</v>
      </c>
      <c r="K185" s="67">
        <f>K186+$F$185</f>
        <v>0.39200000000000002</v>
      </c>
    </row>
    <row r="186" spans="3:19">
      <c r="C186" s="81" t="s">
        <v>83</v>
      </c>
      <c r="E186" s="6"/>
      <c r="F186" s="181" t="s">
        <v>189</v>
      </c>
      <c r="G186" s="66">
        <v>0.378</v>
      </c>
      <c r="H186" s="66">
        <v>0.38100000000000001</v>
      </c>
      <c r="I186" s="66">
        <v>0.38200000000000001</v>
      </c>
      <c r="J186" s="27">
        <f>I186</f>
        <v>0.38200000000000001</v>
      </c>
      <c r="K186" s="27">
        <f>J186</f>
        <v>0.38200000000000001</v>
      </c>
      <c r="M186" s="5" t="s">
        <v>152</v>
      </c>
    </row>
    <row r="187" spans="3:19">
      <c r="C187" s="81" t="s">
        <v>85</v>
      </c>
      <c r="E187" s="6"/>
      <c r="F187" s="180">
        <v>-0.01</v>
      </c>
      <c r="G187" s="27">
        <f>G186+$F$187</f>
        <v>0.36799999999999999</v>
      </c>
      <c r="H187" s="67">
        <f>H186+$F$187</f>
        <v>0.371</v>
      </c>
      <c r="I187" s="67">
        <f>I186+$F$187</f>
        <v>0.372</v>
      </c>
      <c r="J187" s="67">
        <f>J186+$F$187</f>
        <v>0.372</v>
      </c>
      <c r="K187" s="67">
        <f>K186+$F$187</f>
        <v>0.372</v>
      </c>
    </row>
    <row r="188" spans="3:19">
      <c r="C188" s="83" t="s">
        <v>232</v>
      </c>
      <c r="E188" s="6"/>
      <c r="F188" s="181"/>
      <c r="G188" s="177"/>
      <c r="H188" s="82"/>
      <c r="I188" s="82"/>
      <c r="J188" s="82"/>
      <c r="K188" s="82"/>
    </row>
    <row r="189" spans="3:19">
      <c r="C189" s="81" t="s">
        <v>84</v>
      </c>
      <c r="E189" s="6"/>
      <c r="F189" s="180">
        <v>-0.01</v>
      </c>
      <c r="G189" s="27">
        <f>G190+$F$189</f>
        <v>5.1999999999999998E-2</v>
      </c>
      <c r="H189" s="67">
        <f>H190+$F$189</f>
        <v>5.2999999999999999E-2</v>
      </c>
      <c r="I189" s="67">
        <f>I190+$F$189</f>
        <v>5.2999999999999999E-2</v>
      </c>
      <c r="J189" s="67">
        <f>J190+$F$189</f>
        <v>5.2999999999999999E-2</v>
      </c>
      <c r="K189" s="67">
        <f>K190+$F$189</f>
        <v>5.2999999999999999E-2</v>
      </c>
    </row>
    <row r="190" spans="3:19">
      <c r="C190" s="81" t="s">
        <v>83</v>
      </c>
      <c r="E190" s="6"/>
      <c r="F190" s="181" t="s">
        <v>189</v>
      </c>
      <c r="G190" s="66">
        <v>6.2E-2</v>
      </c>
      <c r="H190" s="66">
        <v>6.3E-2</v>
      </c>
      <c r="I190" s="66">
        <v>6.3E-2</v>
      </c>
      <c r="J190" s="27">
        <f>I190</f>
        <v>6.3E-2</v>
      </c>
      <c r="K190" s="27">
        <f>J190</f>
        <v>6.3E-2</v>
      </c>
      <c r="M190" s="5" t="s">
        <v>153</v>
      </c>
    </row>
    <row r="191" spans="3:19">
      <c r="C191" s="81" t="s">
        <v>85</v>
      </c>
      <c r="E191" s="6"/>
      <c r="F191" s="180">
        <v>0.01</v>
      </c>
      <c r="G191" s="27">
        <f>G190+$F$191</f>
        <v>7.1999999999999995E-2</v>
      </c>
      <c r="H191" s="67">
        <f>H190+$F$191</f>
        <v>7.2999999999999995E-2</v>
      </c>
      <c r="I191" s="67">
        <f>I190+$F$191</f>
        <v>7.2999999999999995E-2</v>
      </c>
      <c r="J191" s="67">
        <f>J190+$F$191</f>
        <v>7.2999999999999995E-2</v>
      </c>
      <c r="K191" s="67">
        <f>K190+$F$191</f>
        <v>7.2999999999999995E-2</v>
      </c>
    </row>
    <row r="192" spans="3:19">
      <c r="C192" s="54" t="s">
        <v>234</v>
      </c>
      <c r="E192" s="6"/>
      <c r="F192" s="181"/>
      <c r="G192" s="177"/>
      <c r="H192" s="82"/>
      <c r="I192" s="82"/>
      <c r="J192" s="82"/>
      <c r="K192" s="82"/>
    </row>
    <row r="193" spans="3:13">
      <c r="C193" s="81" t="s">
        <v>84</v>
      </c>
      <c r="E193" s="6"/>
      <c r="F193" s="180">
        <v>-0.01</v>
      </c>
      <c r="G193" s="27">
        <f>G194+$F$193</f>
        <v>6.4000000000000001E-2</v>
      </c>
      <c r="H193" s="67">
        <f>H194+$F$193</f>
        <v>5.9000000000000004E-2</v>
      </c>
      <c r="I193" s="67">
        <f>I194+$F$193</f>
        <v>5.9000000000000004E-2</v>
      </c>
      <c r="J193" s="67">
        <f>J194+$F$193</f>
        <v>5.9000000000000004E-2</v>
      </c>
      <c r="K193" s="67">
        <f>K194+$F$193</f>
        <v>5.9000000000000004E-2</v>
      </c>
    </row>
    <row r="194" spans="3:13">
      <c r="C194" s="81" t="s">
        <v>83</v>
      </c>
      <c r="E194" s="6"/>
      <c r="F194" s="181" t="s">
        <v>189</v>
      </c>
      <c r="G194" s="66">
        <v>7.3999999999999996E-2</v>
      </c>
      <c r="H194" s="66">
        <v>6.9000000000000006E-2</v>
      </c>
      <c r="I194" s="66">
        <v>6.9000000000000006E-2</v>
      </c>
      <c r="J194" s="27">
        <f>I194</f>
        <v>6.9000000000000006E-2</v>
      </c>
      <c r="K194" s="27">
        <f>J194</f>
        <v>6.9000000000000006E-2</v>
      </c>
      <c r="M194" s="5" t="s">
        <v>153</v>
      </c>
    </row>
    <row r="195" spans="3:13" ht="15.75" thickBot="1">
      <c r="C195" s="81" t="s">
        <v>85</v>
      </c>
      <c r="E195" s="6"/>
      <c r="F195" s="182">
        <v>0.01</v>
      </c>
      <c r="G195" s="27">
        <f>G194+$F$195</f>
        <v>8.3999999999999991E-2</v>
      </c>
      <c r="H195" s="67">
        <f>H194+$F$195</f>
        <v>7.9000000000000001E-2</v>
      </c>
      <c r="I195" s="67">
        <f>I194+$F$195</f>
        <v>7.9000000000000001E-2</v>
      </c>
      <c r="J195" s="67">
        <f>J194+$F$195</f>
        <v>7.9000000000000001E-2</v>
      </c>
      <c r="K195" s="67">
        <f>K194+$F$195</f>
        <v>7.9000000000000001E-2</v>
      </c>
    </row>
    <row r="196" spans="3:13">
      <c r="F196" s="6"/>
    </row>
    <row r="197" spans="3:13">
      <c r="C197" s="7" t="s">
        <v>214</v>
      </c>
      <c r="D197" s="7"/>
      <c r="E197" s="7"/>
      <c r="F197" s="7"/>
      <c r="G197" s="7"/>
      <c r="H197" s="7"/>
      <c r="I197" s="7"/>
      <c r="J197" s="7"/>
      <c r="K197" s="7"/>
    </row>
    <row r="198" spans="3:13">
      <c r="C198" s="35" t="str">
        <f>C15</f>
        <v xml:space="preserve">Fiscal year  </v>
      </c>
      <c r="D198" s="30">
        <f>D15</f>
        <v>2016</v>
      </c>
      <c r="E198" s="30">
        <f t="shared" ref="E198:K198" si="30">E15</f>
        <v>2017</v>
      </c>
      <c r="F198" s="30">
        <f t="shared" si="30"/>
        <v>2018</v>
      </c>
      <c r="G198" s="191">
        <f t="shared" si="30"/>
        <v>2019</v>
      </c>
      <c r="H198" s="191">
        <f t="shared" si="30"/>
        <v>2020</v>
      </c>
      <c r="I198" s="191">
        <f t="shared" si="30"/>
        <v>2021</v>
      </c>
      <c r="J198" s="191">
        <f t="shared" si="30"/>
        <v>2022</v>
      </c>
      <c r="K198" s="191">
        <f t="shared" si="30"/>
        <v>2023</v>
      </c>
    </row>
    <row r="199" spans="3:13">
      <c r="C199" s="9" t="str">
        <f>C16</f>
        <v>Fiscal year end date</v>
      </c>
      <c r="D199" s="32">
        <f>D16</f>
        <v>42643</v>
      </c>
      <c r="E199" s="32">
        <f t="shared" ref="E199:K199" si="31">E16</f>
        <v>43008</v>
      </c>
      <c r="F199" s="32">
        <f t="shared" si="31"/>
        <v>43372</v>
      </c>
      <c r="G199" s="192">
        <f t="shared" si="31"/>
        <v>43738</v>
      </c>
      <c r="H199" s="192">
        <f t="shared" si="31"/>
        <v>44104</v>
      </c>
      <c r="I199" s="192">
        <f t="shared" si="31"/>
        <v>44469</v>
      </c>
      <c r="J199" s="192">
        <f t="shared" si="31"/>
        <v>44834</v>
      </c>
      <c r="K199" s="192">
        <f t="shared" si="31"/>
        <v>45199</v>
      </c>
    </row>
    <row r="200" spans="3:13">
      <c r="G200" s="66"/>
      <c r="H200" s="66"/>
      <c r="I200" s="66"/>
      <c r="J200" s="27"/>
      <c r="K200" s="27"/>
    </row>
    <row r="201" spans="3:13">
      <c r="C201" s="5" t="s">
        <v>2</v>
      </c>
      <c r="D201" s="92">
        <f>D29</f>
        <v>45687</v>
      </c>
      <c r="E201" s="92">
        <f t="shared" ref="E201:K201" si="32">E29</f>
        <v>48351</v>
      </c>
      <c r="F201" s="92">
        <f t="shared" si="32"/>
        <v>59531</v>
      </c>
      <c r="G201" s="92">
        <f t="shared" ca="1" si="32"/>
        <v>52298.506097684833</v>
      </c>
      <c r="H201" s="92">
        <f t="shared" ca="1" si="32"/>
        <v>56209.901259754675</v>
      </c>
      <c r="I201" s="92">
        <f t="shared" ca="1" si="32"/>
        <v>59962.520344684504</v>
      </c>
      <c r="J201" s="92">
        <f t="shared" ca="1" si="32"/>
        <v>63778.752555839696</v>
      </c>
      <c r="K201" s="92">
        <f t="shared" ca="1" si="32"/>
        <v>67967.319173978191</v>
      </c>
      <c r="M201" s="5" t="s">
        <v>223</v>
      </c>
    </row>
    <row r="202" spans="3:13">
      <c r="C202" s="5" t="s">
        <v>215</v>
      </c>
      <c r="D202" s="91">
        <v>5470.82</v>
      </c>
      <c r="E202" s="91">
        <v>5217.2420000000002</v>
      </c>
      <c r="F202" s="91">
        <v>4955.3770000000004</v>
      </c>
      <c r="G202" s="92">
        <f ca="1">F202+(-G208+G209)/G210</f>
        <v>4577.9903333333341</v>
      </c>
      <c r="H202" s="92">
        <f t="shared" ref="H202:K202" ca="1" si="33">G202+(-H208+H209)/H210</f>
        <v>4251.3139275362328</v>
      </c>
      <c r="I202" s="92">
        <f t="shared" ca="1" si="33"/>
        <v>3968.822555538753</v>
      </c>
      <c r="J202" s="92">
        <f t="shared" ca="1" si="33"/>
        <v>3724.6420125027594</v>
      </c>
      <c r="K202" s="92">
        <f t="shared" ca="1" si="33"/>
        <v>3513.6721082249628</v>
      </c>
      <c r="M202" s="5" t="s">
        <v>326</v>
      </c>
    </row>
    <row r="203" spans="3:13">
      <c r="C203" s="24" t="s">
        <v>216</v>
      </c>
      <c r="D203" s="245">
        <f t="shared" ref="D203:K203" si="34">D201/D202</f>
        <v>8.3510333003096431</v>
      </c>
      <c r="E203" s="245">
        <f t="shared" si="34"/>
        <v>9.2675402061088974</v>
      </c>
      <c r="F203" s="245">
        <f t="shared" si="34"/>
        <v>12.0134149228202</v>
      </c>
      <c r="G203" s="245">
        <f t="shared" ca="1" si="34"/>
        <v>11.423900508676949</v>
      </c>
      <c r="H203" s="245">
        <f t="shared" ca="1" si="34"/>
        <v>13.221771484734848</v>
      </c>
      <c r="I203" s="245">
        <f t="shared" ca="1" si="34"/>
        <v>15.108390336323518</v>
      </c>
      <c r="J203" s="245">
        <f t="shared" ca="1" si="34"/>
        <v>17.12345839996145</v>
      </c>
      <c r="K203" s="245">
        <f t="shared" ca="1" si="34"/>
        <v>19.343671543761072</v>
      </c>
      <c r="M203" s="5" t="s">
        <v>226</v>
      </c>
    </row>
    <row r="204" spans="3:13">
      <c r="D204" s="3"/>
      <c r="E204" s="3"/>
      <c r="F204" s="3"/>
      <c r="G204" s="34"/>
    </row>
    <row r="205" spans="3:13">
      <c r="C205" s="5" t="s">
        <v>217</v>
      </c>
      <c r="D205" s="91">
        <v>5500.2809999999999</v>
      </c>
      <c r="E205" s="91">
        <v>5251.692</v>
      </c>
      <c r="F205" s="91">
        <v>5000.1090000000004</v>
      </c>
      <c r="G205" s="92">
        <f ca="1">G202+F205-F202</f>
        <v>4622.722333333335</v>
      </c>
      <c r="H205" s="92">
        <f t="shared" ref="H205:K205" ca="1" si="35">H202+G205-G202</f>
        <v>4296.0459275362346</v>
      </c>
      <c r="I205" s="92">
        <f t="shared" ca="1" si="35"/>
        <v>4013.5545555387553</v>
      </c>
      <c r="J205" s="92">
        <f t="shared" ca="1" si="35"/>
        <v>3769.3740125027612</v>
      </c>
      <c r="K205" s="92">
        <f t="shared" ca="1" si="35"/>
        <v>3558.4041082249646</v>
      </c>
      <c r="M205" s="5" t="s">
        <v>227</v>
      </c>
    </row>
    <row r="206" spans="3:13">
      <c r="C206" s="24" t="s">
        <v>218</v>
      </c>
      <c r="D206" s="245">
        <f>D201/D205</f>
        <v>8.3063028961611227</v>
      </c>
      <c r="E206" s="245">
        <f t="shared" ref="E206:F206" si="36">E201/E205</f>
        <v>9.2067470826545037</v>
      </c>
      <c r="F206" s="245">
        <f t="shared" si="36"/>
        <v>11.905940450498179</v>
      </c>
      <c r="G206" s="245">
        <f t="shared" ref="G206" ca="1" si="37">G201/G205</f>
        <v>11.313356573587154</v>
      </c>
      <c r="H206" s="245">
        <f t="shared" ref="H206" ca="1" si="38">H201/H205</f>
        <v>13.084101568716429</v>
      </c>
      <c r="I206" s="245">
        <f t="shared" ref="I206" ca="1" si="39">I201/I205</f>
        <v>14.940003808328823</v>
      </c>
      <c r="J206" s="245">
        <f t="shared" ref="J206" ca="1" si="40">J201/J205</f>
        <v>16.92025050957794</v>
      </c>
      <c r="K206" s="245">
        <f t="shared" ref="K206" ca="1" si="41">K201/K205</f>
        <v>19.100506043390968</v>
      </c>
      <c r="M206" s="5" t="s">
        <v>228</v>
      </c>
    </row>
    <row r="207" spans="3:13">
      <c r="G207" s="243"/>
    </row>
    <row r="208" spans="3:13">
      <c r="C208" s="5" t="s">
        <v>224</v>
      </c>
      <c r="G208" s="92">
        <f>-(G119)</f>
        <v>73056</v>
      </c>
      <c r="H208" s="92">
        <f>-(H119)</f>
        <v>73056</v>
      </c>
      <c r="I208" s="92">
        <f>-(I119)</f>
        <v>73056</v>
      </c>
      <c r="J208" s="92">
        <f>-(J119)</f>
        <v>73056</v>
      </c>
      <c r="K208" s="92">
        <f>-(K119)</f>
        <v>73056</v>
      </c>
      <c r="M208" s="5" t="s">
        <v>221</v>
      </c>
    </row>
    <row r="209" spans="3:13" ht="15" customHeight="1">
      <c r="C209" s="5" t="s">
        <v>225</v>
      </c>
      <c r="G209" s="451">
        <f ca="1">G33</f>
        <v>5126.3999999999996</v>
      </c>
      <c r="H209" s="451">
        <f ca="1">H33</f>
        <v>5433.9839999999995</v>
      </c>
      <c r="I209" s="451">
        <f ca="1">I33</f>
        <v>5808.9288959999994</v>
      </c>
      <c r="J209" s="451">
        <f ca="1">J33</f>
        <v>6209.7449898239993</v>
      </c>
      <c r="K209" s="451">
        <f ca="1">K33</f>
        <v>6638.2173941218552</v>
      </c>
      <c r="M209" s="5" t="s">
        <v>222</v>
      </c>
    </row>
    <row r="210" spans="3:13">
      <c r="C210" s="5" t="s">
        <v>220</v>
      </c>
      <c r="G210" s="246">
        <v>180</v>
      </c>
      <c r="H210" s="247">
        <f>G210*(1+H211)</f>
        <v>206.99999999999997</v>
      </c>
      <c r="I210" s="247">
        <f>H210*(1+I211)</f>
        <v>238.04999999999995</v>
      </c>
      <c r="J210" s="247">
        <f>I210*(1+J211)</f>
        <v>273.75749999999994</v>
      </c>
      <c r="K210" s="247">
        <f>J210*(1+K211)</f>
        <v>314.82112499999988</v>
      </c>
      <c r="M210" s="5" t="s">
        <v>229</v>
      </c>
    </row>
    <row r="211" spans="3:13">
      <c r="C211" s="5" t="s">
        <v>219</v>
      </c>
      <c r="H211" s="244">
        <v>0.15</v>
      </c>
      <c r="I211" s="244">
        <v>0.15</v>
      </c>
      <c r="J211" s="244">
        <v>0.15</v>
      </c>
      <c r="K211" s="244">
        <v>0.15</v>
      </c>
      <c r="M211" s="5" t="s">
        <v>327</v>
      </c>
    </row>
    <row r="212" spans="3:13" ht="15.75" thickBot="1">
      <c r="C212" s="533" t="s">
        <v>328</v>
      </c>
      <c r="D212" s="76"/>
      <c r="E212" s="76"/>
      <c r="F212" s="76"/>
      <c r="G212" s="76"/>
      <c r="H212" s="76"/>
      <c r="I212" s="76"/>
      <c r="J212" s="76"/>
      <c r="K212" s="76"/>
    </row>
    <row r="213" spans="3:13">
      <c r="C213" s="19" t="s">
        <v>295</v>
      </c>
      <c r="D213" s="19"/>
      <c r="E213" s="19"/>
      <c r="F213" s="449" t="s">
        <v>303</v>
      </c>
      <c r="G213" s="532">
        <f>D11</f>
        <v>4745.3980000000001</v>
      </c>
      <c r="H213" s="146">
        <f ca="1">G215</f>
        <v>4368.0113333333338</v>
      </c>
      <c r="I213" s="146">
        <f t="shared" ref="I213:K213" ca="1" si="42">H215</f>
        <v>4041.3349275362325</v>
      </c>
      <c r="J213" s="146">
        <f t="shared" ca="1" si="42"/>
        <v>3758.8435555387528</v>
      </c>
      <c r="K213" s="146">
        <f t="shared" ca="1" si="42"/>
        <v>3514.6630125027591</v>
      </c>
      <c r="M213" s="5" t="s">
        <v>304</v>
      </c>
    </row>
    <row r="214" spans="3:13">
      <c r="C214" s="5" t="s">
        <v>296</v>
      </c>
      <c r="G214" s="143">
        <f ca="1">(-G208+G209)/G210</f>
        <v>-377.38666666666671</v>
      </c>
      <c r="H214" s="92">
        <f t="shared" ref="H214:K214" ca="1" si="43">(-H208+H209)/H210</f>
        <v>-326.67640579710149</v>
      </c>
      <c r="I214" s="92">
        <f t="shared" ca="1" si="43"/>
        <v>-282.49137199747958</v>
      </c>
      <c r="J214" s="92">
        <f t="shared" ca="1" si="43"/>
        <v>-244.18054303599359</v>
      </c>
      <c r="K214" s="92">
        <f t="shared" ca="1" si="43"/>
        <v>-210.96990427779639</v>
      </c>
      <c r="M214" s="5" t="s">
        <v>305</v>
      </c>
    </row>
    <row r="215" spans="3:13">
      <c r="C215" s="5" t="s">
        <v>297</v>
      </c>
      <c r="G215" s="92">
        <f ca="1">SUM(G213:G214)</f>
        <v>4368.0113333333338</v>
      </c>
      <c r="H215" s="92">
        <f t="shared" ref="H215:K215" ca="1" si="44">SUM(H213:H214)</f>
        <v>4041.3349275362325</v>
      </c>
      <c r="I215" s="92">
        <f t="shared" ca="1" si="44"/>
        <v>3758.8435555387528</v>
      </c>
      <c r="J215" s="92">
        <f t="shared" ca="1" si="44"/>
        <v>3514.6630125027591</v>
      </c>
      <c r="K215" s="92">
        <f t="shared" ca="1" si="44"/>
        <v>3303.6931082249625</v>
      </c>
      <c r="M215" s="5" t="s">
        <v>306</v>
      </c>
    </row>
    <row r="216" spans="3:13">
      <c r="C216" s="24" t="s">
        <v>298</v>
      </c>
      <c r="D216" s="24"/>
      <c r="E216" s="24"/>
      <c r="F216" s="24"/>
      <c r="G216" s="147">
        <f ca="1">AVERAGE(G215,G213)</f>
        <v>4556.7046666666665</v>
      </c>
      <c r="H216" s="147">
        <f t="shared" ref="H216:K216" ca="1" si="45">AVERAGE(H215,H213)</f>
        <v>4204.6731304347832</v>
      </c>
      <c r="I216" s="147">
        <f t="shared" ca="1" si="45"/>
        <v>3900.0892415374929</v>
      </c>
      <c r="J216" s="147">
        <f t="shared" ca="1" si="45"/>
        <v>3636.7532840207559</v>
      </c>
      <c r="K216" s="147">
        <f t="shared" ca="1" si="45"/>
        <v>3409.1780603638608</v>
      </c>
      <c r="M216" s="5" t="s">
        <v>307</v>
      </c>
    </row>
    <row r="217" spans="3:13" ht="15.75" thickBot="1">
      <c r="C217" s="533" t="s">
        <v>329</v>
      </c>
      <c r="D217" s="76"/>
      <c r="E217" s="76"/>
      <c r="F217" s="76"/>
      <c r="G217" s="76"/>
      <c r="H217" s="76"/>
      <c r="I217" s="76"/>
      <c r="J217" s="76"/>
      <c r="K217" s="76"/>
      <c r="M217" s="25"/>
    </row>
    <row r="218" spans="3:13">
      <c r="C218" s="24" t="s">
        <v>2</v>
      </c>
      <c r="D218" s="147">
        <f>D29</f>
        <v>45687</v>
      </c>
      <c r="E218" s="147">
        <f t="shared" ref="E218:K218" si="46">E29</f>
        <v>48351</v>
      </c>
      <c r="F218" s="147">
        <f t="shared" si="46"/>
        <v>59531</v>
      </c>
      <c r="G218" s="147">
        <f t="shared" ca="1" si="46"/>
        <v>52298.506097684833</v>
      </c>
      <c r="H218" s="147">
        <f t="shared" ca="1" si="46"/>
        <v>56209.901259754675</v>
      </c>
      <c r="I218" s="147">
        <f t="shared" ca="1" si="46"/>
        <v>59962.520344684504</v>
      </c>
      <c r="J218" s="147">
        <f t="shared" ca="1" si="46"/>
        <v>63778.752555839696</v>
      </c>
      <c r="K218" s="147">
        <f t="shared" ca="1" si="46"/>
        <v>67967.319173978191</v>
      </c>
      <c r="M218" s="5" t="s">
        <v>309</v>
      </c>
    </row>
    <row r="219" spans="3:13">
      <c r="C219" s="211" t="s">
        <v>299</v>
      </c>
      <c r="E219" s="447">
        <f>E218/D218-1</f>
        <v>5.830980366406191E-2</v>
      </c>
      <c r="F219" s="448">
        <f t="shared" ref="F219:K219" si="47">F218/E218-1</f>
        <v>0.23122582780087275</v>
      </c>
      <c r="G219" s="448">
        <f t="shared" ca="1" si="47"/>
        <v>-0.12149122141934732</v>
      </c>
      <c r="H219" s="448">
        <f t="shared" ca="1" si="47"/>
        <v>7.4789806706218487E-2</v>
      </c>
      <c r="I219" s="448">
        <f t="shared" ca="1" si="47"/>
        <v>6.6760819727976317E-2</v>
      </c>
      <c r="J219" s="448">
        <f t="shared" ca="1" si="47"/>
        <v>6.364362587193173E-2</v>
      </c>
      <c r="K219" s="448">
        <f t="shared" ca="1" si="47"/>
        <v>6.5673385732518241E-2</v>
      </c>
      <c r="M219" s="5" t="s">
        <v>310</v>
      </c>
    </row>
    <row r="222" spans="3:13">
      <c r="G222" s="243"/>
    </row>
  </sheetData>
  <conditionalFormatting sqref="C40">
    <cfRule type="expression" dxfId="15" priority="3">
      <formula>#REF!=$C40</formula>
    </cfRule>
  </conditionalFormatting>
  <conditionalFormatting sqref="C192">
    <cfRule type="expression" dxfId="14" priority="2">
      <formula>#REF!=$C192</formula>
    </cfRule>
  </conditionalFormatting>
  <conditionalFormatting sqref="C178">
    <cfRule type="expression" dxfId="13" priority="1">
      <formula>#REF!=$C178</formula>
    </cfRule>
  </conditionalFormatting>
  <dataValidations disablePrompts="1" count="3">
    <dataValidation type="list" allowBlank="1" showInputMessage="1" showErrorMessage="1" sqref="D7" xr:uid="{B45F508E-62FE-4C13-BDC4-DAF07368D71A}">
      <formula1>"0,1"</formula1>
    </dataValidation>
    <dataValidation type="list" allowBlank="1" showInputMessage="1" showErrorMessage="1" sqref="D12" xr:uid="{85F5158F-6614-4C45-896B-851B10B36308}">
      <formula1>$C$181:$C$183</formula1>
    </dataValidation>
    <dataValidation type="list" allowBlank="1" showInputMessage="1" showErrorMessage="1" sqref="C3" xr:uid="{1054AA75-E00E-4B70-B00A-97007A761817}">
      <formula1>"$ bns except per share, $ mm except per share,$ in thousands except per share"</formula1>
    </dataValidation>
  </dataValidations>
  <pageMargins left="0.7" right="0.7" top="0.75" bottom="0.75" header="0.3" footer="0.3"/>
  <pageSetup scale="22"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EBC2-84C1-4651-BE38-B755EBB141F9}">
  <sheetPr>
    <pageSetUpPr fitToPage="1"/>
  </sheetPr>
  <dimension ref="A2:R54"/>
  <sheetViews>
    <sheetView zoomScaleNormal="100" workbookViewId="0">
      <selection activeCell="E21" sqref="E21"/>
    </sheetView>
  </sheetViews>
  <sheetFormatPr defaultRowHeight="15"/>
  <cols>
    <col min="1" max="2" width="1.7109375" style="5" customWidth="1"/>
    <col min="3" max="3" width="27.42578125" customWidth="1"/>
    <col min="6" max="6" width="11.42578125" customWidth="1"/>
    <col min="7" max="11" width="10.85546875" customWidth="1"/>
    <col min="12" max="12" width="2.5703125" customWidth="1"/>
    <col min="14" max="14" width="29.5703125" bestFit="1" customWidth="1"/>
    <col min="15" max="19" width="9" customWidth="1"/>
  </cols>
  <sheetData>
    <row r="2" spans="3:18">
      <c r="C2" s="7" t="s">
        <v>199</v>
      </c>
      <c r="D2" s="8"/>
      <c r="E2" s="9"/>
      <c r="F2" s="9"/>
      <c r="G2" s="9"/>
      <c r="H2" s="9"/>
      <c r="I2" s="9"/>
      <c r="J2" s="9"/>
      <c r="K2" s="9"/>
    </row>
    <row r="3" spans="3:18">
      <c r="C3" s="6" t="str">
        <f>'Extras Complete'!C15</f>
        <v xml:space="preserve">Fiscal year  </v>
      </c>
      <c r="D3" s="30">
        <f>'Extras Complete'!D15</f>
        <v>2016</v>
      </c>
      <c r="E3" s="30">
        <f>'Extras Complete'!E15</f>
        <v>2017</v>
      </c>
      <c r="F3" s="30">
        <f>'Extras Complete'!F15</f>
        <v>2018</v>
      </c>
      <c r="G3" s="31">
        <f>'Extras Complete'!G15</f>
        <v>2019</v>
      </c>
      <c r="H3" s="31">
        <f>'Extras Complete'!H15</f>
        <v>2020</v>
      </c>
      <c r="I3" s="31">
        <f>'Extras Complete'!I15</f>
        <v>2021</v>
      </c>
      <c r="J3" s="31">
        <f>'Extras Complete'!J15</f>
        <v>2022</v>
      </c>
      <c r="K3" s="31">
        <f>'Extras Complete'!K15</f>
        <v>2023</v>
      </c>
    </row>
    <row r="4" spans="3:18">
      <c r="C4" s="14" t="str">
        <f>'Extras Complete'!C16</f>
        <v>Fiscal year end date</v>
      </c>
      <c r="D4" s="236">
        <f>'Extras Complete'!D16</f>
        <v>42643</v>
      </c>
      <c r="E4" s="236">
        <f>'Extras Complete'!E16</f>
        <v>43008</v>
      </c>
      <c r="F4" s="236">
        <f>'Extras Complete'!F16</f>
        <v>43372</v>
      </c>
      <c r="G4" s="236">
        <f>'Extras Complete'!G16</f>
        <v>43738</v>
      </c>
      <c r="H4" s="236">
        <f>'Extras Complete'!H16</f>
        <v>44104</v>
      </c>
      <c r="I4" s="236">
        <f>'Extras Complete'!I16</f>
        <v>44469</v>
      </c>
      <c r="J4" s="236">
        <f>'Extras Complete'!J16</f>
        <v>44834</v>
      </c>
      <c r="K4" s="236">
        <f>'Extras Complete'!K16</f>
        <v>45199</v>
      </c>
    </row>
    <row r="5" spans="3:18" ht="15" customHeight="1">
      <c r="C5" s="237" t="s">
        <v>209</v>
      </c>
      <c r="D5" s="238"/>
      <c r="E5" s="238"/>
      <c r="F5" s="238"/>
      <c r="G5" s="238"/>
      <c r="H5" s="238"/>
      <c r="I5" s="238"/>
      <c r="J5" s="238"/>
      <c r="K5" s="238"/>
    </row>
    <row r="6" spans="3:18" ht="15" customHeight="1">
      <c r="C6" s="239" t="s">
        <v>211</v>
      </c>
      <c r="D6" s="131"/>
      <c r="E6" s="131"/>
      <c r="F6" s="254"/>
      <c r="G6" s="131"/>
      <c r="H6" s="131"/>
      <c r="I6" s="131"/>
      <c r="J6" s="131"/>
      <c r="K6" s="254"/>
    </row>
    <row r="7" spans="3:18" ht="15" customHeight="1">
      <c r="C7" s="26" t="s">
        <v>194</v>
      </c>
      <c r="D7" s="418"/>
      <c r="E7" s="418"/>
      <c r="F7" s="536"/>
      <c r="G7" s="141"/>
      <c r="H7" s="141"/>
      <c r="I7" s="141"/>
      <c r="J7" s="141"/>
      <c r="K7" s="141"/>
      <c r="L7" s="217"/>
      <c r="O7" s="215"/>
      <c r="P7" s="215"/>
      <c r="Q7" s="62"/>
      <c r="R7" s="62"/>
    </row>
    <row r="8" spans="3:18" ht="15" customHeight="1">
      <c r="C8" s="211" t="s">
        <v>195</v>
      </c>
      <c r="D8" s="418"/>
      <c r="E8" s="418"/>
      <c r="F8" s="536"/>
      <c r="G8" s="141"/>
      <c r="H8" s="141"/>
      <c r="I8" s="141"/>
      <c r="J8" s="141"/>
      <c r="K8" s="141"/>
      <c r="L8" s="217"/>
      <c r="O8" s="62"/>
      <c r="P8" s="62"/>
      <c r="Q8" s="62"/>
      <c r="R8" s="62"/>
    </row>
    <row r="9" spans="3:18" ht="15" customHeight="1">
      <c r="C9" s="211" t="s">
        <v>196</v>
      </c>
      <c r="D9" s="418"/>
      <c r="E9" s="418"/>
      <c r="F9" s="536"/>
      <c r="G9" s="141"/>
      <c r="H9" s="141"/>
      <c r="I9" s="141"/>
      <c r="J9" s="141"/>
      <c r="K9" s="141"/>
      <c r="L9" s="217"/>
      <c r="O9" s="62"/>
      <c r="P9" s="62"/>
      <c r="Q9" s="62"/>
      <c r="R9" s="62"/>
    </row>
    <row r="10" spans="3:18">
      <c r="C10" s="211"/>
      <c r="D10" s="90"/>
      <c r="E10" s="90"/>
      <c r="F10" s="255"/>
      <c r="G10" s="18"/>
      <c r="H10" s="18"/>
      <c r="I10" s="18"/>
      <c r="J10" s="18"/>
      <c r="K10" s="258"/>
      <c r="L10" s="217"/>
      <c r="O10" s="62"/>
      <c r="P10" s="62"/>
      <c r="Q10" s="62"/>
      <c r="R10" s="62"/>
    </row>
    <row r="11" spans="3:18">
      <c r="C11" s="211" t="s">
        <v>200</v>
      </c>
      <c r="D11" s="91"/>
      <c r="E11" s="91"/>
      <c r="F11" s="454"/>
      <c r="G11" s="417"/>
      <c r="H11" s="417"/>
      <c r="I11" s="417"/>
      <c r="J11" s="417"/>
      <c r="K11" s="417"/>
      <c r="L11" s="217"/>
      <c r="M11" t="s">
        <v>313</v>
      </c>
      <c r="O11" s="62"/>
      <c r="P11" s="62"/>
      <c r="Q11" s="62"/>
      <c r="R11" s="62"/>
    </row>
    <row r="12" spans="3:18">
      <c r="C12" s="211" t="s">
        <v>201</v>
      </c>
      <c r="D12" s="91"/>
      <c r="E12" s="91"/>
      <c r="F12" s="454"/>
      <c r="G12" s="417"/>
      <c r="H12" s="417"/>
      <c r="I12" s="417"/>
      <c r="J12" s="417"/>
      <c r="K12" s="417"/>
      <c r="L12" s="217"/>
      <c r="M12" t="s">
        <v>313</v>
      </c>
      <c r="O12" s="62"/>
      <c r="P12" s="62"/>
    </row>
    <row r="13" spans="3:18">
      <c r="C13" s="24" t="s">
        <v>210</v>
      </c>
      <c r="D13" s="142"/>
      <c r="E13" s="142"/>
      <c r="F13" s="537"/>
      <c r="G13" s="142"/>
      <c r="H13" s="144"/>
      <c r="I13" s="144"/>
      <c r="J13" s="144"/>
      <c r="K13" s="537"/>
      <c r="L13" s="217"/>
    </row>
    <row r="14" spans="3:18">
      <c r="C14" s="212" t="s">
        <v>197</v>
      </c>
      <c r="D14" s="6"/>
      <c r="E14" s="249"/>
      <c r="F14" s="465"/>
      <c r="G14" s="249"/>
      <c r="H14" s="249"/>
      <c r="I14" s="249"/>
      <c r="J14" s="249"/>
      <c r="K14" s="465"/>
      <c r="L14" s="217"/>
      <c r="P14" s="62"/>
      <c r="Q14" s="62"/>
      <c r="R14" s="62"/>
    </row>
    <row r="15" spans="3:18">
      <c r="C15" s="212"/>
      <c r="D15" s="5"/>
      <c r="E15" s="4"/>
      <c r="F15" s="108"/>
      <c r="G15" s="80"/>
      <c r="H15" s="80"/>
      <c r="I15" s="80"/>
      <c r="J15" s="80"/>
      <c r="K15" s="108"/>
      <c r="L15" s="217"/>
      <c r="P15" s="62"/>
      <c r="Q15" s="62"/>
      <c r="R15" s="62"/>
    </row>
    <row r="16" spans="3:18">
      <c r="C16" s="233" t="s">
        <v>198</v>
      </c>
      <c r="D16" s="101"/>
      <c r="E16" s="101"/>
      <c r="F16" s="235"/>
      <c r="G16" s="101"/>
      <c r="H16" s="101"/>
      <c r="I16" s="101"/>
      <c r="J16" s="101"/>
      <c r="K16" s="235"/>
      <c r="L16" s="217"/>
      <c r="P16" s="62"/>
      <c r="Q16" s="62"/>
      <c r="R16" s="62"/>
    </row>
    <row r="17" spans="3:17">
      <c r="C17" s="26" t="s">
        <v>194</v>
      </c>
      <c r="D17" s="417"/>
      <c r="E17" s="417"/>
      <c r="F17" s="454"/>
      <c r="G17" s="455"/>
      <c r="H17" s="455"/>
      <c r="I17" s="455"/>
      <c r="J17" s="455"/>
      <c r="K17" s="455"/>
      <c r="L17" s="217"/>
      <c r="M17" t="s">
        <v>206</v>
      </c>
    </row>
    <row r="18" spans="3:17">
      <c r="C18" s="211" t="s">
        <v>195</v>
      </c>
      <c r="D18" s="91"/>
      <c r="E18" s="91"/>
      <c r="F18" s="454"/>
      <c r="G18" s="417"/>
      <c r="H18" s="417"/>
      <c r="I18" s="417"/>
      <c r="J18" s="417"/>
      <c r="K18" s="417"/>
      <c r="L18" s="217"/>
      <c r="M18" t="s">
        <v>206</v>
      </c>
    </row>
    <row r="19" spans="3:17">
      <c r="C19" s="211" t="s">
        <v>196</v>
      </c>
      <c r="D19" s="91"/>
      <c r="E19" s="91"/>
      <c r="F19" s="454"/>
      <c r="G19" s="455"/>
      <c r="H19" s="455"/>
      <c r="I19" s="455"/>
      <c r="J19" s="455"/>
      <c r="K19" s="455"/>
      <c r="L19" s="217"/>
      <c r="M19" t="s">
        <v>206</v>
      </c>
    </row>
    <row r="20" spans="3:17">
      <c r="F20" s="220"/>
      <c r="K20" s="220"/>
    </row>
    <row r="21" spans="3:17">
      <c r="C21" s="233" t="s">
        <v>203</v>
      </c>
      <c r="D21" s="101"/>
      <c r="E21" s="101"/>
      <c r="F21" s="107"/>
      <c r="G21" s="102"/>
      <c r="H21" s="101"/>
      <c r="I21" s="101"/>
      <c r="J21" s="101"/>
      <c r="K21" s="235"/>
      <c r="L21" s="217"/>
      <c r="P21" s="62"/>
    </row>
    <row r="22" spans="3:17">
      <c r="C22" s="26" t="s">
        <v>194</v>
      </c>
      <c r="D22" s="242"/>
      <c r="E22" s="242"/>
      <c r="F22" s="452"/>
      <c r="G22" s="456"/>
      <c r="H22" s="457"/>
      <c r="I22" s="457"/>
      <c r="J22" s="457"/>
      <c r="K22" s="457"/>
      <c r="L22" s="217"/>
      <c r="M22" t="s">
        <v>206</v>
      </c>
      <c r="P22" s="62"/>
    </row>
    <row r="23" spans="3:17">
      <c r="C23" s="211" t="s">
        <v>195</v>
      </c>
      <c r="D23" s="242"/>
      <c r="E23" s="242"/>
      <c r="F23" s="256"/>
      <c r="G23" s="457"/>
      <c r="H23" s="457"/>
      <c r="I23" s="457"/>
      <c r="J23" s="457"/>
      <c r="K23" s="457"/>
      <c r="L23" s="217"/>
      <c r="M23" t="s">
        <v>206</v>
      </c>
      <c r="Q23" s="215"/>
    </row>
    <row r="24" spans="3:17">
      <c r="C24" s="211" t="s">
        <v>196</v>
      </c>
      <c r="D24" s="242"/>
      <c r="E24" s="242"/>
      <c r="F24" s="256"/>
      <c r="G24" s="457"/>
      <c r="H24" s="457"/>
      <c r="I24" s="457"/>
      <c r="J24" s="457"/>
      <c r="K24" s="457"/>
      <c r="L24" s="217"/>
      <c r="M24" t="s">
        <v>206</v>
      </c>
    </row>
    <row r="25" spans="3:17">
      <c r="C25" s="211"/>
      <c r="D25" s="213"/>
      <c r="E25" s="213"/>
      <c r="F25" s="257"/>
      <c r="G25" s="222"/>
      <c r="H25" s="222"/>
      <c r="I25" s="222"/>
      <c r="J25" s="222"/>
      <c r="K25" s="223"/>
      <c r="L25" s="217"/>
    </row>
    <row r="26" spans="3:17">
      <c r="C26" s="233" t="s">
        <v>202</v>
      </c>
      <c r="D26" s="101"/>
      <c r="E26" s="101"/>
      <c r="F26" s="235"/>
      <c r="G26" s="101"/>
      <c r="H26" s="101"/>
      <c r="I26" s="101"/>
      <c r="J26" s="101"/>
      <c r="K26" s="235"/>
      <c r="L26" s="217"/>
      <c r="P26" s="62"/>
    </row>
    <row r="27" spans="3:17">
      <c r="C27" s="26" t="s">
        <v>194</v>
      </c>
      <c r="D27" s="216"/>
      <c r="E27" s="134"/>
      <c r="F27" s="134"/>
      <c r="G27" s="458"/>
      <c r="H27" s="134"/>
      <c r="I27" s="134"/>
      <c r="J27" s="134"/>
      <c r="K27" s="459"/>
      <c r="L27" s="217"/>
    </row>
    <row r="28" spans="3:17">
      <c r="C28" s="211" t="s">
        <v>195</v>
      </c>
      <c r="E28" s="460"/>
      <c r="F28" s="134"/>
      <c r="G28" s="458"/>
      <c r="H28" s="134"/>
      <c r="I28" s="134"/>
      <c r="J28" s="134"/>
      <c r="K28" s="459"/>
      <c r="L28" s="217"/>
    </row>
    <row r="29" spans="3:17">
      <c r="C29" s="211" t="s">
        <v>196</v>
      </c>
      <c r="D29" s="90"/>
      <c r="E29" s="460"/>
      <c r="F29" s="134"/>
      <c r="G29" s="458"/>
      <c r="H29" s="134"/>
      <c r="I29" s="134"/>
      <c r="J29" s="134"/>
      <c r="K29" s="459"/>
      <c r="L29" s="217"/>
    </row>
    <row r="30" spans="3:17" ht="15" customHeight="1">
      <c r="C30" s="212"/>
      <c r="D30" s="5"/>
      <c r="E30" s="5"/>
      <c r="F30" s="6"/>
      <c r="G30" s="105"/>
      <c r="H30" s="6"/>
      <c r="I30" s="6"/>
      <c r="J30" s="6"/>
      <c r="K30" s="107"/>
      <c r="L30" s="217"/>
      <c r="P30" s="453"/>
      <c r="Q30" s="62"/>
    </row>
    <row r="31" spans="3:17">
      <c r="C31" s="24" t="s">
        <v>204</v>
      </c>
      <c r="F31" s="217"/>
      <c r="G31" s="219"/>
      <c r="H31" s="217"/>
      <c r="I31" s="217"/>
      <c r="J31" s="217"/>
      <c r="K31" s="220"/>
      <c r="L31" s="217"/>
    </row>
    <row r="32" spans="3:17">
      <c r="C32" s="211" t="s">
        <v>194</v>
      </c>
      <c r="D32" s="214"/>
      <c r="E32" s="460"/>
      <c r="F32" s="134"/>
      <c r="G32" s="458"/>
      <c r="H32" s="134"/>
      <c r="I32" s="134"/>
      <c r="J32" s="134"/>
      <c r="K32" s="459"/>
      <c r="L32" s="217"/>
    </row>
    <row r="33" spans="3:18">
      <c r="C33" s="211" t="s">
        <v>195</v>
      </c>
      <c r="D33" s="214"/>
      <c r="E33" s="460"/>
      <c r="F33" s="134"/>
      <c r="G33" s="458"/>
      <c r="H33" s="134"/>
      <c r="I33" s="134"/>
      <c r="J33" s="134"/>
      <c r="K33" s="459"/>
      <c r="L33" s="217"/>
    </row>
    <row r="34" spans="3:18">
      <c r="C34" s="211" t="s">
        <v>196</v>
      </c>
      <c r="D34" s="214"/>
      <c r="E34" s="460"/>
      <c r="F34" s="134"/>
      <c r="G34" s="458"/>
      <c r="H34" s="134"/>
      <c r="I34" s="134"/>
      <c r="J34" s="134"/>
      <c r="K34" s="459"/>
      <c r="L34" s="217"/>
    </row>
    <row r="35" spans="3:18">
      <c r="F35" s="217"/>
      <c r="G35" s="219"/>
      <c r="H35" s="217"/>
      <c r="I35" s="217"/>
      <c r="J35" s="217"/>
      <c r="K35" s="220"/>
      <c r="L35" s="217"/>
      <c r="Q35" s="62"/>
      <c r="R35" s="62"/>
    </row>
    <row r="36" spans="3:18">
      <c r="C36" s="232" t="s">
        <v>208</v>
      </c>
      <c r="F36" s="217"/>
      <c r="G36" s="219"/>
      <c r="H36" s="217"/>
      <c r="I36" s="217"/>
      <c r="J36" s="217"/>
      <c r="K36" s="220"/>
      <c r="L36" s="217"/>
    </row>
    <row r="37" spans="3:18">
      <c r="C37" s="211" t="s">
        <v>194</v>
      </c>
      <c r="E37" s="367"/>
      <c r="F37" s="347"/>
      <c r="G37" s="461"/>
      <c r="H37" s="347"/>
      <c r="I37" s="347"/>
      <c r="J37" s="347"/>
      <c r="K37" s="462"/>
      <c r="L37" s="217"/>
    </row>
    <row r="38" spans="3:18">
      <c r="C38" s="211" t="s">
        <v>195</v>
      </c>
      <c r="E38" s="367"/>
      <c r="F38" s="347"/>
      <c r="G38" s="461"/>
      <c r="H38" s="347"/>
      <c r="I38" s="347"/>
      <c r="J38" s="347"/>
      <c r="K38" s="462"/>
      <c r="L38" s="217"/>
    </row>
    <row r="39" spans="3:18">
      <c r="C39" s="211" t="s">
        <v>196</v>
      </c>
      <c r="E39" s="367"/>
      <c r="F39" s="347"/>
      <c r="G39" s="461"/>
      <c r="H39" s="347"/>
      <c r="I39" s="347"/>
      <c r="J39" s="347"/>
      <c r="K39" s="462"/>
      <c r="L39" s="217"/>
    </row>
    <row r="40" spans="3:18">
      <c r="C40" s="211" t="s">
        <v>200</v>
      </c>
      <c r="D40" s="4"/>
      <c r="E40" s="448"/>
      <c r="F40" s="463"/>
      <c r="G40" s="464"/>
      <c r="H40" s="422"/>
      <c r="I40" s="422"/>
      <c r="J40" s="422"/>
      <c r="K40" s="422"/>
      <c r="L40" s="217"/>
      <c r="M40" t="s">
        <v>207</v>
      </c>
    </row>
    <row r="41" spans="3:18">
      <c r="C41" s="211" t="s">
        <v>201</v>
      </c>
      <c r="D41" s="4"/>
      <c r="E41" s="448"/>
      <c r="F41" s="463"/>
      <c r="G41" s="464"/>
      <c r="H41" s="422"/>
      <c r="I41" s="422"/>
      <c r="J41" s="422"/>
      <c r="K41" s="422"/>
      <c r="L41" s="217"/>
      <c r="M41" t="s">
        <v>207</v>
      </c>
    </row>
    <row r="42" spans="3:18">
      <c r="G42" s="217"/>
      <c r="H42" s="217"/>
      <c r="I42" s="217"/>
      <c r="J42" s="217"/>
      <c r="K42" s="217"/>
    </row>
    <row r="43" spans="3:18">
      <c r="M43" s="240"/>
    </row>
    <row r="44" spans="3:18">
      <c r="M44" s="240"/>
    </row>
    <row r="45" spans="3:18">
      <c r="M45" s="240"/>
    </row>
    <row r="46" spans="3:18">
      <c r="M46" s="240"/>
    </row>
    <row r="47" spans="3:18" ht="15" customHeight="1"/>
    <row r="49" ht="15" customHeight="1"/>
    <row r="50" ht="15" customHeight="1"/>
    <row r="52" ht="15" customHeight="1"/>
    <row r="53" ht="15" customHeight="1"/>
    <row r="54" ht="15.75" customHeight="1"/>
  </sheetData>
  <pageMargins left="0.7" right="0.7" top="0.75" bottom="0.75" header="0.3" footer="0.3"/>
  <pageSetup scale="50" fitToHeight="0"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2B553-EEAE-44F7-8810-4E228EFAC781}">
  <sheetPr>
    <pageSetUpPr fitToPage="1"/>
  </sheetPr>
  <dimension ref="A2:R54"/>
  <sheetViews>
    <sheetView zoomScaleNormal="100" workbookViewId="0">
      <selection activeCell="D7" sqref="D7:F9"/>
    </sheetView>
  </sheetViews>
  <sheetFormatPr defaultRowHeight="15"/>
  <cols>
    <col min="1" max="2" width="1.7109375" style="5" customWidth="1"/>
    <col min="3" max="3" width="27.42578125" customWidth="1"/>
    <col min="6" max="6" width="11.42578125" customWidth="1"/>
    <col min="7" max="11" width="10.85546875" customWidth="1"/>
    <col min="12" max="12" width="2.5703125" customWidth="1"/>
    <col min="14" max="14" width="29.5703125" bestFit="1" customWidth="1"/>
    <col min="15" max="15" width="12.42578125" bestFit="1" customWidth="1"/>
    <col min="16" max="16" width="10" bestFit="1" customWidth="1"/>
  </cols>
  <sheetData>
    <row r="2" spans="3:17">
      <c r="C2" s="7" t="s">
        <v>199</v>
      </c>
      <c r="D2" s="8"/>
      <c r="E2" s="9"/>
      <c r="F2" s="9"/>
      <c r="G2" s="9"/>
      <c r="H2" s="9"/>
      <c r="I2" s="9"/>
      <c r="J2" s="9"/>
      <c r="K2" s="9"/>
    </row>
    <row r="3" spans="3:17">
      <c r="C3" s="6" t="str">
        <f>'Extras Complete'!C15</f>
        <v xml:space="preserve">Fiscal year  </v>
      </c>
      <c r="D3" s="30">
        <f>'Extras Complete'!D15</f>
        <v>2016</v>
      </c>
      <c r="E3" s="30">
        <f>'Extras Complete'!E15</f>
        <v>2017</v>
      </c>
      <c r="F3" s="30">
        <f>'Extras Complete'!F15</f>
        <v>2018</v>
      </c>
      <c r="G3" s="31">
        <f>'Extras Complete'!G15</f>
        <v>2019</v>
      </c>
      <c r="H3" s="31">
        <f>'Extras Complete'!H15</f>
        <v>2020</v>
      </c>
      <c r="I3" s="31">
        <f>'Extras Complete'!I15</f>
        <v>2021</v>
      </c>
      <c r="J3" s="31">
        <f>'Extras Complete'!J15</f>
        <v>2022</v>
      </c>
      <c r="K3" s="31">
        <f>'Extras Complete'!K15</f>
        <v>2023</v>
      </c>
    </row>
    <row r="4" spans="3:17">
      <c r="C4" s="14" t="str">
        <f>'Extras Complete'!C16</f>
        <v>Fiscal year end date</v>
      </c>
      <c r="D4" s="236">
        <f>'Extras Complete'!D16</f>
        <v>42643</v>
      </c>
      <c r="E4" s="236">
        <f>'Extras Complete'!E16</f>
        <v>43008</v>
      </c>
      <c r="F4" s="236">
        <f>'Extras Complete'!F16</f>
        <v>43372</v>
      </c>
      <c r="G4" s="236">
        <f>'Extras Complete'!G16</f>
        <v>43738</v>
      </c>
      <c r="H4" s="236">
        <f>'Extras Complete'!H16</f>
        <v>44104</v>
      </c>
      <c r="I4" s="236">
        <f>'Extras Complete'!I16</f>
        <v>44469</v>
      </c>
      <c r="J4" s="236">
        <f>'Extras Complete'!J16</f>
        <v>44834</v>
      </c>
      <c r="K4" s="236">
        <f>'Extras Complete'!K16</f>
        <v>45199</v>
      </c>
    </row>
    <row r="5" spans="3:17" ht="15" customHeight="1">
      <c r="C5" s="237" t="s">
        <v>209</v>
      </c>
      <c r="D5" s="238"/>
      <c r="E5" s="238"/>
      <c r="F5" s="238"/>
      <c r="G5" s="238"/>
      <c r="H5" s="238"/>
      <c r="I5" s="238"/>
      <c r="J5" s="238"/>
      <c r="K5" s="238"/>
    </row>
    <row r="6" spans="3:17" ht="15" customHeight="1">
      <c r="C6" s="239" t="s">
        <v>211</v>
      </c>
      <c r="D6" s="131"/>
      <c r="E6" s="131"/>
      <c r="F6" s="131"/>
      <c r="G6" s="261"/>
      <c r="H6" s="262"/>
      <c r="I6" s="262"/>
      <c r="J6" s="262"/>
      <c r="K6" s="254"/>
    </row>
    <row r="7" spans="3:17">
      <c r="C7" s="26" t="s">
        <v>194</v>
      </c>
      <c r="D7" s="17">
        <v>136700</v>
      </c>
      <c r="E7" s="17">
        <v>141319</v>
      </c>
      <c r="F7" s="17">
        <v>166699</v>
      </c>
      <c r="G7" s="143">
        <f t="shared" ref="G7:K9" si="0">G17*G22/1000</f>
        <v>137570.4</v>
      </c>
      <c r="H7" s="143">
        <f t="shared" si="0"/>
        <v>138388</v>
      </c>
      <c r="I7" s="143">
        <f t="shared" si="0"/>
        <v>138388</v>
      </c>
      <c r="J7" s="143">
        <f t="shared" si="0"/>
        <v>138388</v>
      </c>
      <c r="K7" s="143">
        <f t="shared" si="0"/>
        <v>138388</v>
      </c>
      <c r="L7" s="217"/>
      <c r="P7" s="215"/>
    </row>
    <row r="8" spans="3:17">
      <c r="C8" s="211" t="s">
        <v>195</v>
      </c>
      <c r="D8" s="200">
        <v>20628</v>
      </c>
      <c r="E8" s="200">
        <v>19222</v>
      </c>
      <c r="F8" s="17">
        <v>18805</v>
      </c>
      <c r="G8" s="143">
        <f t="shared" si="0"/>
        <v>20222.921699999999</v>
      </c>
      <c r="H8" s="143">
        <f t="shared" si="0"/>
        <v>20475.904200000001</v>
      </c>
      <c r="I8" s="143">
        <f t="shared" si="0"/>
        <v>20475.904200000001</v>
      </c>
      <c r="J8" s="143">
        <f t="shared" si="0"/>
        <v>20475.904200000001</v>
      </c>
      <c r="K8" s="143">
        <f t="shared" si="0"/>
        <v>20475.904200000001</v>
      </c>
      <c r="L8" s="217"/>
      <c r="O8" s="62"/>
      <c r="P8" s="62"/>
    </row>
    <row r="9" spans="3:17">
      <c r="C9" s="211" t="s">
        <v>196</v>
      </c>
      <c r="D9" s="200">
        <v>22831</v>
      </c>
      <c r="E9" s="200">
        <v>25850</v>
      </c>
      <c r="F9" s="17">
        <v>25484</v>
      </c>
      <c r="G9" s="143">
        <f t="shared" si="0"/>
        <v>26515.16</v>
      </c>
      <c r="H9" s="143">
        <f t="shared" si="0"/>
        <v>26642.880000000001</v>
      </c>
      <c r="I9" s="143">
        <f t="shared" si="0"/>
        <v>26642.880000000001</v>
      </c>
      <c r="J9" s="143">
        <f t="shared" si="0"/>
        <v>26642.880000000001</v>
      </c>
      <c r="K9" s="143">
        <f t="shared" si="0"/>
        <v>26642.880000000001</v>
      </c>
      <c r="L9" s="217"/>
      <c r="O9" s="62"/>
      <c r="P9" s="62"/>
    </row>
    <row r="10" spans="3:17">
      <c r="C10" s="211"/>
      <c r="D10" s="468"/>
      <c r="E10" s="468"/>
      <c r="F10" s="469"/>
      <c r="G10" s="63"/>
      <c r="H10" s="63"/>
      <c r="I10" s="63"/>
      <c r="J10" s="63"/>
      <c r="K10" s="467"/>
      <c r="L10" s="217"/>
      <c r="O10" s="62"/>
      <c r="P10" s="62"/>
    </row>
    <row r="11" spans="3:17">
      <c r="C11" s="211" t="s">
        <v>200</v>
      </c>
      <c r="D11" s="200">
        <v>24348</v>
      </c>
      <c r="E11" s="200">
        <v>29980</v>
      </c>
      <c r="F11" s="470">
        <v>37190</v>
      </c>
      <c r="G11" s="17">
        <v>45603</v>
      </c>
      <c r="H11" s="17">
        <v>53592</v>
      </c>
      <c r="I11" s="143">
        <f>H11*(1+I40)</f>
        <v>62980.559700019738</v>
      </c>
      <c r="J11" s="143">
        <f t="shared" ref="J11:K11" si="1">I11*(1+J40)</f>
        <v>74013.862145987281</v>
      </c>
      <c r="K11" s="143">
        <f t="shared" si="1"/>
        <v>86980.042982429892</v>
      </c>
      <c r="L11" s="217"/>
      <c r="M11" t="s">
        <v>313</v>
      </c>
      <c r="O11" s="62"/>
      <c r="P11" s="62"/>
    </row>
    <row r="12" spans="3:17">
      <c r="C12" s="211" t="s">
        <v>201</v>
      </c>
      <c r="D12" s="200">
        <v>11132</v>
      </c>
      <c r="E12" s="200">
        <v>12863</v>
      </c>
      <c r="F12" s="470">
        <v>17417</v>
      </c>
      <c r="G12" s="17">
        <v>23079</v>
      </c>
      <c r="H12" s="17">
        <v>26278</v>
      </c>
      <c r="I12" s="143">
        <f t="shared" ref="I12:K12" si="2">H12*(1+I41)</f>
        <v>29920.416135881103</v>
      </c>
      <c r="J12" s="143">
        <f t="shared" si="2"/>
        <v>34067.710698846728</v>
      </c>
      <c r="K12" s="143">
        <f t="shared" si="2"/>
        <v>38789.865321040525</v>
      </c>
      <c r="L12" s="217"/>
      <c r="M12" t="s">
        <v>313</v>
      </c>
      <c r="O12" s="62"/>
      <c r="P12" s="62"/>
      <c r="Q12" s="62"/>
    </row>
    <row r="13" spans="3:17">
      <c r="C13" s="24" t="s">
        <v>210</v>
      </c>
      <c r="D13" s="471">
        <f>SUM(D7:D9)+SUM(D11:D12)</f>
        <v>215639</v>
      </c>
      <c r="E13" s="471">
        <f t="shared" ref="E13:K13" si="3">SUM(E7:E9)+SUM(E11:E12)</f>
        <v>229234</v>
      </c>
      <c r="F13" s="472">
        <f t="shared" si="3"/>
        <v>265595</v>
      </c>
      <c r="G13" s="471">
        <f t="shared" si="3"/>
        <v>252990.4817</v>
      </c>
      <c r="H13" s="471">
        <f t="shared" si="3"/>
        <v>265376.78419999999</v>
      </c>
      <c r="I13" s="471">
        <f t="shared" si="3"/>
        <v>278407.76003590086</v>
      </c>
      <c r="J13" s="471">
        <f t="shared" si="3"/>
        <v>293588.357044834</v>
      </c>
      <c r="K13" s="472">
        <f t="shared" si="3"/>
        <v>311276.6925034704</v>
      </c>
      <c r="L13" s="217"/>
      <c r="Q13" s="62"/>
    </row>
    <row r="14" spans="3:17">
      <c r="C14" s="212" t="s">
        <v>197</v>
      </c>
      <c r="D14" s="188"/>
      <c r="E14" s="473">
        <f t="shared" ref="E14:K14" si="4">E13/D13-1</f>
        <v>6.304518199398057E-2</v>
      </c>
      <c r="F14" s="474">
        <f t="shared" si="4"/>
        <v>0.15861957650261305</v>
      </c>
      <c r="G14" s="475">
        <f t="shared" si="4"/>
        <v>-4.7457664112652731E-2</v>
      </c>
      <c r="H14" s="475">
        <f t="shared" si="4"/>
        <v>4.8959559335073566E-2</v>
      </c>
      <c r="I14" s="475">
        <f t="shared" si="4"/>
        <v>4.9103676778599281E-2</v>
      </c>
      <c r="J14" s="475">
        <f t="shared" si="4"/>
        <v>5.452648664310078E-2</v>
      </c>
      <c r="K14" s="474">
        <f t="shared" si="4"/>
        <v>6.0248763393349503E-2</v>
      </c>
      <c r="L14" s="217"/>
      <c r="Q14" s="62"/>
    </row>
    <row r="15" spans="3:17">
      <c r="C15" s="212"/>
      <c r="D15" s="188"/>
      <c r="E15" s="473"/>
      <c r="F15" s="474"/>
      <c r="G15" s="475"/>
      <c r="H15" s="475"/>
      <c r="I15" s="475"/>
      <c r="J15" s="475"/>
      <c r="K15" s="474"/>
      <c r="L15" s="217"/>
    </row>
    <row r="16" spans="3:17">
      <c r="C16" s="233" t="s">
        <v>198</v>
      </c>
      <c r="D16" s="476"/>
      <c r="E16" s="476"/>
      <c r="F16" s="477"/>
      <c r="G16" s="476"/>
      <c r="H16" s="476"/>
      <c r="I16" s="476"/>
      <c r="J16" s="476"/>
      <c r="K16" s="477"/>
      <c r="L16" s="217"/>
      <c r="Q16" s="62"/>
    </row>
    <row r="17" spans="3:18">
      <c r="C17" s="26" t="s">
        <v>194</v>
      </c>
      <c r="D17" s="17">
        <v>211884</v>
      </c>
      <c r="E17" s="17">
        <v>216756</v>
      </c>
      <c r="F17" s="470">
        <v>217722</v>
      </c>
      <c r="G17" s="17">
        <v>173700</v>
      </c>
      <c r="H17" s="17">
        <v>190880</v>
      </c>
      <c r="I17" s="17">
        <v>190880</v>
      </c>
      <c r="J17" s="17">
        <v>190880</v>
      </c>
      <c r="K17" s="470">
        <v>190880</v>
      </c>
      <c r="L17" s="217"/>
      <c r="M17" t="s">
        <v>206</v>
      </c>
      <c r="Q17" s="62"/>
      <c r="R17" s="62"/>
    </row>
    <row r="18" spans="3:18">
      <c r="C18" s="211" t="s">
        <v>195</v>
      </c>
      <c r="D18" s="200">
        <v>45590</v>
      </c>
      <c r="E18" s="200">
        <v>43753</v>
      </c>
      <c r="F18" s="470">
        <v>43535</v>
      </c>
      <c r="G18" s="17">
        <v>46170</v>
      </c>
      <c r="H18" s="17">
        <v>49260</v>
      </c>
      <c r="I18" s="17">
        <v>49260</v>
      </c>
      <c r="J18" s="17">
        <v>49260</v>
      </c>
      <c r="K18" s="470">
        <v>49260</v>
      </c>
      <c r="L18" s="217"/>
      <c r="M18" t="s">
        <v>206</v>
      </c>
      <c r="Q18" s="62"/>
    </row>
    <row r="19" spans="3:18">
      <c r="C19" s="211" t="s">
        <v>196</v>
      </c>
      <c r="D19" s="200">
        <v>18484</v>
      </c>
      <c r="E19" s="200">
        <v>19251</v>
      </c>
      <c r="F19" s="470">
        <v>18209</v>
      </c>
      <c r="G19" s="17">
        <v>19670</v>
      </c>
      <c r="H19" s="17">
        <v>19140</v>
      </c>
      <c r="I19" s="17">
        <v>19140</v>
      </c>
      <c r="J19" s="17">
        <v>19140</v>
      </c>
      <c r="K19" s="470">
        <v>19140</v>
      </c>
      <c r="L19" s="217"/>
      <c r="M19" t="s">
        <v>206</v>
      </c>
      <c r="Q19" s="62"/>
    </row>
    <row r="20" spans="3:18">
      <c r="D20" s="382"/>
      <c r="E20" s="382"/>
      <c r="F20" s="479"/>
      <c r="G20" s="382"/>
      <c r="H20" s="382"/>
      <c r="I20" s="382"/>
      <c r="J20" s="382"/>
      <c r="K20" s="479"/>
      <c r="Q20" s="62"/>
    </row>
    <row r="21" spans="3:18">
      <c r="C21" s="233" t="s">
        <v>203</v>
      </c>
      <c r="D21" s="476"/>
      <c r="E21" s="476"/>
      <c r="F21" s="477"/>
      <c r="G21" s="476"/>
      <c r="H21" s="476"/>
      <c r="I21" s="476"/>
      <c r="J21" s="476"/>
      <c r="K21" s="477"/>
      <c r="L21" s="217"/>
      <c r="P21" s="62"/>
      <c r="Q21" s="62"/>
      <c r="R21" s="62"/>
    </row>
    <row r="22" spans="3:18">
      <c r="C22" s="26" t="s">
        <v>194</v>
      </c>
      <c r="D22" s="531">
        <f t="shared" ref="D22:F24" si="5">D7/D17*1000</f>
        <v>645.16433520228043</v>
      </c>
      <c r="E22" s="531">
        <f t="shared" si="5"/>
        <v>651.97272509180823</v>
      </c>
      <c r="F22" s="531">
        <f t="shared" si="5"/>
        <v>765.65069216707548</v>
      </c>
      <c r="G22" s="481">
        <v>792</v>
      </c>
      <c r="H22" s="394">
        <v>725</v>
      </c>
      <c r="I22" s="394">
        <v>725</v>
      </c>
      <c r="J22" s="394">
        <v>725</v>
      </c>
      <c r="K22" s="482">
        <v>725</v>
      </c>
      <c r="L22" s="217"/>
      <c r="M22" t="s">
        <v>206</v>
      </c>
      <c r="P22" s="62"/>
    </row>
    <row r="23" spans="3:18">
      <c r="C23" s="211" t="s">
        <v>195</v>
      </c>
      <c r="D23" s="531">
        <f t="shared" si="5"/>
        <v>452.46764641368719</v>
      </c>
      <c r="E23" s="531">
        <f t="shared" si="5"/>
        <v>439.32987452288984</v>
      </c>
      <c r="F23" s="531">
        <f t="shared" si="5"/>
        <v>431.95130354886874</v>
      </c>
      <c r="G23" s="481">
        <v>438.01</v>
      </c>
      <c r="H23" s="394">
        <v>415.67</v>
      </c>
      <c r="I23" s="394">
        <v>415.67</v>
      </c>
      <c r="J23" s="394">
        <v>415.67</v>
      </c>
      <c r="K23" s="482">
        <v>415.67</v>
      </c>
      <c r="L23" s="217"/>
      <c r="M23" t="s">
        <v>206</v>
      </c>
    </row>
    <row r="24" spans="3:18">
      <c r="C24" s="211" t="s">
        <v>196</v>
      </c>
      <c r="D24" s="531">
        <f t="shared" si="5"/>
        <v>1235.1763687513526</v>
      </c>
      <c r="E24" s="531">
        <f t="shared" si="5"/>
        <v>1342.7873876681731</v>
      </c>
      <c r="F24" s="531">
        <f t="shared" si="5"/>
        <v>1399.5277060794112</v>
      </c>
      <c r="G24" s="481">
        <v>1348</v>
      </c>
      <c r="H24" s="394">
        <v>1392</v>
      </c>
      <c r="I24" s="394">
        <v>1392</v>
      </c>
      <c r="J24" s="394">
        <v>1392</v>
      </c>
      <c r="K24" s="482">
        <v>1392</v>
      </c>
      <c r="L24" s="217"/>
      <c r="M24" t="s">
        <v>206</v>
      </c>
    </row>
    <row r="25" spans="3:18">
      <c r="C25" s="211"/>
      <c r="D25" s="213"/>
      <c r="E25" s="213"/>
      <c r="F25" s="218"/>
      <c r="G25" s="221"/>
      <c r="H25" s="222"/>
      <c r="I25" s="222"/>
      <c r="J25" s="222"/>
      <c r="K25" s="223"/>
      <c r="L25" s="217"/>
    </row>
    <row r="26" spans="3:18">
      <c r="C26" s="233" t="s">
        <v>202</v>
      </c>
      <c r="D26" s="101"/>
      <c r="E26" s="101"/>
      <c r="F26" s="101"/>
      <c r="G26" s="234"/>
      <c r="H26" s="101"/>
      <c r="I26" s="101"/>
      <c r="J26" s="101"/>
      <c r="K26" s="235"/>
      <c r="L26" s="217"/>
      <c r="P26" s="62"/>
    </row>
    <row r="27" spans="3:18">
      <c r="C27" s="26" t="s">
        <v>194</v>
      </c>
      <c r="D27" s="216"/>
      <c r="E27" s="27">
        <f t="shared" ref="E27:K29" si="6">E17/D17-1</f>
        <v>2.2993713541371585E-2</v>
      </c>
      <c r="F27" s="27">
        <f t="shared" si="6"/>
        <v>4.4566240380889965E-3</v>
      </c>
      <c r="G27" s="106">
        <f t="shared" si="6"/>
        <v>-0.20219362306060018</v>
      </c>
      <c r="H27" s="27">
        <f t="shared" si="6"/>
        <v>9.8906160046056346E-2</v>
      </c>
      <c r="I27" s="27">
        <f t="shared" si="6"/>
        <v>0</v>
      </c>
      <c r="J27" s="27">
        <f t="shared" si="6"/>
        <v>0</v>
      </c>
      <c r="K27" s="109">
        <f t="shared" si="6"/>
        <v>0</v>
      </c>
      <c r="L27" s="217"/>
    </row>
    <row r="28" spans="3:18">
      <c r="C28" s="211" t="s">
        <v>195</v>
      </c>
      <c r="E28" s="67">
        <f t="shared" si="6"/>
        <v>-4.0293924106163614E-2</v>
      </c>
      <c r="F28" s="27">
        <f t="shared" si="6"/>
        <v>-4.98251548465245E-3</v>
      </c>
      <c r="G28" s="106">
        <f t="shared" si="6"/>
        <v>6.052601355231424E-2</v>
      </c>
      <c r="H28" s="27">
        <f t="shared" si="6"/>
        <v>6.6926575698505575E-2</v>
      </c>
      <c r="I28" s="27">
        <f t="shared" si="6"/>
        <v>0</v>
      </c>
      <c r="J28" s="27">
        <f t="shared" si="6"/>
        <v>0</v>
      </c>
      <c r="K28" s="109">
        <f t="shared" si="6"/>
        <v>0</v>
      </c>
      <c r="L28" s="217"/>
    </row>
    <row r="29" spans="3:18">
      <c r="C29" s="211" t="s">
        <v>196</v>
      </c>
      <c r="D29" s="90"/>
      <c r="E29" s="67">
        <f t="shared" si="6"/>
        <v>4.1495347327418219E-2</v>
      </c>
      <c r="F29" s="27">
        <f t="shared" si="6"/>
        <v>-5.4127058334631939E-2</v>
      </c>
      <c r="G29" s="106">
        <f t="shared" si="6"/>
        <v>8.0235048602339543E-2</v>
      </c>
      <c r="H29" s="27">
        <f t="shared" si="6"/>
        <v>-2.6944585663446818E-2</v>
      </c>
      <c r="I29" s="27">
        <f t="shared" si="6"/>
        <v>0</v>
      </c>
      <c r="J29" s="27">
        <f t="shared" si="6"/>
        <v>0</v>
      </c>
      <c r="K29" s="109">
        <f t="shared" si="6"/>
        <v>0</v>
      </c>
      <c r="L29" s="217"/>
    </row>
    <row r="30" spans="3:18">
      <c r="C30" s="212"/>
      <c r="D30" s="5"/>
      <c r="E30" s="5"/>
      <c r="F30" s="6"/>
      <c r="G30" s="105"/>
      <c r="H30" s="6"/>
      <c r="I30" s="6"/>
      <c r="J30" s="6"/>
      <c r="K30" s="107"/>
      <c r="L30" s="217"/>
      <c r="P30" s="62"/>
    </row>
    <row r="31" spans="3:18">
      <c r="C31" s="24" t="s">
        <v>204</v>
      </c>
      <c r="F31" s="217"/>
      <c r="G31" s="219"/>
      <c r="H31" s="217"/>
      <c r="I31" s="217"/>
      <c r="J31" s="217"/>
      <c r="K31" s="220"/>
      <c r="L31" s="217"/>
    </row>
    <row r="32" spans="3:18">
      <c r="C32" s="211" t="s">
        <v>194</v>
      </c>
      <c r="D32" s="214"/>
      <c r="E32" s="67">
        <f t="shared" ref="E32:F34" si="7">E22/D22-1</f>
        <v>1.0552954523428637E-2</v>
      </c>
      <c r="F32" s="27">
        <f t="shared" si="7"/>
        <v>0.17436000418462227</v>
      </c>
      <c r="G32" s="106">
        <f t="shared" ref="G32:K34" si="8">G22/F22-1</f>
        <v>3.4414267632079332E-2</v>
      </c>
      <c r="H32" s="27">
        <f t="shared" si="8"/>
        <v>-8.4595959595959558E-2</v>
      </c>
      <c r="I32" s="27">
        <f t="shared" si="8"/>
        <v>0</v>
      </c>
      <c r="J32" s="27">
        <f t="shared" si="8"/>
        <v>0</v>
      </c>
      <c r="K32" s="109">
        <f t="shared" si="8"/>
        <v>0</v>
      </c>
      <c r="L32" s="217"/>
    </row>
    <row r="33" spans="3:13">
      <c r="C33" s="211" t="s">
        <v>195</v>
      </c>
      <c r="D33" s="214"/>
      <c r="E33" s="67">
        <f t="shared" si="7"/>
        <v>-2.9035826085972993E-2</v>
      </c>
      <c r="F33" s="27">
        <f t="shared" si="7"/>
        <v>-1.6795058569677779E-2</v>
      </c>
      <c r="G33" s="106">
        <f t="shared" si="8"/>
        <v>1.4026341398564179E-2</v>
      </c>
      <c r="H33" s="27">
        <f t="shared" si="8"/>
        <v>-5.1003401748818455E-2</v>
      </c>
      <c r="I33" s="27">
        <f t="shared" si="8"/>
        <v>0</v>
      </c>
      <c r="J33" s="27">
        <f t="shared" si="8"/>
        <v>0</v>
      </c>
      <c r="K33" s="109">
        <f t="shared" si="8"/>
        <v>0</v>
      </c>
      <c r="L33" s="217"/>
    </row>
    <row r="34" spans="3:13">
      <c r="C34" s="211" t="s">
        <v>196</v>
      </c>
      <c r="D34" s="214"/>
      <c r="E34" s="67">
        <f t="shared" si="7"/>
        <v>8.7121986494613113E-2</v>
      </c>
      <c r="F34" s="27">
        <f t="shared" si="7"/>
        <v>4.2255623587417634E-2</v>
      </c>
      <c r="G34" s="106">
        <f t="shared" si="8"/>
        <v>-3.6817924972531779E-2</v>
      </c>
      <c r="H34" s="27">
        <f t="shared" si="8"/>
        <v>3.2640949554896048E-2</v>
      </c>
      <c r="I34" s="27">
        <f t="shared" si="8"/>
        <v>0</v>
      </c>
      <c r="J34" s="27">
        <f t="shared" si="8"/>
        <v>0</v>
      </c>
      <c r="K34" s="109">
        <f t="shared" si="8"/>
        <v>0</v>
      </c>
      <c r="L34" s="217"/>
    </row>
    <row r="35" spans="3:13">
      <c r="F35" s="217"/>
      <c r="G35" s="219"/>
      <c r="H35" s="217"/>
      <c r="I35" s="217"/>
      <c r="J35" s="217"/>
      <c r="K35" s="220"/>
      <c r="L35" s="217"/>
    </row>
    <row r="36" spans="3:13">
      <c r="C36" s="232" t="s">
        <v>208</v>
      </c>
      <c r="F36" s="217"/>
      <c r="G36" s="219"/>
      <c r="H36" s="217"/>
      <c r="I36" s="217"/>
      <c r="J36" s="217"/>
      <c r="K36" s="220"/>
      <c r="L36" s="217"/>
    </row>
    <row r="37" spans="3:13">
      <c r="C37" s="211" t="s">
        <v>194</v>
      </c>
      <c r="E37" s="224">
        <f t="shared" ref="E37:K37" si="9">E7/D7-1</f>
        <v>3.3789319678127372E-2</v>
      </c>
      <c r="F37" s="225">
        <f t="shared" si="9"/>
        <v>0.1795936852086415</v>
      </c>
      <c r="G37" s="226">
        <f t="shared" si="9"/>
        <v>-0.17473770088602814</v>
      </c>
      <c r="H37" s="225">
        <f t="shared" si="9"/>
        <v>5.9431389310491411E-3</v>
      </c>
      <c r="I37" s="225">
        <f t="shared" si="9"/>
        <v>0</v>
      </c>
      <c r="J37" s="225">
        <f t="shared" si="9"/>
        <v>0</v>
      </c>
      <c r="K37" s="227">
        <f t="shared" si="9"/>
        <v>0</v>
      </c>
      <c r="L37" s="217"/>
    </row>
    <row r="38" spans="3:13">
      <c r="C38" s="211" t="s">
        <v>195</v>
      </c>
      <c r="E38" s="224">
        <f t="shared" ref="E38:K38" si="10">E8/D8-1</f>
        <v>-6.8159782819468662E-2</v>
      </c>
      <c r="F38" s="225">
        <f t="shared" si="10"/>
        <v>-2.169389241494124E-2</v>
      </c>
      <c r="G38" s="226">
        <f t="shared" si="10"/>
        <v>7.5401313480457199E-2</v>
      </c>
      <c r="H38" s="225">
        <f t="shared" si="10"/>
        <v>1.2509690921663541E-2</v>
      </c>
      <c r="I38" s="225">
        <f t="shared" si="10"/>
        <v>0</v>
      </c>
      <c r="J38" s="225">
        <f t="shared" si="10"/>
        <v>0</v>
      </c>
      <c r="K38" s="227">
        <f t="shared" si="10"/>
        <v>0</v>
      </c>
      <c r="L38" s="217"/>
    </row>
    <row r="39" spans="3:13">
      <c r="C39" s="211" t="s">
        <v>196</v>
      </c>
      <c r="E39" s="224">
        <f t="shared" ref="E39:K39" si="11">E9/D9-1</f>
        <v>0.13223249091148004</v>
      </c>
      <c r="F39" s="225">
        <f t="shared" si="11"/>
        <v>-1.4158607350096664E-2</v>
      </c>
      <c r="G39" s="226">
        <f t="shared" si="11"/>
        <v>4.0463035630199373E-2</v>
      </c>
      <c r="H39" s="225">
        <f t="shared" si="11"/>
        <v>4.8168670300312577E-3</v>
      </c>
      <c r="I39" s="225">
        <f t="shared" si="11"/>
        <v>0</v>
      </c>
      <c r="J39" s="225">
        <f t="shared" si="11"/>
        <v>0</v>
      </c>
      <c r="K39" s="227">
        <f t="shared" si="11"/>
        <v>0</v>
      </c>
      <c r="L39" s="217"/>
    </row>
    <row r="40" spans="3:13">
      <c r="C40" s="211" t="s">
        <v>200</v>
      </c>
      <c r="D40" s="4"/>
      <c r="E40" s="93">
        <f t="shared" ref="E40:H41" si="12">E11/D11-1</f>
        <v>0.23131263348118947</v>
      </c>
      <c r="F40" s="100">
        <f t="shared" si="12"/>
        <v>0.24049366244162784</v>
      </c>
      <c r="G40" s="228">
        <f t="shared" si="12"/>
        <v>0.22621672492605538</v>
      </c>
      <c r="H40" s="229">
        <f t="shared" si="12"/>
        <v>0.17518584303664242</v>
      </c>
      <c r="I40" s="88">
        <f>H40</f>
        <v>0.17518584303664242</v>
      </c>
      <c r="J40" s="88">
        <f t="shared" ref="J40:K40" si="13">I40</f>
        <v>0.17518584303664242</v>
      </c>
      <c r="K40" s="88">
        <f t="shared" si="13"/>
        <v>0.17518584303664242</v>
      </c>
      <c r="L40" s="217"/>
      <c r="M40" t="s">
        <v>207</v>
      </c>
    </row>
    <row r="41" spans="3:13">
      <c r="C41" s="211" t="s">
        <v>201</v>
      </c>
      <c r="D41" s="4"/>
      <c r="E41" s="93">
        <f t="shared" si="12"/>
        <v>0.15549766439094492</v>
      </c>
      <c r="F41" s="100">
        <f t="shared" si="12"/>
        <v>0.35403871569618284</v>
      </c>
      <c r="G41" s="230">
        <f t="shared" si="12"/>
        <v>0.32508468737440421</v>
      </c>
      <c r="H41" s="231">
        <f t="shared" si="12"/>
        <v>0.13861085835608122</v>
      </c>
      <c r="I41" s="88">
        <f t="shared" ref="I41:K41" si="14">H41</f>
        <v>0.13861085835608122</v>
      </c>
      <c r="J41" s="88">
        <f t="shared" si="14"/>
        <v>0.13861085835608122</v>
      </c>
      <c r="K41" s="88">
        <f t="shared" si="14"/>
        <v>0.13861085835608122</v>
      </c>
      <c r="L41" s="217"/>
      <c r="M41" t="s">
        <v>207</v>
      </c>
    </row>
    <row r="42" spans="3:13">
      <c r="G42" s="217"/>
      <c r="H42" s="217"/>
      <c r="I42" s="217"/>
      <c r="J42" s="217"/>
      <c r="K42" s="217"/>
    </row>
    <row r="43" spans="3:13">
      <c r="M43" s="240" t="s">
        <v>212</v>
      </c>
    </row>
    <row r="44" spans="3:13">
      <c r="M44" s="240" t="s">
        <v>213</v>
      </c>
    </row>
    <row r="45" spans="3:13">
      <c r="M45" s="240"/>
    </row>
    <row r="46" spans="3:13">
      <c r="M46" s="240"/>
    </row>
    <row r="47" spans="3:13" ht="15" customHeight="1"/>
    <row r="49" ht="15" customHeight="1"/>
    <row r="50" ht="15" customHeight="1"/>
    <row r="52" ht="15" customHeight="1"/>
    <row r="53" ht="15" customHeight="1"/>
    <row r="54" ht="15.75" customHeight="1"/>
  </sheetData>
  <pageMargins left="0.7" right="0.7" top="0.75" bottom="0.75" header="0.3" footer="0.3"/>
  <pageSetup scale="46" fitToHeight="0"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D090C-C444-4A2D-BCCA-8E8FFBCFA57D}">
  <sheetPr>
    <pageSetUpPr fitToPage="1"/>
  </sheetPr>
  <dimension ref="C2:P54"/>
  <sheetViews>
    <sheetView zoomScaleNormal="100" workbookViewId="0">
      <selection activeCell="E19" sqref="E19"/>
    </sheetView>
  </sheetViews>
  <sheetFormatPr defaultRowHeight="15"/>
  <cols>
    <col min="1" max="2" width="1.7109375" customWidth="1"/>
    <col min="3" max="3" width="27.42578125" customWidth="1"/>
    <col min="6" max="6" width="11.42578125" customWidth="1"/>
    <col min="7" max="11" width="10.85546875" customWidth="1"/>
    <col min="12" max="12" width="2.5703125" customWidth="1"/>
    <col min="14" max="14" width="29.5703125" bestFit="1" customWidth="1"/>
    <col min="15" max="15" width="12.42578125" bestFit="1" customWidth="1"/>
    <col min="16" max="16" width="10" bestFit="1" customWidth="1"/>
  </cols>
  <sheetData>
    <row r="2" spans="3:16">
      <c r="C2" s="7" t="s">
        <v>199</v>
      </c>
      <c r="D2" s="8"/>
      <c r="E2" s="269"/>
      <c r="F2" s="269"/>
      <c r="G2" s="269"/>
      <c r="H2" s="269"/>
      <c r="I2" s="269"/>
      <c r="J2" s="269"/>
      <c r="K2" s="269"/>
    </row>
    <row r="3" spans="3:16">
      <c r="C3" t="str">
        <f>'FSM + Rev Scenarios'!C15</f>
        <v xml:space="preserve">Fiscal year  </v>
      </c>
      <c r="D3" s="284">
        <f>'FSM + Rev Scenarios'!D15</f>
        <v>2016</v>
      </c>
      <c r="E3" s="284">
        <f>'FSM + Rev Scenarios'!E15</f>
        <v>2017</v>
      </c>
      <c r="F3" s="284">
        <f>'FSM + Rev Scenarios'!F15</f>
        <v>2018</v>
      </c>
      <c r="G3" s="285">
        <f>'FSM + Rev Scenarios'!G15</f>
        <v>2019</v>
      </c>
      <c r="H3" s="285">
        <f>'FSM + Rev Scenarios'!H15</f>
        <v>2020</v>
      </c>
      <c r="I3" s="285">
        <f>'FSM + Rev Scenarios'!I15</f>
        <v>2021</v>
      </c>
      <c r="J3" s="285">
        <f>'FSM + Rev Scenarios'!J15</f>
        <v>2022</v>
      </c>
      <c r="K3" s="285">
        <f>'FSM + Rev Scenarios'!K15</f>
        <v>2023</v>
      </c>
    </row>
    <row r="4" spans="3:16">
      <c r="C4" s="273" t="str">
        <f>'FSM + Rev Scenarios'!C16</f>
        <v>Fiscal year end date</v>
      </c>
      <c r="D4" s="330">
        <f>'FSM + Rev Scenarios'!D16</f>
        <v>42643</v>
      </c>
      <c r="E4" s="330">
        <f>'FSM + Rev Scenarios'!E16</f>
        <v>43008</v>
      </c>
      <c r="F4" s="330">
        <f>'FSM + Rev Scenarios'!F16</f>
        <v>43372</v>
      </c>
      <c r="G4" s="330">
        <f>'FSM + Rev Scenarios'!G16</f>
        <v>43738</v>
      </c>
      <c r="H4" s="330">
        <f>'FSM + Rev Scenarios'!H16</f>
        <v>44104</v>
      </c>
      <c r="I4" s="330">
        <f>'FSM + Rev Scenarios'!I16</f>
        <v>44469</v>
      </c>
      <c r="J4" s="330">
        <f>'FSM + Rev Scenarios'!J16</f>
        <v>44834</v>
      </c>
      <c r="K4" s="330">
        <f>'FSM + Rev Scenarios'!K16</f>
        <v>45199</v>
      </c>
    </row>
    <row r="5" spans="3:16" ht="15" customHeight="1">
      <c r="C5" s="331" t="s">
        <v>209</v>
      </c>
      <c r="D5" s="332"/>
      <c r="E5" s="332"/>
      <c r="F5" s="332"/>
      <c r="G5" s="332"/>
      <c r="H5" s="332"/>
      <c r="I5" s="332"/>
      <c r="J5" s="332"/>
      <c r="K5" s="332"/>
    </row>
    <row r="6" spans="3:16" ht="15" customHeight="1">
      <c r="C6" s="333" t="s">
        <v>211</v>
      </c>
      <c r="D6" s="266"/>
      <c r="E6" s="266"/>
      <c r="F6" s="266"/>
      <c r="G6" s="334"/>
      <c r="H6" s="335"/>
      <c r="I6" s="335"/>
      <c r="J6" s="335"/>
      <c r="K6" s="336"/>
    </row>
    <row r="7" spans="3:16">
      <c r="C7" s="278" t="s">
        <v>194</v>
      </c>
      <c r="D7" s="200">
        <v>136700</v>
      </c>
      <c r="E7" s="200">
        <v>141319</v>
      </c>
      <c r="F7" s="200">
        <v>166699</v>
      </c>
      <c r="G7" s="466">
        <f t="shared" ref="G7:K9" ca="1" si="0">G17*G22/1000</f>
        <v>137570.4</v>
      </c>
      <c r="H7" s="384">
        <f t="shared" ca="1" si="0"/>
        <v>138388</v>
      </c>
      <c r="I7" s="384">
        <f t="shared" ca="1" si="0"/>
        <v>138388</v>
      </c>
      <c r="J7" s="384">
        <f t="shared" ca="1" si="0"/>
        <v>138388</v>
      </c>
      <c r="K7" s="467">
        <f t="shared" ca="1" si="0"/>
        <v>138388</v>
      </c>
      <c r="O7" s="215"/>
      <c r="P7" s="215"/>
    </row>
    <row r="8" spans="3:16">
      <c r="C8" s="278" t="s">
        <v>195</v>
      </c>
      <c r="D8" s="200">
        <v>20628</v>
      </c>
      <c r="E8" s="200">
        <v>19222</v>
      </c>
      <c r="F8" s="200">
        <v>18805</v>
      </c>
      <c r="G8" s="466">
        <f t="shared" si="0"/>
        <v>20222.921699999999</v>
      </c>
      <c r="H8" s="384">
        <f t="shared" si="0"/>
        <v>20475.904200000001</v>
      </c>
      <c r="I8" s="384">
        <f t="shared" si="0"/>
        <v>20475.904200000001</v>
      </c>
      <c r="J8" s="384">
        <f t="shared" si="0"/>
        <v>20475.904200000001</v>
      </c>
      <c r="K8" s="467">
        <f t="shared" si="0"/>
        <v>20475.904200000001</v>
      </c>
      <c r="O8" s="62"/>
      <c r="P8" s="62"/>
    </row>
    <row r="9" spans="3:16">
      <c r="C9" s="278" t="s">
        <v>196</v>
      </c>
      <c r="D9" s="200">
        <v>22831</v>
      </c>
      <c r="E9" s="200">
        <v>25850</v>
      </c>
      <c r="F9" s="200">
        <v>25484</v>
      </c>
      <c r="G9" s="466">
        <f t="shared" si="0"/>
        <v>26515.16</v>
      </c>
      <c r="H9" s="384">
        <f t="shared" si="0"/>
        <v>26642.880000000001</v>
      </c>
      <c r="I9" s="384">
        <f t="shared" si="0"/>
        <v>26642.880000000001</v>
      </c>
      <c r="J9" s="384">
        <f t="shared" si="0"/>
        <v>26642.880000000001</v>
      </c>
      <c r="K9" s="467">
        <f t="shared" si="0"/>
        <v>26642.880000000001</v>
      </c>
      <c r="O9" s="62"/>
      <c r="P9" s="62"/>
    </row>
    <row r="10" spans="3:16">
      <c r="C10" s="278"/>
      <c r="D10" s="200"/>
      <c r="E10" s="200"/>
      <c r="F10" s="470"/>
      <c r="G10" s="384"/>
      <c r="H10" s="384"/>
      <c r="I10" s="384"/>
      <c r="J10" s="384"/>
      <c r="K10" s="467"/>
      <c r="O10" s="62"/>
      <c r="P10" s="62"/>
    </row>
    <row r="11" spans="3:16">
      <c r="C11" s="278" t="s">
        <v>200</v>
      </c>
      <c r="D11" s="200">
        <v>24348</v>
      </c>
      <c r="E11" s="200">
        <v>29980</v>
      </c>
      <c r="F11" s="470">
        <v>37190</v>
      </c>
      <c r="G11" s="17">
        <v>45603</v>
      </c>
      <c r="H11" s="17">
        <v>53592</v>
      </c>
      <c r="I11" s="17">
        <f>H11*(1+I40)</f>
        <v>62980.559700019738</v>
      </c>
      <c r="J11" s="17">
        <f t="shared" ref="J11:K11" si="1">I11*(1+J40)</f>
        <v>74013.862145987281</v>
      </c>
      <c r="K11" s="470">
        <f t="shared" si="1"/>
        <v>86980.042982429892</v>
      </c>
      <c r="M11" t="s">
        <v>313</v>
      </c>
      <c r="O11" s="62"/>
      <c r="P11" s="62"/>
    </row>
    <row r="12" spans="3:16">
      <c r="C12" s="278" t="s">
        <v>201</v>
      </c>
      <c r="D12" s="200">
        <v>11132</v>
      </c>
      <c r="E12" s="200">
        <v>12863</v>
      </c>
      <c r="F12" s="470">
        <v>17417</v>
      </c>
      <c r="G12" s="200">
        <v>23079</v>
      </c>
      <c r="H12" s="200">
        <v>26278</v>
      </c>
      <c r="I12" s="200">
        <f t="shared" ref="I12:K12" si="2">H12*(1+I41)</f>
        <v>29920.416135881103</v>
      </c>
      <c r="J12" s="200">
        <f t="shared" si="2"/>
        <v>34067.710698846728</v>
      </c>
      <c r="K12" s="470">
        <f t="shared" si="2"/>
        <v>38789.865321040525</v>
      </c>
      <c r="M12" t="s">
        <v>313</v>
      </c>
      <c r="O12" s="62"/>
      <c r="P12" s="62"/>
    </row>
    <row r="13" spans="3:16">
      <c r="C13" s="24" t="s">
        <v>210</v>
      </c>
      <c r="D13" s="471">
        <f>SUM(D7:D9)+SUM(D11:D12)</f>
        <v>215639</v>
      </c>
      <c r="E13" s="471">
        <f t="shared" ref="E13:K13" si="3">SUM(E7:E9)+SUM(E11:E12)</f>
        <v>229234</v>
      </c>
      <c r="F13" s="472">
        <f t="shared" si="3"/>
        <v>265595</v>
      </c>
      <c r="G13" s="471">
        <f t="shared" ca="1" si="3"/>
        <v>252990.4817</v>
      </c>
      <c r="H13" s="471">
        <f t="shared" ca="1" si="3"/>
        <v>265376.78419999999</v>
      </c>
      <c r="I13" s="471">
        <f t="shared" ca="1" si="3"/>
        <v>278407.76003590086</v>
      </c>
      <c r="J13" s="471">
        <f t="shared" ca="1" si="3"/>
        <v>293588.357044834</v>
      </c>
      <c r="K13" s="472">
        <f t="shared" ca="1" si="3"/>
        <v>311276.6925034704</v>
      </c>
    </row>
    <row r="14" spans="3:16">
      <c r="C14" s="307" t="s">
        <v>197</v>
      </c>
      <c r="D14" s="382"/>
      <c r="E14" s="392">
        <f t="shared" ref="E14:K14" si="4">E13/D13-1</f>
        <v>6.304518199398057E-2</v>
      </c>
      <c r="F14" s="485">
        <f t="shared" si="4"/>
        <v>0.15861957650261305</v>
      </c>
      <c r="G14" s="392">
        <f t="shared" ca="1" si="4"/>
        <v>-4.7457664112652731E-2</v>
      </c>
      <c r="H14" s="392">
        <f t="shared" ca="1" si="4"/>
        <v>4.8959559335073566E-2</v>
      </c>
      <c r="I14" s="392">
        <f t="shared" ca="1" si="4"/>
        <v>4.9103676778599281E-2</v>
      </c>
      <c r="J14" s="392">
        <f t="shared" ca="1" si="4"/>
        <v>5.452648664310078E-2</v>
      </c>
      <c r="K14" s="485">
        <f t="shared" ca="1" si="4"/>
        <v>6.0248763393349503E-2</v>
      </c>
    </row>
    <row r="15" spans="3:16">
      <c r="C15" s="307"/>
      <c r="D15" s="382"/>
      <c r="E15" s="392"/>
      <c r="F15" s="485"/>
      <c r="G15" s="392"/>
      <c r="H15" s="392"/>
      <c r="I15" s="392"/>
      <c r="J15" s="392"/>
      <c r="K15" s="485"/>
    </row>
    <row r="16" spans="3:16">
      <c r="C16" s="233" t="s">
        <v>198</v>
      </c>
      <c r="D16" s="486"/>
      <c r="E16" s="486"/>
      <c r="F16" s="487"/>
      <c r="G16" s="486"/>
      <c r="H16" s="486"/>
      <c r="I16" s="486"/>
      <c r="J16" s="486"/>
      <c r="K16" s="479"/>
    </row>
    <row r="17" spans="3:16">
      <c r="C17" s="278" t="s">
        <v>194</v>
      </c>
      <c r="D17" s="200">
        <v>211884</v>
      </c>
      <c r="E17" s="200">
        <v>216756</v>
      </c>
      <c r="F17" s="470">
        <v>217722</v>
      </c>
      <c r="G17" s="488">
        <f ca="1">'FSM + Rev Scenarios'!G176</f>
        <v>173700</v>
      </c>
      <c r="H17" s="488">
        <f ca="1">'FSM + Rev Scenarios'!H176</f>
        <v>190880</v>
      </c>
      <c r="I17" s="488">
        <f ca="1">'FSM + Rev Scenarios'!I176</f>
        <v>190880</v>
      </c>
      <c r="J17" s="488">
        <f ca="1">'FSM + Rev Scenarios'!J176</f>
        <v>190880</v>
      </c>
      <c r="K17" s="506">
        <f ca="1">'FSM + Rev Scenarios'!K176</f>
        <v>190880</v>
      </c>
      <c r="L17" s="217"/>
      <c r="M17" t="s">
        <v>312</v>
      </c>
    </row>
    <row r="18" spans="3:16">
      <c r="C18" s="278" t="s">
        <v>195</v>
      </c>
      <c r="D18" s="200">
        <v>45590</v>
      </c>
      <c r="E18" s="200">
        <v>43753</v>
      </c>
      <c r="F18" s="470">
        <v>43535</v>
      </c>
      <c r="G18" s="489">
        <v>46170</v>
      </c>
      <c r="H18" s="489">
        <v>49260</v>
      </c>
      <c r="I18" s="489">
        <v>49260</v>
      </c>
      <c r="J18" s="489">
        <v>49260</v>
      </c>
      <c r="K18" s="478">
        <v>49260</v>
      </c>
      <c r="M18" t="s">
        <v>206</v>
      </c>
    </row>
    <row r="19" spans="3:16">
      <c r="C19" s="278" t="s">
        <v>196</v>
      </c>
      <c r="D19" s="200">
        <v>18484</v>
      </c>
      <c r="E19" s="200">
        <v>19251</v>
      </c>
      <c r="F19" s="470">
        <v>18209</v>
      </c>
      <c r="G19" s="489">
        <v>19670</v>
      </c>
      <c r="H19" s="489">
        <v>19140</v>
      </c>
      <c r="I19" s="489">
        <v>19140</v>
      </c>
      <c r="J19" s="489">
        <v>19140</v>
      </c>
      <c r="K19" s="478">
        <v>19140</v>
      </c>
      <c r="M19" t="s">
        <v>206</v>
      </c>
    </row>
    <row r="20" spans="3:16">
      <c r="D20" s="382"/>
      <c r="E20" s="382"/>
      <c r="F20" s="479"/>
      <c r="G20" s="382"/>
      <c r="H20" s="382"/>
      <c r="I20" s="382"/>
      <c r="J20" s="382"/>
      <c r="K20" s="479"/>
    </row>
    <row r="21" spans="3:16">
      <c r="C21" s="233" t="s">
        <v>203</v>
      </c>
      <c r="D21" s="486"/>
      <c r="E21" s="486"/>
      <c r="F21" s="487"/>
      <c r="G21" s="378"/>
      <c r="H21" s="486"/>
      <c r="I21" s="486"/>
      <c r="J21" s="486"/>
      <c r="K21" s="479"/>
      <c r="P21" s="62"/>
    </row>
    <row r="22" spans="3:16">
      <c r="C22" s="278" t="s">
        <v>194</v>
      </c>
      <c r="D22" s="483">
        <f t="shared" ref="D22:F24" si="5">D7/D17*1000</f>
        <v>645.16433520228043</v>
      </c>
      <c r="E22" s="483">
        <f t="shared" si="5"/>
        <v>651.97272509180823</v>
      </c>
      <c r="F22" s="504">
        <f t="shared" si="5"/>
        <v>765.65069216707548</v>
      </c>
      <c r="G22" s="505">
        <f ca="1">'FSM + Rev Scenarios'!G175</f>
        <v>792</v>
      </c>
      <c r="H22" s="503">
        <f ca="1">'FSM + Rev Scenarios'!H175</f>
        <v>725</v>
      </c>
      <c r="I22" s="503">
        <f ca="1">'FSM + Rev Scenarios'!I175</f>
        <v>725</v>
      </c>
      <c r="J22" s="503">
        <f ca="1">'FSM + Rev Scenarios'!J175</f>
        <v>725</v>
      </c>
      <c r="K22" s="507">
        <f ca="1">'FSM + Rev Scenarios'!K175</f>
        <v>725</v>
      </c>
      <c r="L22" s="217"/>
      <c r="M22" t="s">
        <v>312</v>
      </c>
      <c r="P22" s="62"/>
    </row>
    <row r="23" spans="3:16">
      <c r="C23" s="278" t="s">
        <v>195</v>
      </c>
      <c r="D23" s="483">
        <f t="shared" si="5"/>
        <v>452.46764641368719</v>
      </c>
      <c r="E23" s="483">
        <f t="shared" si="5"/>
        <v>439.32987452288984</v>
      </c>
      <c r="F23" s="480">
        <f t="shared" si="5"/>
        <v>431.95130354886874</v>
      </c>
      <c r="G23" s="481">
        <v>438.01</v>
      </c>
      <c r="H23" s="394">
        <v>415.67</v>
      </c>
      <c r="I23" s="394">
        <v>415.67</v>
      </c>
      <c r="J23" s="394">
        <v>415.67</v>
      </c>
      <c r="K23" s="482">
        <v>415.67</v>
      </c>
      <c r="L23" s="217"/>
      <c r="M23" t="s">
        <v>206</v>
      </c>
    </row>
    <row r="24" spans="3:16">
      <c r="C24" s="278" t="s">
        <v>196</v>
      </c>
      <c r="D24" s="483">
        <f t="shared" si="5"/>
        <v>1235.1763687513526</v>
      </c>
      <c r="E24" s="483">
        <f t="shared" si="5"/>
        <v>1342.7873876681731</v>
      </c>
      <c r="F24" s="483">
        <f t="shared" si="5"/>
        <v>1399.5277060794112</v>
      </c>
      <c r="G24" s="481">
        <v>1348</v>
      </c>
      <c r="H24" s="490">
        <v>1392</v>
      </c>
      <c r="I24" s="490">
        <v>1392</v>
      </c>
      <c r="J24" s="490">
        <v>1392</v>
      </c>
      <c r="K24" s="482">
        <v>1392</v>
      </c>
      <c r="M24" t="s">
        <v>206</v>
      </c>
    </row>
    <row r="25" spans="3:16">
      <c r="C25" s="278"/>
      <c r="D25" s="213"/>
      <c r="E25" s="213"/>
      <c r="F25" s="213"/>
      <c r="G25" s="221"/>
      <c r="H25" s="339"/>
      <c r="I25" s="339"/>
      <c r="J25" s="339"/>
      <c r="K25" s="223"/>
    </row>
    <row r="26" spans="3:16">
      <c r="C26" s="233" t="s">
        <v>202</v>
      </c>
      <c r="D26" s="295"/>
      <c r="E26" s="295"/>
      <c r="F26" s="295"/>
      <c r="G26" s="340"/>
      <c r="H26" s="295"/>
      <c r="I26" s="295"/>
      <c r="J26" s="295"/>
      <c r="K26" s="338"/>
      <c r="P26" s="62"/>
    </row>
    <row r="27" spans="3:16">
      <c r="C27" s="278" t="s">
        <v>194</v>
      </c>
      <c r="D27" s="90"/>
      <c r="E27" s="67">
        <f t="shared" ref="E27:K29" si="6">E17/D17-1</f>
        <v>2.2993713541371585E-2</v>
      </c>
      <c r="F27" s="67">
        <f t="shared" si="6"/>
        <v>4.4566240380889965E-3</v>
      </c>
      <c r="G27" s="106">
        <f t="shared" ca="1" si="6"/>
        <v>-0.20219362306060018</v>
      </c>
      <c r="H27" s="67">
        <f t="shared" ca="1" si="6"/>
        <v>9.8906160046056346E-2</v>
      </c>
      <c r="I27" s="67">
        <f t="shared" ca="1" si="6"/>
        <v>0</v>
      </c>
      <c r="J27" s="67">
        <f t="shared" ca="1" si="6"/>
        <v>0</v>
      </c>
      <c r="K27" s="109">
        <f t="shared" ca="1" si="6"/>
        <v>0</v>
      </c>
    </row>
    <row r="28" spans="3:16">
      <c r="C28" s="278" t="s">
        <v>195</v>
      </c>
      <c r="E28" s="67">
        <f t="shared" si="6"/>
        <v>-4.0293924106163614E-2</v>
      </c>
      <c r="F28" s="67">
        <f t="shared" si="6"/>
        <v>-4.98251548465245E-3</v>
      </c>
      <c r="G28" s="106">
        <f t="shared" si="6"/>
        <v>6.052601355231424E-2</v>
      </c>
      <c r="H28" s="67">
        <f t="shared" si="6"/>
        <v>6.6926575698505575E-2</v>
      </c>
      <c r="I28" s="67">
        <f t="shared" si="6"/>
        <v>0</v>
      </c>
      <c r="J28" s="67">
        <f t="shared" si="6"/>
        <v>0</v>
      </c>
      <c r="K28" s="109">
        <f t="shared" si="6"/>
        <v>0</v>
      </c>
    </row>
    <row r="29" spans="3:16">
      <c r="C29" s="278" t="s">
        <v>196</v>
      </c>
      <c r="D29" s="90"/>
      <c r="E29" s="67">
        <f t="shared" si="6"/>
        <v>4.1495347327418219E-2</v>
      </c>
      <c r="F29" s="67">
        <f t="shared" si="6"/>
        <v>-5.4127058334631939E-2</v>
      </c>
      <c r="G29" s="106">
        <f t="shared" si="6"/>
        <v>8.0235048602339543E-2</v>
      </c>
      <c r="H29" s="67">
        <f t="shared" si="6"/>
        <v>-2.6944585663446818E-2</v>
      </c>
      <c r="I29" s="67">
        <f t="shared" si="6"/>
        <v>0</v>
      </c>
      <c r="J29" s="67">
        <f t="shared" si="6"/>
        <v>0</v>
      </c>
      <c r="K29" s="109">
        <f t="shared" si="6"/>
        <v>0</v>
      </c>
    </row>
    <row r="30" spans="3:16">
      <c r="C30" s="307"/>
      <c r="G30" s="219"/>
      <c r="K30" s="220"/>
      <c r="P30" s="62"/>
    </row>
    <row r="31" spans="3:16">
      <c r="C31" s="24" t="s">
        <v>204</v>
      </c>
      <c r="G31" s="219"/>
      <c r="K31" s="220"/>
    </row>
    <row r="32" spans="3:16">
      <c r="C32" s="278" t="s">
        <v>194</v>
      </c>
      <c r="D32" s="341"/>
      <c r="E32" s="67">
        <f t="shared" ref="E32:K34" si="7">E22/D22-1</f>
        <v>1.0552954523428637E-2</v>
      </c>
      <c r="F32" s="67">
        <f t="shared" si="7"/>
        <v>0.17436000418462227</v>
      </c>
      <c r="G32" s="106">
        <f t="shared" ca="1" si="7"/>
        <v>3.4414267632079332E-2</v>
      </c>
      <c r="H32" s="67">
        <f t="shared" ca="1" si="7"/>
        <v>-8.4595959595959558E-2</v>
      </c>
      <c r="I32" s="67">
        <f t="shared" ca="1" si="7"/>
        <v>0</v>
      </c>
      <c r="J32" s="67">
        <f t="shared" ca="1" si="7"/>
        <v>0</v>
      </c>
      <c r="K32" s="109">
        <f t="shared" ca="1" si="7"/>
        <v>0</v>
      </c>
    </row>
    <row r="33" spans="3:13">
      <c r="C33" s="278" t="s">
        <v>195</v>
      </c>
      <c r="D33" s="341"/>
      <c r="E33" s="67">
        <f t="shared" si="7"/>
        <v>-2.9035826085972993E-2</v>
      </c>
      <c r="F33" s="67">
        <f t="shared" si="7"/>
        <v>-1.6795058569677779E-2</v>
      </c>
      <c r="G33" s="106">
        <f t="shared" si="7"/>
        <v>1.4026341398564179E-2</v>
      </c>
      <c r="H33" s="67">
        <f t="shared" si="7"/>
        <v>-5.1003401748818455E-2</v>
      </c>
      <c r="I33" s="67">
        <f t="shared" si="7"/>
        <v>0</v>
      </c>
      <c r="J33" s="67">
        <f t="shared" si="7"/>
        <v>0</v>
      </c>
      <c r="K33" s="109">
        <f t="shared" si="7"/>
        <v>0</v>
      </c>
    </row>
    <row r="34" spans="3:13">
      <c r="C34" s="278" t="s">
        <v>196</v>
      </c>
      <c r="D34" s="341"/>
      <c r="E34" s="67">
        <f t="shared" si="7"/>
        <v>8.7121986494613113E-2</v>
      </c>
      <c r="F34" s="67">
        <f t="shared" si="7"/>
        <v>4.2255623587417634E-2</v>
      </c>
      <c r="G34" s="106">
        <f t="shared" si="7"/>
        <v>-3.6817924972531779E-2</v>
      </c>
      <c r="H34" s="67">
        <f t="shared" si="7"/>
        <v>3.2640949554896048E-2</v>
      </c>
      <c r="I34" s="67">
        <f t="shared" si="7"/>
        <v>0</v>
      </c>
      <c r="J34" s="67">
        <f t="shared" si="7"/>
        <v>0</v>
      </c>
      <c r="K34" s="109">
        <f t="shared" si="7"/>
        <v>0</v>
      </c>
    </row>
    <row r="35" spans="3:13">
      <c r="G35" s="219"/>
      <c r="K35" s="220"/>
    </row>
    <row r="36" spans="3:13">
      <c r="C36" s="232" t="s">
        <v>208</v>
      </c>
      <c r="G36" s="219"/>
      <c r="K36" s="220"/>
    </row>
    <row r="37" spans="3:13">
      <c r="C37" s="278" t="s">
        <v>194</v>
      </c>
      <c r="E37" s="224">
        <f t="shared" ref="E37:K39" si="8">E7/D7-1</f>
        <v>3.3789319678127372E-2</v>
      </c>
      <c r="F37" s="224">
        <f t="shared" si="8"/>
        <v>0.1795936852086415</v>
      </c>
      <c r="G37" s="226">
        <f t="shared" ca="1" si="8"/>
        <v>-0.17473770088602814</v>
      </c>
      <c r="H37" s="224">
        <f t="shared" ca="1" si="8"/>
        <v>5.9431389310491411E-3</v>
      </c>
      <c r="I37" s="224">
        <f t="shared" ca="1" si="8"/>
        <v>0</v>
      </c>
      <c r="J37" s="224">
        <f t="shared" ca="1" si="8"/>
        <v>0</v>
      </c>
      <c r="K37" s="227">
        <f t="shared" ca="1" si="8"/>
        <v>0</v>
      </c>
    </row>
    <row r="38" spans="3:13">
      <c r="C38" s="278" t="s">
        <v>195</v>
      </c>
      <c r="E38" s="224">
        <f t="shared" si="8"/>
        <v>-6.8159782819468662E-2</v>
      </c>
      <c r="F38" s="224">
        <f t="shared" si="8"/>
        <v>-2.169389241494124E-2</v>
      </c>
      <c r="G38" s="226">
        <f t="shared" si="8"/>
        <v>7.5401313480457199E-2</v>
      </c>
      <c r="H38" s="224">
        <f t="shared" si="8"/>
        <v>1.2509690921663541E-2</v>
      </c>
      <c r="I38" s="224">
        <f t="shared" si="8"/>
        <v>0</v>
      </c>
      <c r="J38" s="224">
        <f t="shared" si="8"/>
        <v>0</v>
      </c>
      <c r="K38" s="227">
        <f t="shared" si="8"/>
        <v>0</v>
      </c>
    </row>
    <row r="39" spans="3:13">
      <c r="C39" s="278" t="s">
        <v>196</v>
      </c>
      <c r="E39" s="224">
        <f t="shared" si="8"/>
        <v>0.13223249091148004</v>
      </c>
      <c r="F39" s="224">
        <f t="shared" si="8"/>
        <v>-1.4158607350096664E-2</v>
      </c>
      <c r="G39" s="226">
        <f t="shared" si="8"/>
        <v>4.0463035630199373E-2</v>
      </c>
      <c r="H39" s="224">
        <f t="shared" si="8"/>
        <v>4.8168670300312577E-3</v>
      </c>
      <c r="I39" s="224">
        <f t="shared" si="8"/>
        <v>0</v>
      </c>
      <c r="J39" s="224">
        <f t="shared" si="8"/>
        <v>0</v>
      </c>
      <c r="K39" s="227">
        <f t="shared" si="8"/>
        <v>0</v>
      </c>
    </row>
    <row r="40" spans="3:13">
      <c r="C40" s="278" t="s">
        <v>200</v>
      </c>
      <c r="D40" s="290"/>
      <c r="E40" s="224">
        <f t="shared" ref="E40:H41" si="9">E11/D11-1</f>
        <v>0.23131263348118947</v>
      </c>
      <c r="F40" s="224">
        <f t="shared" si="9"/>
        <v>0.24049366244162784</v>
      </c>
      <c r="G40" s="228">
        <f t="shared" si="9"/>
        <v>0.22621672492605538</v>
      </c>
      <c r="H40" s="342">
        <f t="shared" si="9"/>
        <v>0.17518584303664242</v>
      </c>
      <c r="I40" s="436">
        <f>H40</f>
        <v>0.17518584303664242</v>
      </c>
      <c r="J40" s="436">
        <f t="shared" ref="J40:K40" si="10">I40</f>
        <v>0.17518584303664242</v>
      </c>
      <c r="K40" s="442">
        <f t="shared" si="10"/>
        <v>0.17518584303664242</v>
      </c>
      <c r="M40" t="s">
        <v>207</v>
      </c>
    </row>
    <row r="41" spans="3:13">
      <c r="C41" s="278" t="s">
        <v>201</v>
      </c>
      <c r="D41" s="290"/>
      <c r="E41" s="224">
        <f t="shared" si="9"/>
        <v>0.15549766439094492</v>
      </c>
      <c r="F41" s="224">
        <f t="shared" si="9"/>
        <v>0.35403871569618284</v>
      </c>
      <c r="G41" s="230">
        <f t="shared" si="9"/>
        <v>0.32508468737440421</v>
      </c>
      <c r="H41" s="231">
        <f t="shared" si="9"/>
        <v>0.13861085835608122</v>
      </c>
      <c r="I41" s="441">
        <f t="shared" ref="I41:K41" si="11">H41</f>
        <v>0.13861085835608122</v>
      </c>
      <c r="J41" s="441">
        <f t="shared" si="11"/>
        <v>0.13861085835608122</v>
      </c>
      <c r="K41" s="484">
        <f t="shared" si="11"/>
        <v>0.13861085835608122</v>
      </c>
      <c r="M41" t="s">
        <v>207</v>
      </c>
    </row>
    <row r="43" spans="3:13">
      <c r="M43" t="s">
        <v>212</v>
      </c>
    </row>
    <row r="44" spans="3:13">
      <c r="M44" t="s">
        <v>213</v>
      </c>
    </row>
    <row r="47" spans="3:13" ht="15" customHeight="1"/>
    <row r="49" ht="15" customHeight="1"/>
    <row r="50" ht="15" customHeight="1"/>
    <row r="52" ht="15" customHeight="1"/>
    <row r="53" ht="15" customHeight="1"/>
    <row r="54" ht="15.75" customHeight="1"/>
  </sheetData>
  <pageMargins left="0.7" right="0.7" top="0.75" bottom="0.75" header="0.3" footer="0.3"/>
  <pageSetup scale="48" fitToHeight="0"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CF8D7-95AE-4C18-9E36-516FB76990B4}">
  <sheetPr>
    <pageSetUpPr fitToPage="1"/>
  </sheetPr>
  <dimension ref="B1:T216"/>
  <sheetViews>
    <sheetView topLeftCell="A204" zoomScaleNormal="100" workbookViewId="0">
      <selection activeCell="G214" sqref="G214"/>
    </sheetView>
  </sheetViews>
  <sheetFormatPr defaultColWidth="8.85546875" defaultRowHeight="15"/>
  <cols>
    <col min="1" max="2" width="1.7109375" customWidth="1"/>
    <col min="3" max="3" width="58.28515625" bestFit="1" customWidth="1"/>
    <col min="4" max="4" width="13.28515625" bestFit="1" customWidth="1"/>
    <col min="5" max="11" width="11.42578125" customWidth="1"/>
    <col min="12" max="12" width="2.28515625" customWidth="1"/>
    <col min="13" max="13" width="11.42578125" customWidth="1"/>
    <col min="14" max="14" width="11.85546875" customWidth="1"/>
    <col min="15" max="17" width="10.28515625" bestFit="1" customWidth="1"/>
    <col min="18" max="19" width="9.42578125" bestFit="1" customWidth="1"/>
  </cols>
  <sheetData>
    <row r="1" spans="2:19" ht="15.75" thickBot="1"/>
    <row r="2" spans="2:19" ht="15.75" thickBot="1">
      <c r="C2" s="96" t="str">
        <f>"Financial Statement Model for "&amp;D5</f>
        <v>Financial Statement Model for Apple</v>
      </c>
      <c r="D2" s="263"/>
      <c r="E2" s="263"/>
      <c r="F2" s="263"/>
      <c r="G2" s="263"/>
      <c r="H2" s="263"/>
      <c r="I2" s="263"/>
      <c r="J2" s="263"/>
      <c r="K2" s="263"/>
    </row>
    <row r="3" spans="2:19">
      <c r="C3" s="264" t="s">
        <v>46</v>
      </c>
      <c r="D3" s="265"/>
      <c r="E3" s="265"/>
      <c r="F3" s="265"/>
      <c r="G3" s="265"/>
      <c r="H3" s="265"/>
    </row>
    <row r="5" spans="2:19">
      <c r="C5" s="266" t="s">
        <v>5</v>
      </c>
      <c r="D5" s="267" t="s">
        <v>50</v>
      </c>
      <c r="H5" s="530"/>
    </row>
    <row r="6" spans="2:19">
      <c r="C6" s="266" t="s">
        <v>6</v>
      </c>
      <c r="D6" s="267" t="s">
        <v>51</v>
      </c>
    </row>
    <row r="7" spans="2:19">
      <c r="C7" t="s">
        <v>109</v>
      </c>
      <c r="D7" s="113">
        <v>1</v>
      </c>
      <c r="G7" s="320"/>
    </row>
    <row r="8" spans="2:19">
      <c r="C8" t="s">
        <v>73</v>
      </c>
      <c r="D8" s="114">
        <v>171.25</v>
      </c>
      <c r="G8" s="320"/>
    </row>
    <row r="9" spans="2:19">
      <c r="C9" t="s">
        <v>9</v>
      </c>
      <c r="D9" s="115">
        <v>43500</v>
      </c>
      <c r="G9" s="527"/>
      <c r="J9" s="528"/>
    </row>
    <row r="10" spans="2:19">
      <c r="C10" s="266" t="s">
        <v>8</v>
      </c>
      <c r="D10" s="116">
        <v>43372</v>
      </c>
      <c r="G10" s="527"/>
    </row>
    <row r="11" spans="2:19" ht="15" customHeight="1">
      <c r="C11" t="s">
        <v>292</v>
      </c>
      <c r="D11" s="268">
        <v>4745.3980000000001</v>
      </c>
      <c r="H11" s="529"/>
    </row>
    <row r="12" spans="2:19">
      <c r="C12" t="s">
        <v>82</v>
      </c>
      <c r="D12" s="113" t="s">
        <v>83</v>
      </c>
    </row>
    <row r="13" spans="2:19">
      <c r="C13" s="24"/>
      <c r="D13" s="24"/>
    </row>
    <row r="14" spans="2:19">
      <c r="B14" t="s">
        <v>317</v>
      </c>
      <c r="C14" s="7" t="s">
        <v>19</v>
      </c>
      <c r="D14" s="269"/>
      <c r="E14" s="269"/>
      <c r="F14" s="269"/>
      <c r="G14" s="269"/>
      <c r="H14" s="269"/>
      <c r="I14" s="269"/>
      <c r="J14" s="269"/>
      <c r="K14" s="269"/>
    </row>
    <row r="15" spans="2:19">
      <c r="C15" t="s">
        <v>10</v>
      </c>
      <c r="D15" s="270">
        <f>E15-1</f>
        <v>2016</v>
      </c>
      <c r="E15" s="270">
        <f>F15-1</f>
        <v>2017</v>
      </c>
      <c r="F15" s="270">
        <f>YEAR(D10)</f>
        <v>2018</v>
      </c>
      <c r="G15" s="271">
        <f>F15+1</f>
        <v>2019</v>
      </c>
      <c r="H15" s="271">
        <f>G15+1</f>
        <v>2020</v>
      </c>
      <c r="I15" s="271">
        <f>H15+1</f>
        <v>2021</v>
      </c>
      <c r="J15" s="271">
        <f>I15+1</f>
        <v>2022</v>
      </c>
      <c r="K15" s="271">
        <f>J15+1</f>
        <v>2023</v>
      </c>
    </row>
    <row r="16" spans="2:19">
      <c r="C16" s="12" t="s">
        <v>7</v>
      </c>
      <c r="D16" s="89">
        <f>EOMONTH(E16,-12)</f>
        <v>42643</v>
      </c>
      <c r="E16" s="89">
        <f>EOMONTH(F16,-12)</f>
        <v>43008</v>
      </c>
      <c r="F16" s="89">
        <f>D10</f>
        <v>43372</v>
      </c>
      <c r="G16" s="89">
        <f>EOMONTH(F16,12)</f>
        <v>43738</v>
      </c>
      <c r="H16" s="89">
        <f>EOMONTH(G16,12)</f>
        <v>44104</v>
      </c>
      <c r="I16" s="89">
        <f>EOMONTH(H16,12)</f>
        <v>44469</v>
      </c>
      <c r="J16" s="89">
        <f>EOMONTH(I16,12)</f>
        <v>44834</v>
      </c>
      <c r="K16" s="89">
        <f>EOMONTH(J16,12)</f>
        <v>45199</v>
      </c>
      <c r="M16" s="84" t="s">
        <v>86</v>
      </c>
      <c r="N16" s="272"/>
      <c r="O16" s="272"/>
      <c r="P16" s="272"/>
      <c r="Q16" s="272"/>
      <c r="R16" s="272"/>
      <c r="S16" s="272"/>
    </row>
    <row r="17" spans="3:14">
      <c r="C17" s="273"/>
      <c r="D17" s="274"/>
      <c r="E17" s="275"/>
      <c r="F17" s="275"/>
      <c r="G17" s="276"/>
      <c r="H17" s="277"/>
      <c r="I17" s="277"/>
      <c r="J17" s="275"/>
      <c r="K17" s="275"/>
    </row>
    <row r="18" spans="3:14" ht="15" customHeight="1">
      <c r="C18" t="s">
        <v>11</v>
      </c>
      <c r="D18" s="3">
        <v>215639</v>
      </c>
      <c r="E18" s="3">
        <v>229234</v>
      </c>
      <c r="F18" s="3">
        <v>265595</v>
      </c>
      <c r="G18" s="33">
        <f ca="1">F18*(1+G37)</f>
        <v>252990.4817</v>
      </c>
      <c r="H18" s="33">
        <f ca="1">G18*(1+H37)</f>
        <v>265376.78419999999</v>
      </c>
      <c r="I18" s="33">
        <f ca="1">H18*(1+I37)</f>
        <v>278407.76003590086</v>
      </c>
      <c r="J18" s="33">
        <f ca="1">I18*(1+J37)</f>
        <v>293588.357044834</v>
      </c>
      <c r="K18" s="33">
        <f ca="1">J18*(1+K37)</f>
        <v>311276.6925034704</v>
      </c>
      <c r="M18" t="s">
        <v>87</v>
      </c>
    </row>
    <row r="19" spans="3:14">
      <c r="C19" t="s">
        <v>14</v>
      </c>
      <c r="D19" s="3">
        <v>-131376</v>
      </c>
      <c r="E19" s="3">
        <v>-141048</v>
      </c>
      <c r="F19" s="3">
        <v>-163756</v>
      </c>
      <c r="G19" s="33">
        <f ca="1">G20-G18</f>
        <v>-157360.07961740001</v>
      </c>
      <c r="H19" s="33">
        <f ca="1">H20-H18</f>
        <v>-164268.22941979999</v>
      </c>
      <c r="I19" s="33">
        <f ca="1">I20-I18</f>
        <v>-172055.99570218672</v>
      </c>
      <c r="J19" s="33">
        <f ca="1">J20-J18</f>
        <v>-181437.60465370741</v>
      </c>
      <c r="K19" s="33">
        <f ca="1">K20-K18</f>
        <v>-192368.99596714473</v>
      </c>
      <c r="M19" t="s">
        <v>88</v>
      </c>
    </row>
    <row r="20" spans="3:14">
      <c r="C20" s="24" t="s">
        <v>13</v>
      </c>
      <c r="D20" s="69">
        <f>SUM(D18:D19)</f>
        <v>84263</v>
      </c>
      <c r="E20" s="69">
        <f>SUM(E18:E19)</f>
        <v>88186</v>
      </c>
      <c r="F20" s="69">
        <f>SUM(F18:F19)</f>
        <v>101839</v>
      </c>
      <c r="G20" s="69">
        <f ca="1">G18*G38</f>
        <v>95630.402082600005</v>
      </c>
      <c r="H20" s="69">
        <f ca="1">H18*H38</f>
        <v>101108.55478019999</v>
      </c>
      <c r="I20" s="69">
        <f ca="1">I18*I38</f>
        <v>106351.76433371413</v>
      </c>
      <c r="J20" s="69">
        <f ca="1">J18*J38</f>
        <v>112150.75239112659</v>
      </c>
      <c r="K20" s="69">
        <f ca="1">K18*K38</f>
        <v>118907.69653632569</v>
      </c>
      <c r="M20" s="140" t="s">
        <v>89</v>
      </c>
    </row>
    <row r="21" spans="3:14">
      <c r="C21" t="s">
        <v>52</v>
      </c>
      <c r="D21" s="3">
        <v>-10045</v>
      </c>
      <c r="E21" s="3">
        <v>-11581</v>
      </c>
      <c r="F21" s="3">
        <v>-14236</v>
      </c>
      <c r="G21" s="33">
        <f ca="1">-G39*G18</f>
        <v>-15685.409865400001</v>
      </c>
      <c r="H21" s="33">
        <f ca="1">-H39*H18</f>
        <v>-16718.7374046</v>
      </c>
      <c r="I21" s="33">
        <f ca="1">-I39*I18</f>
        <v>-17539.688882261755</v>
      </c>
      <c r="J21" s="33">
        <f ca="1">-J39*J18</f>
        <v>-18496.066493824543</v>
      </c>
      <c r="K21" s="33">
        <f ca="1">-K39*K18</f>
        <v>-19610.431627718637</v>
      </c>
      <c r="M21" s="140" t="s">
        <v>233</v>
      </c>
    </row>
    <row r="22" spans="3:14">
      <c r="C22" t="s">
        <v>16</v>
      </c>
      <c r="D22" s="3">
        <v>-14194</v>
      </c>
      <c r="E22" s="3">
        <v>-15261</v>
      </c>
      <c r="F22" s="3">
        <v>-16705</v>
      </c>
      <c r="G22" s="33">
        <f ca="1">-G18*G40</f>
        <v>-18721.295645800001</v>
      </c>
      <c r="H22" s="33">
        <f ca="1">-H18*H40</f>
        <v>-18310.998109800003</v>
      </c>
      <c r="I22" s="33">
        <f ca="1">-I18*I40</f>
        <v>-19210.13544247716</v>
      </c>
      <c r="J22" s="33">
        <f ca="1">-J18*J40</f>
        <v>-20257.596636093549</v>
      </c>
      <c r="K22" s="33">
        <f ca="1">-K18*K40</f>
        <v>-21478.091782739459</v>
      </c>
      <c r="M22" s="140" t="s">
        <v>235</v>
      </c>
    </row>
    <row r="23" spans="3:14">
      <c r="C23" s="24" t="s">
        <v>3</v>
      </c>
      <c r="D23" s="69">
        <f t="shared" ref="D23:K23" si="0">D20+D21+D22</f>
        <v>60024</v>
      </c>
      <c r="E23" s="69">
        <f t="shared" si="0"/>
        <v>61344</v>
      </c>
      <c r="F23" s="69">
        <f t="shared" si="0"/>
        <v>70898</v>
      </c>
      <c r="G23" s="69">
        <f t="shared" ca="1" si="0"/>
        <v>61223.696571400011</v>
      </c>
      <c r="H23" s="69">
        <f t="shared" ca="1" si="0"/>
        <v>66078.81926579999</v>
      </c>
      <c r="I23" s="69">
        <f t="shared" ca="1" si="0"/>
        <v>69601.940008975216</v>
      </c>
      <c r="J23" s="69">
        <f t="shared" ca="1" si="0"/>
        <v>73397.089261208486</v>
      </c>
      <c r="K23" s="69">
        <f t="shared" ca="1" si="0"/>
        <v>77819.173125867601</v>
      </c>
      <c r="M23" s="24" t="s">
        <v>90</v>
      </c>
    </row>
    <row r="24" spans="3:14">
      <c r="C24" t="s">
        <v>4</v>
      </c>
      <c r="D24" s="3">
        <v>3999</v>
      </c>
      <c r="E24" s="3">
        <v>5201</v>
      </c>
      <c r="F24" s="3">
        <v>5686</v>
      </c>
      <c r="G24" s="153">
        <f>G157</f>
        <v>5121.3600000000006</v>
      </c>
      <c r="H24" s="153">
        <f ca="1">H157</f>
        <v>4355.5991830484472</v>
      </c>
      <c r="I24" s="153">
        <f ca="1">I157</f>
        <v>3768.3359227849814</v>
      </c>
      <c r="J24" s="153">
        <f ca="1">J157</f>
        <v>3252.1605894896438</v>
      </c>
      <c r="K24" s="153">
        <f ca="1">K157</f>
        <v>2815.5643897959931</v>
      </c>
      <c r="M24" t="s">
        <v>95</v>
      </c>
    </row>
    <row r="25" spans="3:14">
      <c r="C25" t="s">
        <v>17</v>
      </c>
      <c r="D25" s="3">
        <v>-1456</v>
      </c>
      <c r="E25" s="3">
        <v>-2323</v>
      </c>
      <c r="F25" s="3">
        <v>-3240</v>
      </c>
      <c r="G25" s="153">
        <f>-G143</f>
        <v>-3222.7544651501776</v>
      </c>
      <c r="H25" s="153">
        <f ca="1">-H143</f>
        <v>-3223.5392651501775</v>
      </c>
      <c r="I25" s="153">
        <f ca="1">-I143</f>
        <v>-3223.5392651501775</v>
      </c>
      <c r="J25" s="153">
        <f ca="1">-J143</f>
        <v>-3223.5392651501775</v>
      </c>
      <c r="K25" s="153">
        <f ca="1">-K143</f>
        <v>-3223.5392651501775</v>
      </c>
      <c r="M25" t="s">
        <v>94</v>
      </c>
    </row>
    <row r="26" spans="3:14">
      <c r="C26" t="s">
        <v>53</v>
      </c>
      <c r="D26" s="3">
        <v>-1195</v>
      </c>
      <c r="E26" s="3">
        <v>-133</v>
      </c>
      <c r="F26" s="3">
        <v>-441</v>
      </c>
      <c r="G26" s="153">
        <f>F26</f>
        <v>-441</v>
      </c>
      <c r="H26" s="153">
        <f>G26</f>
        <v>-441</v>
      </c>
      <c r="I26" s="153">
        <f>H26</f>
        <v>-441</v>
      </c>
      <c r="J26" s="153">
        <f>I26</f>
        <v>-441</v>
      </c>
      <c r="K26" s="153">
        <f>J26</f>
        <v>-441</v>
      </c>
      <c r="M26" t="s">
        <v>91</v>
      </c>
    </row>
    <row r="27" spans="3:14">
      <c r="C27" s="24" t="s">
        <v>12</v>
      </c>
      <c r="D27" s="69">
        <f t="shared" ref="D27:K27" si="1">SUM(D23:D26)</f>
        <v>61372</v>
      </c>
      <c r="E27" s="69">
        <f t="shared" si="1"/>
        <v>64089</v>
      </c>
      <c r="F27" s="69">
        <f t="shared" si="1"/>
        <v>72903</v>
      </c>
      <c r="G27" s="69">
        <f ca="1">SUM(G23:G26)</f>
        <v>62681.30210624983</v>
      </c>
      <c r="H27" s="69">
        <f ca="1">SUM(H23:H26)</f>
        <v>66769.879183698256</v>
      </c>
      <c r="I27" s="69">
        <f t="shared" ca="1" si="1"/>
        <v>69705.736666610028</v>
      </c>
      <c r="J27" s="69">
        <f t="shared" ca="1" si="1"/>
        <v>72984.71058554796</v>
      </c>
      <c r="K27" s="69">
        <f t="shared" ca="1" si="1"/>
        <v>76970.198250513422</v>
      </c>
      <c r="M27" s="24" t="s">
        <v>96</v>
      </c>
      <c r="N27" s="24"/>
    </row>
    <row r="28" spans="3:14">
      <c r="C28" t="s">
        <v>15</v>
      </c>
      <c r="D28" s="3">
        <v>-15685</v>
      </c>
      <c r="E28" s="3">
        <v>-15738</v>
      </c>
      <c r="F28" s="3">
        <v>-13372</v>
      </c>
      <c r="G28" s="33">
        <f ca="1">-G41*G27</f>
        <v>-10467.777451743723</v>
      </c>
      <c r="H28" s="33">
        <f ca="1">-H41*H27</f>
        <v>-11350.879461228704</v>
      </c>
      <c r="I28" s="33">
        <f ca="1">-I41*I27</f>
        <v>-11780.269496657096</v>
      </c>
      <c r="J28" s="33">
        <f ca="1">-J41*J27</f>
        <v>-12334.416088957607</v>
      </c>
      <c r="K28" s="33">
        <f ca="1">-K41*K27</f>
        <v>-13007.963504336769</v>
      </c>
      <c r="M28" t="s">
        <v>92</v>
      </c>
    </row>
    <row r="29" spans="3:14">
      <c r="C29" s="24" t="s">
        <v>2</v>
      </c>
      <c r="D29" s="69">
        <f t="shared" ref="D29:K29" si="2">SUM(D27:D28)</f>
        <v>45687</v>
      </c>
      <c r="E29" s="69">
        <f t="shared" si="2"/>
        <v>48351</v>
      </c>
      <c r="F29" s="69">
        <f t="shared" si="2"/>
        <v>59531</v>
      </c>
      <c r="G29" s="69">
        <f ca="1">SUM(G27:G28)</f>
        <v>52213.524654506109</v>
      </c>
      <c r="H29" s="69">
        <f ca="1">SUM(H27:H28)</f>
        <v>55418.999722469554</v>
      </c>
      <c r="I29" s="69">
        <f t="shared" ca="1" si="2"/>
        <v>57925.467169952928</v>
      </c>
      <c r="J29" s="69">
        <f t="shared" ca="1" si="2"/>
        <v>60650.294496590352</v>
      </c>
      <c r="K29" s="69">
        <f t="shared" ca="1" si="2"/>
        <v>63962.234746176655</v>
      </c>
      <c r="M29" s="24" t="s">
        <v>93</v>
      </c>
    </row>
    <row r="30" spans="3:14">
      <c r="C30" s="278"/>
      <c r="D30" s="153"/>
      <c r="E30" s="153"/>
      <c r="F30" s="153"/>
      <c r="G30" s="153"/>
      <c r="H30" s="153"/>
      <c r="I30" s="153"/>
      <c r="J30" s="153"/>
      <c r="K30" s="153"/>
    </row>
    <row r="31" spans="3:14">
      <c r="C31" s="279" t="s">
        <v>49</v>
      </c>
      <c r="D31" s="3">
        <v>10505</v>
      </c>
      <c r="E31" s="3">
        <v>10157</v>
      </c>
      <c r="F31" s="3">
        <v>10903</v>
      </c>
      <c r="G31" s="153">
        <f ca="1">G107</f>
        <v>11073.065535688591</v>
      </c>
      <c r="H31" s="153">
        <f ca="1">H107</f>
        <v>11682.360902273253</v>
      </c>
      <c r="I31" s="153">
        <f ca="1">I107</f>
        <v>12162.945527572734</v>
      </c>
      <c r="J31" s="153">
        <f ca="1">J107</f>
        <v>13117.598244801113</v>
      </c>
      <c r="K31" s="153">
        <f ca="1">K107</f>
        <v>14216.926852040826</v>
      </c>
      <c r="M31" t="s">
        <v>159</v>
      </c>
    </row>
    <row r="32" spans="3:14">
      <c r="C32" s="280" t="s">
        <v>47</v>
      </c>
      <c r="D32" s="69">
        <f t="shared" ref="D32:K32" si="3">D23+D31</f>
        <v>70529</v>
      </c>
      <c r="E32" s="69">
        <f t="shared" si="3"/>
        <v>71501</v>
      </c>
      <c r="F32" s="69">
        <f t="shared" si="3"/>
        <v>81801</v>
      </c>
      <c r="G32" s="69">
        <f t="shared" ca="1" si="3"/>
        <v>72296.762107088609</v>
      </c>
      <c r="H32" s="69">
        <f t="shared" ca="1" si="3"/>
        <v>77761.180168073246</v>
      </c>
      <c r="I32" s="69">
        <f t="shared" ca="1" si="3"/>
        <v>81764.885536547954</v>
      </c>
      <c r="J32" s="69">
        <f t="shared" ca="1" si="3"/>
        <v>86514.687506009592</v>
      </c>
      <c r="K32" s="69">
        <f t="shared" ca="1" si="3"/>
        <v>92036.099977908423</v>
      </c>
      <c r="M32" s="24" t="s">
        <v>97</v>
      </c>
    </row>
    <row r="33" spans="2:20">
      <c r="C33" s="279" t="s">
        <v>74</v>
      </c>
      <c r="D33" s="3">
        <v>4210</v>
      </c>
      <c r="E33" s="3">
        <v>4840</v>
      </c>
      <c r="F33" s="3">
        <v>5340</v>
      </c>
      <c r="G33" s="153">
        <f ca="1">F33*(1+G37)</f>
        <v>5086.5760736384345</v>
      </c>
      <c r="H33" s="153">
        <f ca="1">G33*(1+H37)</f>
        <v>5335.6125967281014</v>
      </c>
      <c r="I33" s="153">
        <f ca="1">H33*(1+I37)</f>
        <v>5597.6107930936605</v>
      </c>
      <c r="J33" s="153">
        <f ca="1">I33*(1+J37)</f>
        <v>5902.8288432365589</v>
      </c>
      <c r="K33" s="153">
        <f ca="1">J33*(1+K37)</f>
        <v>6258.4669815641573</v>
      </c>
      <c r="M33" t="s">
        <v>99</v>
      </c>
    </row>
    <row r="34" spans="2:20">
      <c r="C34" s="280" t="s">
        <v>72</v>
      </c>
      <c r="D34" s="69">
        <f t="shared" ref="D34:K34" si="4">SUM(D32:D33)</f>
        <v>74739</v>
      </c>
      <c r="E34" s="69">
        <f t="shared" si="4"/>
        <v>76341</v>
      </c>
      <c r="F34" s="69">
        <f>SUM(F32:F33)</f>
        <v>87141</v>
      </c>
      <c r="G34" s="69">
        <f t="shared" ca="1" si="4"/>
        <v>77383.338180727049</v>
      </c>
      <c r="H34" s="69">
        <f t="shared" ca="1" si="4"/>
        <v>83096.792764801343</v>
      </c>
      <c r="I34" s="69">
        <f t="shared" ca="1" si="4"/>
        <v>87362.49632964161</v>
      </c>
      <c r="J34" s="69">
        <f t="shared" ca="1" si="4"/>
        <v>92417.516349246143</v>
      </c>
      <c r="K34" s="69">
        <f t="shared" ca="1" si="4"/>
        <v>98294.566959472577</v>
      </c>
      <c r="M34" s="24" t="s">
        <v>98</v>
      </c>
    </row>
    <row r="35" spans="2:20">
      <c r="C35" s="278"/>
      <c r="G35" s="281"/>
    </row>
    <row r="36" spans="2:20">
      <c r="C36" s="25" t="s">
        <v>18</v>
      </c>
    </row>
    <row r="37" spans="2:20">
      <c r="C37" s="278" t="s">
        <v>1</v>
      </c>
      <c r="D37" s="67"/>
      <c r="E37" s="67">
        <f>E18/D18-1</f>
        <v>6.304518199398057E-2</v>
      </c>
      <c r="F37" s="67">
        <f>F18/E18-1</f>
        <v>0.15861957650261305</v>
      </c>
      <c r="G37" s="502">
        <f ca="1">'Rev Build'!G14</f>
        <v>-4.7457664112652731E-2</v>
      </c>
      <c r="H37" s="502">
        <f ca="1">'Rev Build'!H14</f>
        <v>4.8959559335073566E-2</v>
      </c>
      <c r="I37" s="502">
        <f ca="1">'Rev Build'!I14</f>
        <v>4.9103676778599281E-2</v>
      </c>
      <c r="J37" s="502">
        <f ca="1">'Rev Build'!J14</f>
        <v>5.452648664310078E-2</v>
      </c>
      <c r="K37" s="502">
        <f ca="1">'Rev Build'!K14</f>
        <v>6.0248763393349503E-2</v>
      </c>
      <c r="M37" t="s">
        <v>315</v>
      </c>
      <c r="O37" s="283"/>
      <c r="P37" s="283"/>
      <c r="Q37" s="283"/>
      <c r="R37" s="283"/>
      <c r="S37" s="283"/>
      <c r="T37" s="283"/>
    </row>
    <row r="38" spans="2:20">
      <c r="C38" s="278" t="s">
        <v>231</v>
      </c>
      <c r="D38" s="67">
        <f>D20/D18</f>
        <v>0.39075955648097049</v>
      </c>
      <c r="E38" s="67">
        <f>E20/E18</f>
        <v>0.38469860491899105</v>
      </c>
      <c r="F38" s="67">
        <f>F20/F18</f>
        <v>0.38343718820007905</v>
      </c>
      <c r="G38" s="67">
        <f t="shared" ref="G38:K40" ca="1" si="5">G177</f>
        <v>0.378</v>
      </c>
      <c r="H38" s="67">
        <f t="shared" ca="1" si="5"/>
        <v>0.38100000000000001</v>
      </c>
      <c r="I38" s="67">
        <f t="shared" ca="1" si="5"/>
        <v>0.38200000000000001</v>
      </c>
      <c r="J38" s="67">
        <f t="shared" ca="1" si="5"/>
        <v>0.38200000000000001</v>
      </c>
      <c r="K38" s="67">
        <f t="shared" ca="1" si="5"/>
        <v>0.38200000000000001</v>
      </c>
      <c r="M38" t="s">
        <v>192</v>
      </c>
      <c r="O38" s="283"/>
      <c r="P38" s="283"/>
      <c r="Q38" s="283"/>
      <c r="R38" s="283"/>
      <c r="S38" s="283"/>
      <c r="T38" s="283"/>
    </row>
    <row r="39" spans="2:20">
      <c r="C39" s="278" t="s">
        <v>232</v>
      </c>
      <c r="D39" s="67">
        <f>-D21/D18</f>
        <v>4.6582482760539605E-2</v>
      </c>
      <c r="E39" s="67">
        <f>-E21/E18</f>
        <v>5.0520428906706681E-2</v>
      </c>
      <c r="F39" s="67">
        <f>-F21/F18</f>
        <v>5.3600406634161032E-2</v>
      </c>
      <c r="G39" s="67">
        <f t="shared" ca="1" si="5"/>
        <v>6.2E-2</v>
      </c>
      <c r="H39" s="67">
        <f t="shared" ca="1" si="5"/>
        <v>6.3E-2</v>
      </c>
      <c r="I39" s="67">
        <f t="shared" ca="1" si="5"/>
        <v>6.3E-2</v>
      </c>
      <c r="J39" s="67">
        <f t="shared" ca="1" si="5"/>
        <v>6.3E-2</v>
      </c>
      <c r="K39" s="67">
        <f t="shared" ca="1" si="5"/>
        <v>6.3E-2</v>
      </c>
      <c r="M39" t="s">
        <v>192</v>
      </c>
      <c r="O39" s="283"/>
      <c r="P39" s="283"/>
      <c r="Q39" s="283"/>
      <c r="R39" s="283"/>
      <c r="S39" s="283"/>
      <c r="T39" s="283"/>
    </row>
    <row r="40" spans="2:20">
      <c r="C40" s="278" t="s">
        <v>234</v>
      </c>
      <c r="D40" s="67">
        <f>-D22/D18</f>
        <v>6.5822972653369755E-2</v>
      </c>
      <c r="E40" s="67">
        <f>-E22/E18</f>
        <v>6.6573893924984945E-2</v>
      </c>
      <c r="F40" s="67">
        <f>-F22/F18</f>
        <v>6.2896515371147807E-2</v>
      </c>
      <c r="G40" s="67">
        <f t="shared" ca="1" si="5"/>
        <v>7.3999999999999996E-2</v>
      </c>
      <c r="H40" s="67">
        <f t="shared" ca="1" si="5"/>
        <v>6.9000000000000006E-2</v>
      </c>
      <c r="I40" s="67">
        <f t="shared" ca="1" si="5"/>
        <v>6.9000000000000006E-2</v>
      </c>
      <c r="J40" s="67">
        <f t="shared" ca="1" si="5"/>
        <v>6.9000000000000006E-2</v>
      </c>
      <c r="K40" s="67">
        <f t="shared" ca="1" si="5"/>
        <v>6.9000000000000006E-2</v>
      </c>
      <c r="M40" t="s">
        <v>192</v>
      </c>
      <c r="O40" s="283"/>
      <c r="P40" s="283"/>
      <c r="Q40" s="283"/>
      <c r="R40" s="283"/>
      <c r="S40" s="283"/>
      <c r="T40" s="283"/>
    </row>
    <row r="41" spans="2:20">
      <c r="C41" s="278" t="s">
        <v>0</v>
      </c>
      <c r="D41" s="67">
        <f>-(D28/D27)</f>
        <v>0.25557257381216192</v>
      </c>
      <c r="E41" s="67">
        <f>-(E28/E27)</f>
        <v>0.24556476150353415</v>
      </c>
      <c r="F41" s="67">
        <f>-(F28/F27)</f>
        <v>0.18342180705869443</v>
      </c>
      <c r="G41" s="283">
        <v>0.16700000000000001</v>
      </c>
      <c r="H41" s="283">
        <v>0.17</v>
      </c>
      <c r="I41" s="283">
        <v>0.16900000000000001</v>
      </c>
      <c r="J41" s="67">
        <f>I41</f>
        <v>0.16900000000000001</v>
      </c>
      <c r="K41" s="67">
        <f>J41</f>
        <v>0.16900000000000001</v>
      </c>
      <c r="M41" t="s">
        <v>153</v>
      </c>
      <c r="O41" s="283"/>
      <c r="P41" s="283"/>
      <c r="Q41" s="283"/>
      <c r="R41" s="283"/>
      <c r="S41" s="283"/>
      <c r="T41" s="283"/>
    </row>
    <row r="42" spans="2:20">
      <c r="C42" s="278"/>
      <c r="G42" s="281"/>
    </row>
    <row r="43" spans="2:20">
      <c r="B43" t="s">
        <v>317</v>
      </c>
      <c r="C43" s="7" t="s">
        <v>20</v>
      </c>
      <c r="D43" s="13"/>
      <c r="E43" s="13"/>
      <c r="F43" s="13"/>
      <c r="G43" s="269"/>
      <c r="H43" s="269"/>
      <c r="I43" s="269"/>
      <c r="J43" s="269"/>
      <c r="K43" s="269"/>
    </row>
    <row r="44" spans="2:20">
      <c r="C44" s="35" t="str">
        <f>C15</f>
        <v xml:space="preserve">Fiscal year  </v>
      </c>
      <c r="D44" s="284"/>
      <c r="E44" s="284">
        <f t="shared" ref="E44:K45" si="6">E15</f>
        <v>2017</v>
      </c>
      <c r="F44" s="284">
        <f t="shared" si="6"/>
        <v>2018</v>
      </c>
      <c r="G44" s="285">
        <f t="shared" si="6"/>
        <v>2019</v>
      </c>
      <c r="H44" s="285">
        <f t="shared" si="6"/>
        <v>2020</v>
      </c>
      <c r="I44" s="285">
        <f t="shared" si="6"/>
        <v>2021</v>
      </c>
      <c r="J44" s="285">
        <f t="shared" si="6"/>
        <v>2022</v>
      </c>
      <c r="K44" s="285">
        <f t="shared" si="6"/>
        <v>2023</v>
      </c>
    </row>
    <row r="45" spans="2:20">
      <c r="C45" s="269" t="str">
        <f>C16</f>
        <v>Fiscal year end date</v>
      </c>
      <c r="D45" s="32"/>
      <c r="E45" s="32">
        <f t="shared" si="6"/>
        <v>43008</v>
      </c>
      <c r="F45" s="32">
        <f t="shared" si="6"/>
        <v>43372</v>
      </c>
      <c r="G45" s="32">
        <f t="shared" si="6"/>
        <v>43738</v>
      </c>
      <c r="H45" s="32">
        <f t="shared" si="6"/>
        <v>44104</v>
      </c>
      <c r="I45" s="32">
        <f t="shared" si="6"/>
        <v>44469</v>
      </c>
      <c r="J45" s="32">
        <f t="shared" si="6"/>
        <v>44834</v>
      </c>
      <c r="K45" s="32">
        <f t="shared" si="6"/>
        <v>45199</v>
      </c>
    </row>
    <row r="46" spans="2:20">
      <c r="C46" t="s">
        <v>138</v>
      </c>
      <c r="D46" s="3"/>
      <c r="E46" s="3">
        <f>20289+53892+194714</f>
        <v>268895</v>
      </c>
      <c r="F46" s="3">
        <f>25913+40388+170799</f>
        <v>237100</v>
      </c>
      <c r="G46" s="153">
        <f ca="1">G91+F46</f>
        <v>201648.11032631699</v>
      </c>
      <c r="H46" s="153">
        <f ca="1">H91+G46</f>
        <v>174459.99642523061</v>
      </c>
      <c r="I46" s="153">
        <f ca="1">I91+H46</f>
        <v>150562.99025415018</v>
      </c>
      <c r="J46" s="153">
        <f ca="1">J91+I46</f>
        <v>130350.20323129596</v>
      </c>
      <c r="K46" s="153">
        <f ca="1">K91+J46</f>
        <v>114456.79100282822</v>
      </c>
      <c r="M46" t="s">
        <v>118</v>
      </c>
    </row>
    <row r="47" spans="2:20">
      <c r="C47" t="s">
        <v>54</v>
      </c>
      <c r="D47" s="3"/>
      <c r="E47" s="3">
        <v>17874</v>
      </c>
      <c r="F47" s="3">
        <v>23186</v>
      </c>
      <c r="G47" s="153">
        <f ca="1">F47*(1+G37)</f>
        <v>22085.646599884032</v>
      </c>
      <c r="H47" s="153">
        <f ca="1">G47*(1+H37)</f>
        <v>23166.950125044521</v>
      </c>
      <c r="I47" s="153">
        <f ca="1">H47*(1+I37)</f>
        <v>24304.532555930637</v>
      </c>
      <c r="J47" s="153">
        <f ca="1">I47*(1+J37)</f>
        <v>25629.773325708396</v>
      </c>
      <c r="K47" s="153">
        <f ca="1">J47*(1+K37)</f>
        <v>27173.935474634181</v>
      </c>
      <c r="M47" t="s">
        <v>103</v>
      </c>
    </row>
    <row r="48" spans="2:20">
      <c r="C48" t="s">
        <v>55</v>
      </c>
      <c r="D48" s="3"/>
      <c r="E48" s="3">
        <v>4855</v>
      </c>
      <c r="F48" s="3">
        <v>3956</v>
      </c>
      <c r="G48" s="153">
        <f ca="1">F48*G19/F19</f>
        <v>3801.4880368745844</v>
      </c>
      <c r="H48" s="153">
        <f ca="1">G48*H19/G19</f>
        <v>3968.3743837461143</v>
      </c>
      <c r="I48" s="153">
        <f ca="1">H48*I19/H19</f>
        <v>4156.5104118191121</v>
      </c>
      <c r="J48" s="153">
        <f ca="1">I48*J19/I19</f>
        <v>4383.1503212710768</v>
      </c>
      <c r="K48" s="153">
        <f ca="1">J48*K19/J19</f>
        <v>4647.2297078948222</v>
      </c>
      <c r="M48" t="s">
        <v>104</v>
      </c>
    </row>
    <row r="49" spans="3:13">
      <c r="C49" t="s">
        <v>108</v>
      </c>
      <c r="D49" s="3"/>
      <c r="E49" s="3">
        <f>17799+13936</f>
        <v>31735</v>
      </c>
      <c r="F49" s="3">
        <f>25809+12087</f>
        <v>37896</v>
      </c>
      <c r="G49" s="153">
        <f ca="1">F49*(1+G37)</f>
        <v>36097.544360786909</v>
      </c>
      <c r="H49" s="153">
        <f ca="1">G49*(1+H37)</f>
        <v>37864.864225769306</v>
      </c>
      <c r="I49" s="153">
        <f ca="1">H49*(1+I37)</f>
        <v>39724.168279977028</v>
      </c>
      <c r="J49" s="153">
        <f ca="1">I49*(1+J37)</f>
        <v>41890.18761110348</v>
      </c>
      <c r="K49" s="153">
        <f ca="1">J49*(1+K37)</f>
        <v>44414.019612987875</v>
      </c>
      <c r="M49" t="s">
        <v>103</v>
      </c>
    </row>
    <row r="50" spans="3:13">
      <c r="C50" t="s">
        <v>21</v>
      </c>
      <c r="D50" s="3"/>
      <c r="E50" s="3">
        <v>33783</v>
      </c>
      <c r="F50" s="3">
        <v>41304</v>
      </c>
      <c r="G50" s="153">
        <f>G100</f>
        <v>45042.85982873883</v>
      </c>
      <c r="H50" s="153">
        <f>H100</f>
        <v>48611.181883872909</v>
      </c>
      <c r="I50" s="153">
        <f>I100</f>
        <v>51947.567835949827</v>
      </c>
      <c r="J50" s="153">
        <f ca="1">J100</f>
        <v>55174.425161700477</v>
      </c>
      <c r="K50" s="153">
        <f ca="1">K100</f>
        <v>58286.687116674701</v>
      </c>
      <c r="M50" t="s">
        <v>105</v>
      </c>
    </row>
    <row r="51" spans="3:13">
      <c r="C51" t="s">
        <v>56</v>
      </c>
      <c r="D51" s="3"/>
      <c r="E51" s="3">
        <v>18177</v>
      </c>
      <c r="F51" s="3">
        <v>22283</v>
      </c>
      <c r="G51" s="153">
        <f ca="1">F51*(1+G37)</f>
        <v>21225.500870577758</v>
      </c>
      <c r="H51" s="153">
        <f ca="1">G51*(1+H37)</f>
        <v>22264.692039867467</v>
      </c>
      <c r="I51" s="153">
        <f ca="1">H51*(1+I37)</f>
        <v>23357.970281368172</v>
      </c>
      <c r="J51" s="153">
        <f ca="1">I51*(1+J37)</f>
        <v>24631.59833592514</v>
      </c>
      <c r="K51" s="153">
        <f ca="1">J51*(1+K37)</f>
        <v>26115.621676066316</v>
      </c>
      <c r="M51" t="s">
        <v>103</v>
      </c>
    </row>
    <row r="52" spans="3:13">
      <c r="C52" s="280" t="s">
        <v>22</v>
      </c>
      <c r="D52" s="69"/>
      <c r="E52" s="69">
        <f t="shared" ref="E52:K52" si="7">SUM(E46:E51)</f>
        <v>375319</v>
      </c>
      <c r="F52" s="69">
        <f t="shared" si="7"/>
        <v>365725</v>
      </c>
      <c r="G52" s="52">
        <f t="shared" ca="1" si="7"/>
        <v>329901.15002317913</v>
      </c>
      <c r="H52" s="52">
        <f t="shared" ca="1" si="7"/>
        <v>310336.05908353091</v>
      </c>
      <c r="I52" s="52">
        <f t="shared" ca="1" si="7"/>
        <v>294053.73961919494</v>
      </c>
      <c r="J52" s="52">
        <f t="shared" ca="1" si="7"/>
        <v>282059.33798700449</v>
      </c>
      <c r="K52" s="52">
        <f t="shared" ca="1" si="7"/>
        <v>275094.28459108609</v>
      </c>
    </row>
    <row r="53" spans="3:13">
      <c r="C53" s="279"/>
      <c r="D53" s="153"/>
      <c r="E53" s="153"/>
      <c r="F53" s="153"/>
      <c r="G53" s="153"/>
      <c r="H53" s="153"/>
      <c r="I53" s="153"/>
      <c r="J53" s="153"/>
      <c r="K53" s="153"/>
    </row>
    <row r="54" spans="3:13">
      <c r="C54" s="279" t="s">
        <v>57</v>
      </c>
      <c r="D54" s="3"/>
      <c r="E54" s="3">
        <v>44242</v>
      </c>
      <c r="F54" s="3">
        <v>55888</v>
      </c>
      <c r="G54" s="153">
        <f ca="1">F54*G19/F19</f>
        <v>53705.147473419303</v>
      </c>
      <c r="H54" s="153">
        <f ca="1">G54*H19/G19</f>
        <v>56062.817886451681</v>
      </c>
      <c r="I54" s="153">
        <f ca="1">H54*I19/H19</f>
        <v>58720.691075770112</v>
      </c>
      <c r="J54" s="153">
        <f ca="1">I54*J19/I19</f>
        <v>61922.524053386733</v>
      </c>
      <c r="K54" s="153">
        <f ca="1">J54*K19/J19</f>
        <v>65653.279553798231</v>
      </c>
      <c r="M54" t="s">
        <v>104</v>
      </c>
    </row>
    <row r="55" spans="3:13">
      <c r="C55" s="279" t="s">
        <v>117</v>
      </c>
      <c r="D55" s="3"/>
      <c r="E55" s="3">
        <v>30551</v>
      </c>
      <c r="F55" s="3">
        <v>32687</v>
      </c>
      <c r="G55" s="153">
        <f ca="1">F55*(1+G37)</f>
        <v>31135.751333149721</v>
      </c>
      <c r="H55" s="153">
        <f ca="1">G55*(1+H37)</f>
        <v>32660.143997987161</v>
      </c>
      <c r="I55" s="153">
        <f ca="1">H55*(1+I37)</f>
        <v>34263.877152406829</v>
      </c>
      <c r="J55" s="153">
        <f ca="1">I55*(1+J37)</f>
        <v>36132.165992298389</v>
      </c>
      <c r="K55" s="153">
        <f ca="1">J55*(1+K37)</f>
        <v>38309.084312057603</v>
      </c>
      <c r="M55" t="s">
        <v>103</v>
      </c>
    </row>
    <row r="56" spans="3:13">
      <c r="C56" s="279" t="s">
        <v>58</v>
      </c>
      <c r="D56" s="3"/>
      <c r="E56" s="3">
        <f>7548+2836</f>
        <v>10384</v>
      </c>
      <c r="F56" s="3">
        <f>7543+2797</f>
        <v>10340</v>
      </c>
      <c r="G56" s="153">
        <f ca="1">F56*(1+G37)</f>
        <v>9849.2877530751703</v>
      </c>
      <c r="H56" s="153">
        <f ca="1">G56*(1+H37)</f>
        <v>10331.504541230068</v>
      </c>
      <c r="I56" s="153">
        <f ca="1">H56*(1+I37)</f>
        <v>10838.81940085926</v>
      </c>
      <c r="J56" s="153">
        <f ca="1">I56*(1+J37)</f>
        <v>11429.822142147194</v>
      </c>
      <c r="K56" s="153">
        <f ca="1">J56*(1+K37)</f>
        <v>12118.454792017486</v>
      </c>
      <c r="M56" t="s">
        <v>103</v>
      </c>
    </row>
    <row r="57" spans="3:13">
      <c r="C57" s="279" t="s">
        <v>60</v>
      </c>
      <c r="D57" s="3"/>
      <c r="E57" s="3">
        <v>11977</v>
      </c>
      <c r="F57" s="3">
        <v>11964</v>
      </c>
      <c r="G57" s="153">
        <f ca="1">G136</f>
        <v>12000</v>
      </c>
      <c r="H57" s="153">
        <f ca="1">H136</f>
        <v>12000</v>
      </c>
      <c r="I57" s="153">
        <f ca="1">I136</f>
        <v>12000</v>
      </c>
      <c r="J57" s="153">
        <f ca="1">J136</f>
        <v>12000</v>
      </c>
      <c r="K57" s="153">
        <f ca="1">K136</f>
        <v>12000</v>
      </c>
      <c r="M57" t="s">
        <v>187</v>
      </c>
    </row>
    <row r="58" spans="3:13">
      <c r="C58" s="279" t="s">
        <v>122</v>
      </c>
      <c r="D58" s="3"/>
      <c r="E58" s="3">
        <f>6496+97207</f>
        <v>103703</v>
      </c>
      <c r="F58" s="3">
        <f>8784+93735</f>
        <v>102519</v>
      </c>
      <c r="G58" s="153">
        <f>F58</f>
        <v>102519</v>
      </c>
      <c r="H58" s="153">
        <f t="shared" ref="H58:K58" si="8">G58</f>
        <v>102519</v>
      </c>
      <c r="I58" s="153">
        <f t="shared" si="8"/>
        <v>102519</v>
      </c>
      <c r="J58" s="153">
        <f t="shared" si="8"/>
        <v>102519</v>
      </c>
      <c r="K58" s="153">
        <f t="shared" si="8"/>
        <v>102519</v>
      </c>
      <c r="M58" t="s">
        <v>100</v>
      </c>
    </row>
    <row r="59" spans="3:13" ht="15.75" customHeight="1">
      <c r="C59" s="279" t="s">
        <v>59</v>
      </c>
      <c r="D59" s="3"/>
      <c r="E59" s="3">
        <v>40415</v>
      </c>
      <c r="F59" s="3">
        <v>45180</v>
      </c>
      <c r="G59" s="193">
        <f ca="1">F59*(1+G37)</f>
        <v>43035.86273539035</v>
      </c>
      <c r="H59" s="193">
        <f t="shared" ref="H59:K59" ca="1" si="9">G59*(1+H37)</f>
        <v>45142.879610519776</v>
      </c>
      <c r="I59" s="193">
        <f t="shared" ca="1" si="9"/>
        <v>47359.560979769958</v>
      </c>
      <c r="J59" s="193">
        <f t="shared" ca="1" si="9"/>
        <v>49941.911448956504</v>
      </c>
      <c r="K59" s="193">
        <f t="shared" ca="1" si="9"/>
        <v>52950.849855256296</v>
      </c>
      <c r="M59" t="s">
        <v>103</v>
      </c>
    </row>
    <row r="60" spans="3:13">
      <c r="C60" s="280" t="s">
        <v>24</v>
      </c>
      <c r="D60" s="69"/>
      <c r="E60" s="69">
        <f t="shared" ref="E60:K60" si="10">SUM(E54:E59)</f>
        <v>241272</v>
      </c>
      <c r="F60" s="69">
        <f t="shared" si="10"/>
        <v>258578</v>
      </c>
      <c r="G60" s="52">
        <f t="shared" ca="1" si="10"/>
        <v>252245.04929503452</v>
      </c>
      <c r="H60" s="52">
        <f t="shared" ca="1" si="10"/>
        <v>258716.34603618868</v>
      </c>
      <c r="I60" s="52">
        <f t="shared" ca="1" si="10"/>
        <v>265701.94860880618</v>
      </c>
      <c r="J60" s="52">
        <f t="shared" ca="1" si="10"/>
        <v>273945.42363678885</v>
      </c>
      <c r="K60" s="52">
        <f t="shared" ca="1" si="10"/>
        <v>283550.66851312958</v>
      </c>
    </row>
    <row r="61" spans="3:13">
      <c r="C61" s="280"/>
      <c r="D61" s="69"/>
      <c r="E61" s="69"/>
      <c r="F61" s="69"/>
      <c r="G61" s="153"/>
      <c r="H61" s="153"/>
      <c r="I61" s="153"/>
      <c r="J61" s="153"/>
      <c r="K61" s="153"/>
    </row>
    <row r="62" spans="3:13">
      <c r="C62" s="279" t="s">
        <v>61</v>
      </c>
      <c r="D62" s="3"/>
      <c r="E62" s="3">
        <v>35867</v>
      </c>
      <c r="F62" s="3">
        <v>40201</v>
      </c>
      <c r="G62" s="153">
        <f ca="1">F62+G33</f>
        <v>45287.576073638433</v>
      </c>
      <c r="H62" s="153">
        <f ca="1">G62+H33</f>
        <v>50623.188670366537</v>
      </c>
      <c r="I62" s="153">
        <f ca="1">H62+I33</f>
        <v>56220.7994634602</v>
      </c>
      <c r="J62" s="153">
        <f ca="1">I62+J33</f>
        <v>62123.628306696759</v>
      </c>
      <c r="K62" s="153">
        <f ca="1">J62+K33</f>
        <v>68382.095288260913</v>
      </c>
      <c r="M62" t="s">
        <v>155</v>
      </c>
    </row>
    <row r="63" spans="3:13" ht="15.75" customHeight="1">
      <c r="C63" s="279" t="s">
        <v>44</v>
      </c>
      <c r="D63" s="33"/>
      <c r="E63" s="33">
        <f>98330</f>
        <v>98330</v>
      </c>
      <c r="F63" s="3">
        <v>70400</v>
      </c>
      <c r="G63" s="153">
        <f ca="1">G120</f>
        <v>35822.524654506109</v>
      </c>
      <c r="H63" s="153">
        <f ca="1">H120</f>
        <v>4450.5243769756635</v>
      </c>
      <c r="I63" s="153">
        <f ca="1">I120</f>
        <v>-24415.008453071408</v>
      </c>
      <c r="J63" s="153">
        <f ca="1">J120</f>
        <v>-50555.713956481057</v>
      </c>
      <c r="K63" s="153">
        <f ca="1">K120</f>
        <v>-73384.479210304402</v>
      </c>
      <c r="M63" t="s">
        <v>107</v>
      </c>
    </row>
    <row r="64" spans="3:13" ht="15.75" customHeight="1">
      <c r="C64" s="279" t="s">
        <v>121</v>
      </c>
      <c r="D64" s="3"/>
      <c r="E64" s="3">
        <v>-150</v>
      </c>
      <c r="F64" s="3">
        <v>-3454</v>
      </c>
      <c r="G64" s="153">
        <f>F64</f>
        <v>-3454</v>
      </c>
      <c r="H64" s="153">
        <f>G64</f>
        <v>-3454</v>
      </c>
      <c r="I64" s="153">
        <f>H64</f>
        <v>-3454</v>
      </c>
      <c r="J64" s="153">
        <f>I64</f>
        <v>-3454</v>
      </c>
      <c r="K64" s="153">
        <f>J64</f>
        <v>-3454</v>
      </c>
      <c r="M64" t="s">
        <v>100</v>
      </c>
    </row>
    <row r="65" spans="2:13">
      <c r="C65" s="280" t="s">
        <v>25</v>
      </c>
      <c r="D65" s="52"/>
      <c r="E65" s="52">
        <f t="shared" ref="E65:K65" si="11">SUM(E62:E64)</f>
        <v>134047</v>
      </c>
      <c r="F65" s="52">
        <f t="shared" si="11"/>
        <v>107147</v>
      </c>
      <c r="G65" s="52">
        <f t="shared" ca="1" si="11"/>
        <v>77656.100728144549</v>
      </c>
      <c r="H65" s="52">
        <f t="shared" ca="1" si="11"/>
        <v>51619.7130473422</v>
      </c>
      <c r="I65" s="52">
        <f t="shared" ca="1" si="11"/>
        <v>28351.791010388792</v>
      </c>
      <c r="J65" s="52">
        <f t="shared" ca="1" si="11"/>
        <v>8113.9143502157021</v>
      </c>
      <c r="K65" s="52">
        <f t="shared" ca="1" si="11"/>
        <v>-8456.3839220434893</v>
      </c>
    </row>
    <row r="66" spans="2:13">
      <c r="D66" s="153"/>
      <c r="E66" s="153"/>
      <c r="F66" s="153"/>
    </row>
    <row r="67" spans="2:13">
      <c r="C67" s="273" t="s">
        <v>26</v>
      </c>
      <c r="D67" s="286"/>
      <c r="E67" s="286">
        <f t="shared" ref="E67:K67" si="12">ROUND(E52-E60-E65,3)</f>
        <v>0</v>
      </c>
      <c r="F67" s="286">
        <f t="shared" si="12"/>
        <v>0</v>
      </c>
      <c r="G67" s="286">
        <f t="shared" ca="1" si="12"/>
        <v>0</v>
      </c>
      <c r="H67" s="286">
        <f t="shared" ca="1" si="12"/>
        <v>0</v>
      </c>
      <c r="I67" s="286">
        <f t="shared" ca="1" si="12"/>
        <v>0</v>
      </c>
      <c r="J67" s="286">
        <f t="shared" ca="1" si="12"/>
        <v>0</v>
      </c>
      <c r="K67" s="286">
        <f t="shared" ca="1" si="12"/>
        <v>0</v>
      </c>
    </row>
    <row r="68" spans="2:13">
      <c r="E68" s="153"/>
      <c r="F68" s="153"/>
      <c r="H68" s="153"/>
      <c r="I68" s="153"/>
      <c r="J68" s="153"/>
      <c r="K68" s="153"/>
    </row>
    <row r="69" spans="2:13">
      <c r="B69" t="s">
        <v>317</v>
      </c>
      <c r="C69" s="7" t="s">
        <v>32</v>
      </c>
      <c r="D69" s="13"/>
      <c r="E69" s="13"/>
      <c r="F69" s="13"/>
      <c r="G69" s="13"/>
      <c r="H69" s="13"/>
      <c r="I69" s="13"/>
      <c r="J69" s="13"/>
      <c r="K69" s="13"/>
    </row>
    <row r="70" spans="2:13">
      <c r="C70" s="35" t="str">
        <f>C15</f>
        <v xml:space="preserve">Fiscal year  </v>
      </c>
      <c r="D70" s="284"/>
      <c r="E70" s="284"/>
      <c r="F70" s="284"/>
      <c r="G70" s="285">
        <f t="shared" ref="G70:K71" si="13">G15</f>
        <v>2019</v>
      </c>
      <c r="H70" s="285">
        <f t="shared" si="13"/>
        <v>2020</v>
      </c>
      <c r="I70" s="285">
        <f t="shared" si="13"/>
        <v>2021</v>
      </c>
      <c r="J70" s="285">
        <f t="shared" si="13"/>
        <v>2022</v>
      </c>
      <c r="K70" s="285">
        <f t="shared" si="13"/>
        <v>2023</v>
      </c>
    </row>
    <row r="71" spans="2:13">
      <c r="C71" s="269" t="str">
        <f>C16</f>
        <v>Fiscal year end date</v>
      </c>
      <c r="D71" s="32"/>
      <c r="E71" s="32"/>
      <c r="F71" s="32"/>
      <c r="G71" s="32">
        <f t="shared" si="13"/>
        <v>43738</v>
      </c>
      <c r="H71" s="32">
        <f t="shared" si="13"/>
        <v>44104</v>
      </c>
      <c r="I71" s="32">
        <f t="shared" si="13"/>
        <v>44469</v>
      </c>
      <c r="J71" s="32">
        <f t="shared" si="13"/>
        <v>44834</v>
      </c>
      <c r="K71" s="32">
        <f t="shared" si="13"/>
        <v>45199</v>
      </c>
    </row>
    <row r="73" spans="2:13">
      <c r="C73" t="s">
        <v>2</v>
      </c>
      <c r="D73" s="62"/>
      <c r="E73" s="62"/>
      <c r="F73" s="62"/>
      <c r="G73" s="153">
        <f ca="1">G29</f>
        <v>52213.524654506109</v>
      </c>
      <c r="H73" s="153">
        <f ca="1">H29</f>
        <v>55418.999722469554</v>
      </c>
      <c r="I73" s="153">
        <f ca="1">I29</f>
        <v>57925.467169952928</v>
      </c>
      <c r="J73" s="153">
        <f ca="1">J29</f>
        <v>60650.294496590352</v>
      </c>
      <c r="K73" s="153">
        <f ca="1">K29</f>
        <v>63962.234746176655</v>
      </c>
      <c r="M73" s="24"/>
    </row>
    <row r="74" spans="2:13">
      <c r="C74" t="s">
        <v>33</v>
      </c>
      <c r="D74" s="62"/>
      <c r="E74" s="62"/>
      <c r="F74" s="62"/>
      <c r="G74" s="153">
        <f ca="1">G31</f>
        <v>11073.065535688591</v>
      </c>
      <c r="H74" s="153">
        <f ca="1">H31</f>
        <v>11682.360902273253</v>
      </c>
      <c r="I74" s="153">
        <f ca="1">I31</f>
        <v>12162.945527572734</v>
      </c>
      <c r="J74" s="153">
        <f ca="1">J31</f>
        <v>13117.598244801113</v>
      </c>
      <c r="K74" s="153">
        <f ca="1">K31</f>
        <v>14216.926852040826</v>
      </c>
      <c r="M74" t="s">
        <v>170</v>
      </c>
    </row>
    <row r="75" spans="2:13">
      <c r="C75" t="s">
        <v>74</v>
      </c>
      <c r="D75" s="62"/>
      <c r="E75" s="62"/>
      <c r="F75" s="62"/>
      <c r="G75" s="153">
        <f ca="1">G33</f>
        <v>5086.5760736384345</v>
      </c>
      <c r="H75" s="153">
        <f ca="1">H33</f>
        <v>5335.6125967281014</v>
      </c>
      <c r="I75" s="153">
        <f ca="1">I33</f>
        <v>5597.6107930936605</v>
      </c>
      <c r="J75" s="153">
        <f ca="1">J33</f>
        <v>5902.8288432365589</v>
      </c>
      <c r="K75" s="153">
        <f ca="1">K33</f>
        <v>6258.4669815641573</v>
      </c>
    </row>
    <row r="76" spans="2:13">
      <c r="C76" t="s">
        <v>65</v>
      </c>
      <c r="D76" s="153"/>
      <c r="E76" s="153"/>
      <c r="F76" s="153"/>
      <c r="G76" s="153">
        <f ca="1">-1*(SUM(G47:G49)-SUM(F47:F49))</f>
        <v>3053.3210024544751</v>
      </c>
      <c r="H76" s="153">
        <f ca="1">-1*(SUM(H47:H49)-SUM(G47:G49))</f>
        <v>-3015.509737014414</v>
      </c>
      <c r="I76" s="153">
        <f ca="1">-1*(SUM(I47:I49)-SUM(H47:H49))</f>
        <v>-3185.0225131668412</v>
      </c>
      <c r="J76" s="153">
        <f ca="1">-1*(SUM(J47:J49)-SUM(I47:I49))</f>
        <v>-3717.9000103561702</v>
      </c>
      <c r="K76" s="153">
        <f ca="1">-1*(SUM(K47:K49)-SUM(J47:J49))</f>
        <v>-4332.0735374339274</v>
      </c>
    </row>
    <row r="77" spans="2:13">
      <c r="C77" t="s">
        <v>66</v>
      </c>
      <c r="D77" s="153"/>
      <c r="E77" s="153"/>
      <c r="F77" s="153"/>
      <c r="G77" s="153">
        <f ca="1">SUM(G54:G56)-SUM(F54:F56)</f>
        <v>-4224.813440355807</v>
      </c>
      <c r="H77" s="153">
        <f ca="1">SUM(H54:H56)-SUM(G54:G56)</f>
        <v>4364.2798660247208</v>
      </c>
      <c r="I77" s="153">
        <f ca="1">SUM(I54:I56)-SUM(H54:H56)</f>
        <v>4768.9212033672811</v>
      </c>
      <c r="J77" s="153">
        <f ca="1">SUM(J54:J56)-SUM(I54:I56)</f>
        <v>5661.1245587961312</v>
      </c>
      <c r="K77" s="153">
        <f ca="1">SUM(K54:K56)-SUM(J54:J56)</f>
        <v>6596.3064700409886</v>
      </c>
    </row>
    <row r="78" spans="2:13">
      <c r="C78" t="s">
        <v>56</v>
      </c>
      <c r="G78" s="153">
        <f ca="1">-(G112)</f>
        <v>-469.42623500517584</v>
      </c>
      <c r="H78" s="153">
        <f ca="1">-(H112)</f>
        <v>-2640.8741266970392</v>
      </c>
      <c r="I78" s="153">
        <f ca="1">-(I112)</f>
        <v>-2773.6097211503584</v>
      </c>
      <c r="J78" s="153">
        <f ca="1">-(J112)</f>
        <v>-3045.5821061877177</v>
      </c>
      <c r="K78" s="153">
        <f ca="1">-(K112)</f>
        <v>-3362.7354321725143</v>
      </c>
      <c r="M78" t="s">
        <v>171</v>
      </c>
    </row>
    <row r="79" spans="2:13">
      <c r="C79" t="s">
        <v>59</v>
      </c>
      <c r="G79" s="153">
        <f ca="1">G59-F59</f>
        <v>-2144.1372646096497</v>
      </c>
      <c r="H79" s="153">
        <f ca="1">H59-G59</f>
        <v>2107.0168751294259</v>
      </c>
      <c r="I79" s="153">
        <f ca="1">I59-H59</f>
        <v>2216.6813692501819</v>
      </c>
      <c r="J79" s="153">
        <f ca="1">J59-I59</f>
        <v>2582.3504691865455</v>
      </c>
      <c r="K79" s="153">
        <f ca="1">K59-J59</f>
        <v>3008.9384062997924</v>
      </c>
      <c r="M79" s="24"/>
    </row>
    <row r="80" spans="2:13">
      <c r="C80" s="24" t="s">
        <v>34</v>
      </c>
      <c r="G80" s="52">
        <f ca="1">SUM(G73:G79)</f>
        <v>64588.110326316986</v>
      </c>
      <c r="H80" s="52">
        <f ca="1">SUM(H73:H79)</f>
        <v>73251.886098913616</v>
      </c>
      <c r="I80" s="52">
        <f ca="1">SUM(I73:I79)</f>
        <v>76712.993828919571</v>
      </c>
      <c r="J80" s="52">
        <f ca="1">SUM(J73:J79)</f>
        <v>81150.714496066794</v>
      </c>
      <c r="K80" s="52">
        <f ca="1">SUM(K73:K79)</f>
        <v>86348.06448651597</v>
      </c>
    </row>
    <row r="81" spans="3:13">
      <c r="G81" s="153"/>
      <c r="H81" s="153"/>
      <c r="I81" s="153"/>
      <c r="J81" s="153"/>
      <c r="K81" s="153"/>
    </row>
    <row r="82" spans="3:13">
      <c r="C82" t="s">
        <v>35</v>
      </c>
      <c r="G82" s="153">
        <f>-(G98)</f>
        <v>-13285</v>
      </c>
      <c r="H82" s="153">
        <f>-(H98)</f>
        <v>-13649</v>
      </c>
      <c r="I82" s="153">
        <f>-(I98)</f>
        <v>-13819</v>
      </c>
      <c r="J82" s="153">
        <f ca="1">-(J98)</f>
        <v>-14572.50151892101</v>
      </c>
      <c r="K82" s="153">
        <f ca="1">-(K98)</f>
        <v>-15450.476714983708</v>
      </c>
      <c r="M82" t="s">
        <v>105</v>
      </c>
    </row>
    <row r="83" spans="3:13">
      <c r="C83" s="24" t="s">
        <v>36</v>
      </c>
      <c r="G83" s="52">
        <f>IFERROR(G82,"NA")</f>
        <v>-13285</v>
      </c>
      <c r="H83" s="52">
        <f>IFERROR(H82,"NA")</f>
        <v>-13649</v>
      </c>
      <c r="I83" s="52">
        <f>IFERROR(I82,"NA")</f>
        <v>-13819</v>
      </c>
      <c r="J83" s="52">
        <f ca="1">IFERROR(J82,"NA")</f>
        <v>-14572.50151892101</v>
      </c>
      <c r="K83" s="52">
        <f ca="1">IFERROR(K82,"NA")</f>
        <v>-15450.476714983708</v>
      </c>
    </row>
    <row r="84" spans="3:13">
      <c r="G84" s="153"/>
      <c r="H84" s="153"/>
      <c r="I84" s="153"/>
      <c r="J84" s="153"/>
      <c r="K84" s="153"/>
    </row>
    <row r="85" spans="3:13">
      <c r="C85" t="s">
        <v>67</v>
      </c>
      <c r="G85" s="153">
        <f>G58-F58</f>
        <v>0</v>
      </c>
      <c r="H85" s="153">
        <f>H58-G58</f>
        <v>0</v>
      </c>
      <c r="I85" s="153">
        <f>I58-H58</f>
        <v>0</v>
      </c>
      <c r="J85" s="153">
        <f>J58-I58</f>
        <v>0</v>
      </c>
      <c r="K85" s="153">
        <f>K58-J58</f>
        <v>0</v>
      </c>
    </row>
    <row r="86" spans="3:13">
      <c r="C86" t="s">
        <v>23</v>
      </c>
      <c r="G86" s="153">
        <f ca="1">G57-F57</f>
        <v>36</v>
      </c>
      <c r="H86" s="153">
        <f ca="1">H57-G57</f>
        <v>0</v>
      </c>
      <c r="I86" s="153">
        <f ca="1">I57-H57</f>
        <v>0</v>
      </c>
      <c r="J86" s="153">
        <f ca="1">J57-I57</f>
        <v>0</v>
      </c>
      <c r="K86" s="153">
        <f ca="1">K57-J57</f>
        <v>0</v>
      </c>
      <c r="M86" t="s">
        <v>183</v>
      </c>
    </row>
    <row r="87" spans="3:13">
      <c r="C87" t="s">
        <v>70</v>
      </c>
      <c r="G87" s="153">
        <f>G119</f>
        <v>-73056</v>
      </c>
      <c r="H87" s="153">
        <f>H119</f>
        <v>-73056</v>
      </c>
      <c r="I87" s="153">
        <f>I119</f>
        <v>-73056</v>
      </c>
      <c r="J87" s="153">
        <f>J119</f>
        <v>-73056</v>
      </c>
      <c r="K87" s="153">
        <f>K119</f>
        <v>-73056</v>
      </c>
      <c r="M87" t="s">
        <v>107</v>
      </c>
    </row>
    <row r="88" spans="3:13">
      <c r="C88" t="s">
        <v>71</v>
      </c>
      <c r="G88" s="153">
        <f>G118</f>
        <v>-13735</v>
      </c>
      <c r="H88" s="153">
        <f>H118</f>
        <v>-13735</v>
      </c>
      <c r="I88" s="153">
        <f>I118</f>
        <v>-13735</v>
      </c>
      <c r="J88" s="153">
        <f>J118</f>
        <v>-13735</v>
      </c>
      <c r="K88" s="153">
        <f>K118</f>
        <v>-13735</v>
      </c>
      <c r="M88" t="s">
        <v>107</v>
      </c>
    </row>
    <row r="89" spans="3:13">
      <c r="C89" s="24" t="s">
        <v>37</v>
      </c>
      <c r="G89" s="52">
        <f ca="1">SUM(G85:G88)</f>
        <v>-86755</v>
      </c>
      <c r="H89" s="52">
        <f ca="1">SUM(H85:H88)</f>
        <v>-86791</v>
      </c>
      <c r="I89" s="52">
        <f ca="1">SUM(I85:I88)</f>
        <v>-86791</v>
      </c>
      <c r="J89" s="52">
        <f ca="1">SUM(J85:J88)</f>
        <v>-86791</v>
      </c>
      <c r="K89" s="52">
        <f ca="1">SUM(K85:K88)</f>
        <v>-86791</v>
      </c>
    </row>
    <row r="90" spans="3:13">
      <c r="G90" s="153"/>
      <c r="H90" s="153"/>
      <c r="I90" s="153"/>
      <c r="J90" s="153"/>
      <c r="K90" s="153"/>
    </row>
    <row r="91" spans="3:13">
      <c r="C91" s="24" t="s">
        <v>38</v>
      </c>
      <c r="G91" s="52">
        <f ca="1">G80+G83+G89</f>
        <v>-35451.889673683014</v>
      </c>
      <c r="H91" s="52">
        <f ca="1">H80+H83+H89</f>
        <v>-27188.113901086384</v>
      </c>
      <c r="I91" s="52">
        <f ca="1">I80+I83+I89</f>
        <v>-23897.006171080429</v>
      </c>
      <c r="J91" s="52">
        <f ca="1">J80+J83+J89</f>
        <v>-20212.787022854216</v>
      </c>
      <c r="K91" s="52">
        <f ca="1">K80+K83+K89</f>
        <v>-15893.412228467743</v>
      </c>
    </row>
    <row r="93" spans="3:13">
      <c r="C93" s="7" t="s">
        <v>29</v>
      </c>
      <c r="D93" s="269"/>
      <c r="E93" s="269"/>
      <c r="F93" s="269"/>
      <c r="G93" s="269"/>
      <c r="H93" s="269"/>
      <c r="I93" s="269"/>
      <c r="J93" s="269"/>
      <c r="K93" s="269"/>
    </row>
    <row r="94" spans="3:13">
      <c r="C94" s="35" t="str">
        <f t="shared" ref="C94:K95" si="14">C15</f>
        <v xml:space="preserve">Fiscal year  </v>
      </c>
      <c r="D94" s="284">
        <f t="shared" si="14"/>
        <v>2016</v>
      </c>
      <c r="E94" s="284">
        <f t="shared" si="14"/>
        <v>2017</v>
      </c>
      <c r="F94" s="284">
        <f t="shared" si="14"/>
        <v>2018</v>
      </c>
      <c r="G94" s="285">
        <f t="shared" si="14"/>
        <v>2019</v>
      </c>
      <c r="H94" s="285">
        <f t="shared" si="14"/>
        <v>2020</v>
      </c>
      <c r="I94" s="285">
        <f t="shared" si="14"/>
        <v>2021</v>
      </c>
      <c r="J94" s="285">
        <f t="shared" si="14"/>
        <v>2022</v>
      </c>
      <c r="K94" s="285">
        <f t="shared" si="14"/>
        <v>2023</v>
      </c>
    </row>
    <row r="95" spans="3:13">
      <c r="C95" s="269" t="str">
        <f t="shared" si="14"/>
        <v>Fiscal year end date</v>
      </c>
      <c r="D95" s="32">
        <f t="shared" si="14"/>
        <v>42643</v>
      </c>
      <c r="E95" s="32">
        <f t="shared" si="14"/>
        <v>43008</v>
      </c>
      <c r="F95" s="32">
        <f t="shared" si="14"/>
        <v>43372</v>
      </c>
      <c r="G95" s="32">
        <f t="shared" si="14"/>
        <v>43738</v>
      </c>
      <c r="H95" s="32">
        <f t="shared" si="14"/>
        <v>44104</v>
      </c>
      <c r="I95" s="32">
        <f t="shared" si="14"/>
        <v>44469</v>
      </c>
      <c r="J95" s="32">
        <f t="shared" si="14"/>
        <v>44834</v>
      </c>
      <c r="K95" s="32">
        <f t="shared" si="14"/>
        <v>45199</v>
      </c>
    </row>
    <row r="96" spans="3:13">
      <c r="C96" s="24"/>
      <c r="G96" s="110" t="s">
        <v>116</v>
      </c>
      <c r="H96" s="110"/>
      <c r="I96" s="110"/>
      <c r="J96" s="110"/>
      <c r="K96" s="110"/>
    </row>
    <row r="97" spans="3:17">
      <c r="C97" s="279" t="s">
        <v>27</v>
      </c>
      <c r="G97" s="153">
        <f>F100</f>
        <v>41304</v>
      </c>
      <c r="H97" s="153">
        <f>G100</f>
        <v>45042.85982873883</v>
      </c>
      <c r="I97" s="153">
        <f>H100</f>
        <v>48611.181883872909</v>
      </c>
      <c r="J97" s="153">
        <f>I100</f>
        <v>51947.567835949827</v>
      </c>
      <c r="K97" s="153">
        <f ca="1">J100</f>
        <v>55174.425161700477</v>
      </c>
      <c r="M97" t="s">
        <v>167</v>
      </c>
    </row>
    <row r="98" spans="3:17">
      <c r="C98" s="287" t="s">
        <v>30</v>
      </c>
      <c r="D98" s="3">
        <v>12734</v>
      </c>
      <c r="E98" s="3">
        <v>12451</v>
      </c>
      <c r="F98" s="3">
        <v>13313</v>
      </c>
      <c r="G98" s="3">
        <v>13285</v>
      </c>
      <c r="H98" s="3">
        <v>13649</v>
      </c>
      <c r="I98" s="3">
        <v>13819</v>
      </c>
      <c r="J98" s="71">
        <f ca="1">I98*(1+J37)</f>
        <v>14572.50151892101</v>
      </c>
      <c r="K98" s="71">
        <f t="shared" ref="K98" ca="1" si="15">J98*(1+K37)</f>
        <v>15450.476714983708</v>
      </c>
      <c r="M98" t="s">
        <v>154</v>
      </c>
    </row>
    <row r="99" spans="3:17">
      <c r="C99" s="288" t="s">
        <v>31</v>
      </c>
      <c r="D99" s="95">
        <v>-8300</v>
      </c>
      <c r="E99" s="95">
        <v>-8200</v>
      </c>
      <c r="F99" s="95">
        <v>-9300</v>
      </c>
      <c r="G99" s="289">
        <f>-(G102*G98)</f>
        <v>-9546.1401712611732</v>
      </c>
      <c r="H99" s="289">
        <f>-(H102*H98)</f>
        <v>-10080.677944865922</v>
      </c>
      <c r="I99" s="289">
        <f>-(I102*I98)</f>
        <v>-10482.614047923083</v>
      </c>
      <c r="J99" s="289">
        <f ca="1">-(J102*J98)</f>
        <v>-11345.644193170363</v>
      </c>
      <c r="K99" s="289">
        <f ca="1">-(K102*K98)</f>
        <v>-12338.214760009489</v>
      </c>
      <c r="M99" t="s">
        <v>166</v>
      </c>
    </row>
    <row r="100" spans="3:17">
      <c r="C100" s="232" t="s">
        <v>28</v>
      </c>
      <c r="D100" s="52"/>
      <c r="E100" s="52">
        <f>E50</f>
        <v>33783</v>
      </c>
      <c r="F100" s="52">
        <f>F50</f>
        <v>41304</v>
      </c>
      <c r="G100" s="52">
        <f>SUM(G97:G99)</f>
        <v>45042.85982873883</v>
      </c>
      <c r="H100" s="52">
        <f>SUM(H97:H99)</f>
        <v>48611.181883872909</v>
      </c>
      <c r="I100" s="52">
        <f>SUM(I97:I99)</f>
        <v>51947.567835949827</v>
      </c>
      <c r="J100" s="52">
        <f ca="1">SUM(J97:J99)</f>
        <v>55174.425161700477</v>
      </c>
      <c r="K100" s="52">
        <f ca="1">SUM(K97:K99)</f>
        <v>58286.687116674701</v>
      </c>
      <c r="M100" t="s">
        <v>165</v>
      </c>
    </row>
    <row r="101" spans="3:17">
      <c r="C101" s="279"/>
      <c r="M101" s="25" t="s">
        <v>48</v>
      </c>
    </row>
    <row r="102" spans="3:17">
      <c r="C102" s="279" t="s">
        <v>123</v>
      </c>
      <c r="D102" s="290">
        <f>-(D99/D98)</f>
        <v>0.65179833516569818</v>
      </c>
      <c r="E102" s="290">
        <f>-(E99/E98)</f>
        <v>0.6585816400289134</v>
      </c>
      <c r="F102" s="290">
        <f>-(F99/F98)</f>
        <v>0.69856531210095396</v>
      </c>
      <c r="G102" s="67">
        <f>F102+$M$102</f>
        <v>0.71856531210095398</v>
      </c>
      <c r="H102" s="67">
        <f>G102+$M$102</f>
        <v>0.738565312100954</v>
      </c>
      <c r="I102" s="67">
        <f>H102+$M$102</f>
        <v>0.75856531210095401</v>
      </c>
      <c r="J102" s="67">
        <f>I102+$M$102</f>
        <v>0.77856531210095403</v>
      </c>
      <c r="K102" s="67">
        <f>J102+$M$102</f>
        <v>0.79856531210095405</v>
      </c>
      <c r="M102" s="88">
        <v>0.02</v>
      </c>
      <c r="O102" s="291"/>
      <c r="P102" s="291"/>
      <c r="Q102" s="291"/>
    </row>
    <row r="103" spans="3:17">
      <c r="C103" s="279"/>
      <c r="D103" s="290"/>
      <c r="E103" s="290"/>
      <c r="F103" s="290"/>
      <c r="G103" s="67"/>
      <c r="H103" s="67"/>
      <c r="I103" s="67"/>
      <c r="J103" s="67"/>
      <c r="K103" s="67"/>
      <c r="O103" s="291"/>
      <c r="P103" s="291"/>
      <c r="Q103" s="291"/>
    </row>
    <row r="104" spans="3:17">
      <c r="C104" s="128" t="s">
        <v>130</v>
      </c>
      <c r="D104" s="292"/>
      <c r="E104" s="292"/>
      <c r="F104" s="292"/>
      <c r="G104" s="129"/>
      <c r="H104" s="129"/>
      <c r="I104" s="129"/>
      <c r="J104" s="129"/>
      <c r="K104" s="129"/>
      <c r="O104" s="291"/>
      <c r="P104" s="291"/>
      <c r="Q104" s="291"/>
    </row>
    <row r="105" spans="3:17">
      <c r="C105" s="279" t="s">
        <v>156</v>
      </c>
      <c r="D105" s="153">
        <f>D107+D99</f>
        <v>2205</v>
      </c>
      <c r="E105" s="153">
        <f>E107+E99</f>
        <v>1957</v>
      </c>
      <c r="F105" s="153">
        <f>F107+F99</f>
        <v>1603</v>
      </c>
      <c r="G105" s="33">
        <f ca="1">G106*G18</f>
        <v>1526.9253644274177</v>
      </c>
      <c r="H105" s="33">
        <f ca="1">H106*H18</f>
        <v>1601.6829574073306</v>
      </c>
      <c r="I105" s="33">
        <f ca="1">I106*I18</f>
        <v>1680.3314796496511</v>
      </c>
      <c r="J105" s="33">
        <f ca="1">J106*J18</f>
        <v>1771.9540516307495</v>
      </c>
      <c r="K105" s="33">
        <f ca="1">K106*K18</f>
        <v>1878.7120920313373</v>
      </c>
      <c r="M105" t="s">
        <v>238</v>
      </c>
      <c r="O105" s="291"/>
      <c r="P105" s="291"/>
      <c r="Q105" s="291"/>
    </row>
    <row r="106" spans="3:17">
      <c r="C106" s="278" t="s">
        <v>157</v>
      </c>
      <c r="D106" s="224">
        <f>D105/D18</f>
        <v>1.0225423044996499E-2</v>
      </c>
      <c r="E106" s="224">
        <f>E105/E18</f>
        <v>8.537128000209393E-3</v>
      </c>
      <c r="F106" s="224">
        <f>F105/F18</f>
        <v>6.0355051864681188E-3</v>
      </c>
      <c r="G106" s="67">
        <f>F106</f>
        <v>6.0355051864681188E-3</v>
      </c>
      <c r="H106" s="67">
        <f>G106</f>
        <v>6.0355051864681188E-3</v>
      </c>
      <c r="I106" s="67">
        <f>H106</f>
        <v>6.0355051864681188E-3</v>
      </c>
      <c r="J106" s="67">
        <f>I106</f>
        <v>6.0355051864681188E-3</v>
      </c>
      <c r="K106" s="67">
        <f>J106</f>
        <v>6.0355051864681188E-3</v>
      </c>
      <c r="M106" t="s">
        <v>158</v>
      </c>
    </row>
    <row r="107" spans="3:17">
      <c r="C107" s="280" t="s">
        <v>110</v>
      </c>
      <c r="D107" s="52">
        <f>D31</f>
        <v>10505</v>
      </c>
      <c r="E107" s="52">
        <f>E31</f>
        <v>10157</v>
      </c>
      <c r="F107" s="52">
        <f>F31</f>
        <v>10903</v>
      </c>
      <c r="G107" s="69">
        <f ca="1">-G99+G105</f>
        <v>11073.065535688591</v>
      </c>
      <c r="H107" s="69">
        <f ca="1">-H99+H105</f>
        <v>11682.360902273253</v>
      </c>
      <c r="I107" s="69">
        <f ca="1">-I99+I105</f>
        <v>12162.945527572734</v>
      </c>
      <c r="J107" s="69">
        <f ca="1">-J99+J105</f>
        <v>13117.598244801113</v>
      </c>
      <c r="K107" s="69">
        <f ca="1">-K99+K105</f>
        <v>14216.926852040826</v>
      </c>
      <c r="M107" t="s">
        <v>160</v>
      </c>
    </row>
    <row r="108" spans="3:17">
      <c r="C108" s="279"/>
      <c r="D108" s="153"/>
      <c r="E108" s="153"/>
      <c r="F108" s="153"/>
      <c r="H108" s="153"/>
      <c r="I108" s="153"/>
      <c r="J108" s="153"/>
      <c r="K108" s="153"/>
    </row>
    <row r="109" spans="3:17">
      <c r="C109" s="70" t="s">
        <v>129</v>
      </c>
      <c r="D109" s="269"/>
      <c r="E109" s="269"/>
      <c r="F109" s="269"/>
      <c r="H109" s="153"/>
      <c r="I109" s="153"/>
      <c r="J109" s="153"/>
      <c r="K109" s="153"/>
    </row>
    <row r="110" spans="3:17">
      <c r="C110" s="279" t="s">
        <v>27</v>
      </c>
      <c r="D110" s="153"/>
      <c r="G110" s="293">
        <f>F113</f>
        <v>22283</v>
      </c>
      <c r="H110" s="293">
        <f ca="1">G113</f>
        <v>21225.500870577758</v>
      </c>
      <c r="I110" s="293">
        <f ca="1">H113</f>
        <v>22264.692039867467</v>
      </c>
      <c r="J110" s="293">
        <f ca="1">I113</f>
        <v>23357.970281368172</v>
      </c>
      <c r="K110" s="293">
        <f ca="1">J113</f>
        <v>24631.59833592514</v>
      </c>
      <c r="M110" t="s">
        <v>167</v>
      </c>
    </row>
    <row r="111" spans="3:17">
      <c r="C111" s="278" t="s">
        <v>124</v>
      </c>
      <c r="G111" s="153">
        <f ca="1">-(G105)</f>
        <v>-1526.9253644274177</v>
      </c>
      <c r="H111" s="153">
        <f ca="1">-(H105)</f>
        <v>-1601.6829574073306</v>
      </c>
      <c r="I111" s="153">
        <f ca="1">-(I105)</f>
        <v>-1680.3314796496511</v>
      </c>
      <c r="J111" s="153">
        <f ca="1">-(J105)</f>
        <v>-1771.9540516307495</v>
      </c>
      <c r="K111" s="153">
        <f ca="1">-(K105)</f>
        <v>-1878.7120920313373</v>
      </c>
      <c r="M111" t="s">
        <v>162</v>
      </c>
    </row>
    <row r="112" spans="3:17" ht="15" customHeight="1">
      <c r="C112" s="294" t="s">
        <v>125</v>
      </c>
      <c r="D112" s="295"/>
      <c r="E112" s="295"/>
      <c r="F112" s="295"/>
      <c r="G112" s="296">
        <f ca="1">G113-G111-G110</f>
        <v>469.42623500517584</v>
      </c>
      <c r="H112" s="296">
        <f ca="1">H113-H111-H110</f>
        <v>2640.8741266970392</v>
      </c>
      <c r="I112" s="296">
        <f ca="1">I113-I111-I110</f>
        <v>2773.6097211503584</v>
      </c>
      <c r="J112" s="296">
        <f ca="1">J113-J111-J110</f>
        <v>3045.5821061877177</v>
      </c>
      <c r="K112" s="296">
        <f ca="1">K113-K111-K110</f>
        <v>3362.7354321725143</v>
      </c>
      <c r="M112" t="s">
        <v>168</v>
      </c>
    </row>
    <row r="113" spans="2:17">
      <c r="C113" s="232" t="s">
        <v>28</v>
      </c>
      <c r="E113" s="52">
        <f t="shared" ref="E113:K113" si="16">E51</f>
        <v>18177</v>
      </c>
      <c r="F113" s="52">
        <f t="shared" si="16"/>
        <v>22283</v>
      </c>
      <c r="G113" s="52">
        <f t="shared" ca="1" si="16"/>
        <v>21225.500870577758</v>
      </c>
      <c r="H113" s="52">
        <f t="shared" ca="1" si="16"/>
        <v>22264.692039867467</v>
      </c>
      <c r="I113" s="52">
        <f t="shared" ca="1" si="16"/>
        <v>23357.970281368172</v>
      </c>
      <c r="J113" s="52">
        <f t="shared" ca="1" si="16"/>
        <v>24631.59833592514</v>
      </c>
      <c r="K113" s="52">
        <f t="shared" ca="1" si="16"/>
        <v>26115.621676066316</v>
      </c>
      <c r="M113" t="s">
        <v>169</v>
      </c>
    </row>
    <row r="114" spans="2:17">
      <c r="C114" s="278"/>
      <c r="E114" s="153"/>
      <c r="F114" s="153"/>
      <c r="H114" s="153"/>
      <c r="I114" s="153"/>
      <c r="J114" s="153"/>
      <c r="K114" s="153"/>
    </row>
    <row r="115" spans="2:17">
      <c r="B115" t="s">
        <v>317</v>
      </c>
      <c r="C115" s="74" t="s">
        <v>75</v>
      </c>
      <c r="D115" s="70"/>
      <c r="E115" s="70"/>
      <c r="F115" s="70"/>
      <c r="G115" s="269"/>
      <c r="H115" s="269"/>
      <c r="I115" s="269"/>
      <c r="J115" s="269"/>
      <c r="K115" s="269"/>
    </row>
    <row r="116" spans="2:17">
      <c r="C116" s="279" t="s">
        <v>27</v>
      </c>
      <c r="G116" s="153">
        <f>F120</f>
        <v>70400</v>
      </c>
      <c r="H116" s="153">
        <f ca="1">G120</f>
        <v>35822.524654506109</v>
      </c>
      <c r="I116" s="153">
        <f ca="1">H120</f>
        <v>4450.5243769756635</v>
      </c>
      <c r="J116" s="153">
        <f ca="1">I120</f>
        <v>-24415.008453071408</v>
      </c>
      <c r="K116" s="153">
        <f ca="1">J120</f>
        <v>-50555.713956481057</v>
      </c>
      <c r="M116" t="s">
        <v>167</v>
      </c>
    </row>
    <row r="117" spans="2:17">
      <c r="C117" s="278" t="s">
        <v>62</v>
      </c>
      <c r="D117" s="33">
        <f t="shared" ref="D117:K117" si="17">D29</f>
        <v>45687</v>
      </c>
      <c r="E117" s="33">
        <f t="shared" si="17"/>
        <v>48351</v>
      </c>
      <c r="F117" s="33">
        <f t="shared" si="17"/>
        <v>59531</v>
      </c>
      <c r="G117" s="153">
        <f t="shared" ca="1" si="17"/>
        <v>52213.524654506109</v>
      </c>
      <c r="H117" s="153">
        <f t="shared" ca="1" si="17"/>
        <v>55418.999722469554</v>
      </c>
      <c r="I117" s="153">
        <f t="shared" ca="1" si="17"/>
        <v>57925.467169952928</v>
      </c>
      <c r="J117" s="153">
        <f t="shared" ca="1" si="17"/>
        <v>60650.294496590352</v>
      </c>
      <c r="K117" s="153">
        <f t="shared" ca="1" si="17"/>
        <v>63962.234746176655</v>
      </c>
      <c r="M117" t="s">
        <v>101</v>
      </c>
    </row>
    <row r="118" spans="2:17">
      <c r="C118" s="278" t="s">
        <v>63</v>
      </c>
      <c r="D118" s="3">
        <v>-12188</v>
      </c>
      <c r="E118" s="3">
        <v>-12803</v>
      </c>
      <c r="F118" s="3">
        <v>-13735</v>
      </c>
      <c r="G118" s="153">
        <f>F118</f>
        <v>-13735</v>
      </c>
      <c r="H118" s="153">
        <f>G118</f>
        <v>-13735</v>
      </c>
      <c r="I118" s="153">
        <f t="shared" ref="I118:K119" si="18">H118</f>
        <v>-13735</v>
      </c>
      <c r="J118" s="153">
        <f t="shared" si="18"/>
        <v>-13735</v>
      </c>
      <c r="K118" s="153">
        <f t="shared" si="18"/>
        <v>-13735</v>
      </c>
      <c r="M118" t="s">
        <v>163</v>
      </c>
    </row>
    <row r="119" spans="2:17">
      <c r="C119" s="294" t="s">
        <v>64</v>
      </c>
      <c r="D119" s="95">
        <v>-29000</v>
      </c>
      <c r="E119" s="95">
        <v>-33001</v>
      </c>
      <c r="F119" s="95">
        <v>-73056</v>
      </c>
      <c r="G119" s="289">
        <f>F119</f>
        <v>-73056</v>
      </c>
      <c r="H119" s="289">
        <f>G119</f>
        <v>-73056</v>
      </c>
      <c r="I119" s="289">
        <f t="shared" si="18"/>
        <v>-73056</v>
      </c>
      <c r="J119" s="289">
        <f t="shared" si="18"/>
        <v>-73056</v>
      </c>
      <c r="K119" s="289">
        <f t="shared" si="18"/>
        <v>-73056</v>
      </c>
      <c r="M119" t="s">
        <v>236</v>
      </c>
    </row>
    <row r="120" spans="2:17">
      <c r="C120" s="232" t="s">
        <v>28</v>
      </c>
      <c r="D120" s="69">
        <f>D63</f>
        <v>0</v>
      </c>
      <c r="E120" s="69">
        <f>E63</f>
        <v>98330</v>
      </c>
      <c r="F120" s="69">
        <f>F63</f>
        <v>70400</v>
      </c>
      <c r="G120" s="52">
        <f ca="1">SUM(G116:G119)</f>
        <v>35822.524654506109</v>
      </c>
      <c r="H120" s="52">
        <f ca="1">SUM(H116:H119)</f>
        <v>4450.5243769756635</v>
      </c>
      <c r="I120" s="52">
        <f ca="1">SUM(I116:I119)</f>
        <v>-24415.008453071408</v>
      </c>
      <c r="J120" s="52">
        <f ca="1">SUM(J116:J119)</f>
        <v>-50555.713956481057</v>
      </c>
      <c r="K120" s="52">
        <f ca="1">SUM(K116:K119)</f>
        <v>-73384.479210304402</v>
      </c>
      <c r="M120" t="s">
        <v>164</v>
      </c>
    </row>
    <row r="121" spans="2:17">
      <c r="E121" s="62"/>
      <c r="F121" s="62"/>
    </row>
    <row r="122" spans="2:17">
      <c r="C122" s="7" t="s">
        <v>131</v>
      </c>
      <c r="D122" s="269"/>
      <c r="E122" s="269"/>
      <c r="F122" s="269"/>
      <c r="G122" s="269"/>
      <c r="H122" s="269"/>
      <c r="I122" s="269"/>
      <c r="J122" s="269"/>
      <c r="K122" s="269"/>
      <c r="O122" s="291"/>
      <c r="P122" s="291"/>
    </row>
    <row r="123" spans="2:17">
      <c r="C123" s="35" t="str">
        <f t="shared" ref="C123:K124" si="19">C15</f>
        <v xml:space="preserve">Fiscal year  </v>
      </c>
      <c r="D123" s="284">
        <f t="shared" si="19"/>
        <v>2016</v>
      </c>
      <c r="E123" s="284">
        <f t="shared" si="19"/>
        <v>2017</v>
      </c>
      <c r="F123" s="284">
        <f t="shared" si="19"/>
        <v>2018</v>
      </c>
      <c r="G123" s="285">
        <f t="shared" si="19"/>
        <v>2019</v>
      </c>
      <c r="H123" s="285">
        <f t="shared" si="19"/>
        <v>2020</v>
      </c>
      <c r="I123" s="285">
        <f t="shared" si="19"/>
        <v>2021</v>
      </c>
      <c r="J123" s="285">
        <f t="shared" si="19"/>
        <v>2022</v>
      </c>
      <c r="K123" s="285">
        <f t="shared" si="19"/>
        <v>2023</v>
      </c>
      <c r="O123" s="291"/>
      <c r="P123" s="291"/>
    </row>
    <row r="124" spans="2:17">
      <c r="C124" s="269" t="str">
        <f t="shared" si="19"/>
        <v>Fiscal year end date</v>
      </c>
      <c r="D124" s="32">
        <f t="shared" si="19"/>
        <v>42643</v>
      </c>
      <c r="E124" s="32">
        <f t="shared" si="19"/>
        <v>43008</v>
      </c>
      <c r="F124" s="32">
        <f t="shared" si="19"/>
        <v>43372</v>
      </c>
      <c r="G124" s="32">
        <f t="shared" si="19"/>
        <v>43738</v>
      </c>
      <c r="H124" s="32">
        <f t="shared" si="19"/>
        <v>44104</v>
      </c>
      <c r="I124" s="32">
        <f t="shared" si="19"/>
        <v>44469</v>
      </c>
      <c r="J124" s="32">
        <f t="shared" si="19"/>
        <v>44834</v>
      </c>
      <c r="K124" s="32">
        <f t="shared" si="19"/>
        <v>45199</v>
      </c>
      <c r="O124" s="291"/>
      <c r="P124" s="291"/>
    </row>
    <row r="125" spans="2:17">
      <c r="C125" s="24"/>
      <c r="O125" s="291"/>
      <c r="P125" s="291"/>
    </row>
    <row r="126" spans="2:17">
      <c r="C126" s="25" t="s">
        <v>39</v>
      </c>
      <c r="O126" s="291"/>
      <c r="P126" s="291"/>
      <c r="Q126" s="291"/>
    </row>
    <row r="127" spans="2:17">
      <c r="C127" s="278" t="s">
        <v>45</v>
      </c>
      <c r="G127" s="153">
        <f>F46</f>
        <v>237100</v>
      </c>
      <c r="H127" s="153">
        <f ca="1">G46</f>
        <v>201648.11032631699</v>
      </c>
      <c r="I127" s="153">
        <f ca="1">H46</f>
        <v>174459.99642523061</v>
      </c>
      <c r="J127" s="153">
        <f ca="1">I46</f>
        <v>150562.99025415018</v>
      </c>
      <c r="K127" s="153">
        <f ca="1">J46</f>
        <v>130350.20323129596</v>
      </c>
      <c r="M127" t="s">
        <v>172</v>
      </c>
      <c r="O127" s="291"/>
      <c r="P127" s="291"/>
    </row>
    <row r="128" spans="2:17">
      <c r="C128" s="278" t="s">
        <v>69</v>
      </c>
      <c r="G128" s="3">
        <v>-50000</v>
      </c>
      <c r="H128" s="3">
        <v>-50000</v>
      </c>
      <c r="I128" s="3">
        <v>-50000</v>
      </c>
      <c r="J128" s="3">
        <v>-50000</v>
      </c>
      <c r="K128" s="3">
        <v>-50000</v>
      </c>
      <c r="M128" t="s">
        <v>126</v>
      </c>
      <c r="O128" s="291"/>
      <c r="P128" s="291"/>
    </row>
    <row r="129" spans="3:19">
      <c r="C129" s="294" t="s">
        <v>40</v>
      </c>
      <c r="D129" s="295"/>
      <c r="E129" s="295"/>
      <c r="F129" s="295"/>
      <c r="G129" s="289">
        <f ca="1">SUM(G80,G83,G85,G87,G88)</f>
        <v>-35487.889673683014</v>
      </c>
      <c r="H129" s="289">
        <f ca="1">SUM(H80,H83,H85,H87,H88)</f>
        <v>-27188.113901086384</v>
      </c>
      <c r="I129" s="289">
        <f ca="1">SUM(I80,I83,I85,I87,I88)</f>
        <v>-23897.006171080429</v>
      </c>
      <c r="J129" s="289">
        <f ca="1">SUM(J80,J83,J85,J87,J88)</f>
        <v>-20212.787022854216</v>
      </c>
      <c r="K129" s="289">
        <f ca="1">SUM(K80,K83,K85,K87,K88)</f>
        <v>-15893.412228467743</v>
      </c>
      <c r="M129" t="s">
        <v>174</v>
      </c>
    </row>
    <row r="130" spans="3:19">
      <c r="C130" s="232" t="s">
        <v>102</v>
      </c>
      <c r="G130" s="52">
        <f ca="1">SUM(G127:G129)</f>
        <v>151612.11032631699</v>
      </c>
      <c r="H130" s="52">
        <f ca="1">SUM(H127:H129)</f>
        <v>124459.99642523061</v>
      </c>
      <c r="I130" s="52">
        <f ca="1">SUM(I127:I129)</f>
        <v>100562.99025415018</v>
      </c>
      <c r="J130" s="52">
        <f ca="1">SUM(J127:J129)</f>
        <v>80350.203231295964</v>
      </c>
      <c r="K130" s="52">
        <f ca="1">SUM(K127:K129)</f>
        <v>64456.79100282822</v>
      </c>
    </row>
    <row r="132" spans="3:19">
      <c r="C132" s="24" t="s">
        <v>113</v>
      </c>
    </row>
    <row r="133" spans="3:19">
      <c r="C133" s="278" t="s">
        <v>27</v>
      </c>
      <c r="G133" s="153">
        <f>F136</f>
        <v>11964</v>
      </c>
      <c r="H133" s="153">
        <f ca="1">G136</f>
        <v>12000</v>
      </c>
      <c r="I133" s="153">
        <f ca="1">H136</f>
        <v>12000</v>
      </c>
      <c r="J133" s="153">
        <f ca="1">I136</f>
        <v>12000</v>
      </c>
      <c r="K133" s="153">
        <f ca="1">J136</f>
        <v>12000</v>
      </c>
      <c r="M133" t="s">
        <v>167</v>
      </c>
    </row>
    <row r="134" spans="3:19">
      <c r="C134" s="287" t="s">
        <v>176</v>
      </c>
      <c r="G134" s="153">
        <f ca="1">-MIN(G130,G133)</f>
        <v>-11964</v>
      </c>
      <c r="H134" s="153">
        <f ca="1">-MIN(H130,H133)</f>
        <v>-12000</v>
      </c>
      <c r="I134" s="153">
        <f ca="1">-MIN(I130,I133)</f>
        <v>-12000</v>
      </c>
      <c r="J134" s="153">
        <f ca="1">-MIN(J130,J133)</f>
        <v>-12000</v>
      </c>
      <c r="K134" s="153">
        <f ca="1">-MIN(K130,K133)</f>
        <v>-12000</v>
      </c>
      <c r="M134" t="s">
        <v>175</v>
      </c>
    </row>
    <row r="135" spans="3:19">
      <c r="C135" s="288" t="s">
        <v>128</v>
      </c>
      <c r="D135" s="295"/>
      <c r="E135" s="295"/>
      <c r="F135" s="295"/>
      <c r="G135" s="95">
        <v>12000</v>
      </c>
      <c r="H135" s="95">
        <v>12000</v>
      </c>
      <c r="I135" s="95">
        <v>12000</v>
      </c>
      <c r="J135" s="95">
        <v>12000</v>
      </c>
      <c r="K135" s="95">
        <v>12000</v>
      </c>
      <c r="M135" t="s">
        <v>126</v>
      </c>
    </row>
    <row r="136" spans="3:19">
      <c r="C136" s="278" t="s">
        <v>28</v>
      </c>
      <c r="D136" s="289">
        <f>D57</f>
        <v>0</v>
      </c>
      <c r="E136" s="289">
        <f>E57</f>
        <v>11977</v>
      </c>
      <c r="F136" s="289">
        <f>F57</f>
        <v>11964</v>
      </c>
      <c r="G136" s="160">
        <f ca="1">SUM(G133:G135)</f>
        <v>12000</v>
      </c>
      <c r="H136" s="160">
        <f ca="1">SUM(H133:H135)</f>
        <v>12000</v>
      </c>
      <c r="I136" s="160">
        <f ca="1">SUM(I133:I135)</f>
        <v>12000</v>
      </c>
      <c r="J136" s="160">
        <f ca="1">SUM(J133:J135)</f>
        <v>12000</v>
      </c>
      <c r="K136" s="160">
        <f ca="1">SUM(K133:K135)</f>
        <v>12000</v>
      </c>
    </row>
    <row r="137" spans="3:19">
      <c r="C137" s="117" t="s">
        <v>119</v>
      </c>
      <c r="D137" s="297"/>
      <c r="E137" s="297"/>
      <c r="F137" s="298"/>
      <c r="G137" s="118" t="str">
        <f ca="1">IF(G136&lt;0,"Negative Debt","OK")</f>
        <v>OK</v>
      </c>
      <c r="H137" s="118" t="str">
        <f ca="1">IF(H136&lt;0,"Negative Debt","OK")</f>
        <v>OK</v>
      </c>
      <c r="I137" s="118" t="str">
        <f ca="1">IF(I136&lt;0,"Negative Debt","OK")</f>
        <v>OK</v>
      </c>
      <c r="J137" s="118" t="str">
        <f ca="1">IF(J136&lt;0,"Negative Debt","OK")</f>
        <v>OK</v>
      </c>
      <c r="K137" s="119" t="str">
        <f ca="1">IF(K136&lt;0,"Negative Debt","OK")</f>
        <v>OK</v>
      </c>
      <c r="S137" s="62"/>
    </row>
    <row r="138" spans="3:19">
      <c r="D138" s="153"/>
      <c r="E138" s="153"/>
      <c r="F138" s="299"/>
      <c r="G138" s="300"/>
      <c r="H138" s="300"/>
      <c r="I138" s="300"/>
      <c r="J138" s="300"/>
      <c r="K138" s="300"/>
      <c r="S138" s="62"/>
    </row>
    <row r="139" spans="3:19">
      <c r="C139" s="7" t="s">
        <v>43</v>
      </c>
      <c r="D139" s="292"/>
      <c r="E139" s="292"/>
      <c r="F139" s="292"/>
      <c r="G139" s="49"/>
      <c r="H139" s="49"/>
      <c r="I139" s="49"/>
      <c r="J139" s="49"/>
      <c r="K139" s="49"/>
      <c r="R139" s="99"/>
    </row>
    <row r="140" spans="3:19">
      <c r="C140" s="35" t="str">
        <f t="shared" ref="C140:K141" si="20">C15</f>
        <v xml:space="preserve">Fiscal year  </v>
      </c>
      <c r="D140" s="284">
        <f t="shared" si="20"/>
        <v>2016</v>
      </c>
      <c r="E140" s="284">
        <f t="shared" si="20"/>
        <v>2017</v>
      </c>
      <c r="F140" s="284">
        <f t="shared" si="20"/>
        <v>2018</v>
      </c>
      <c r="G140" s="285">
        <f t="shared" si="20"/>
        <v>2019</v>
      </c>
      <c r="H140" s="285">
        <f t="shared" si="20"/>
        <v>2020</v>
      </c>
      <c r="I140" s="285">
        <f t="shared" si="20"/>
        <v>2021</v>
      </c>
      <c r="J140" s="285">
        <f t="shared" si="20"/>
        <v>2022</v>
      </c>
      <c r="K140" s="285">
        <f t="shared" si="20"/>
        <v>2023</v>
      </c>
      <c r="R140" s="99"/>
      <c r="S140" s="62"/>
    </row>
    <row r="141" spans="3:19">
      <c r="C141" s="269" t="str">
        <f t="shared" si="20"/>
        <v>Fiscal year end date</v>
      </c>
      <c r="D141" s="32">
        <f t="shared" si="20"/>
        <v>42643</v>
      </c>
      <c r="E141" s="32">
        <f t="shared" si="20"/>
        <v>43008</v>
      </c>
      <c r="F141" s="32">
        <f t="shared" si="20"/>
        <v>43372</v>
      </c>
      <c r="G141" s="32">
        <f t="shared" si="20"/>
        <v>43738</v>
      </c>
      <c r="H141" s="32">
        <f t="shared" si="20"/>
        <v>44104</v>
      </c>
      <c r="I141" s="32">
        <f t="shared" si="20"/>
        <v>44469</v>
      </c>
      <c r="J141" s="32">
        <f t="shared" si="20"/>
        <v>44834</v>
      </c>
      <c r="K141" s="32">
        <f t="shared" si="20"/>
        <v>45199</v>
      </c>
      <c r="R141" s="99"/>
    </row>
    <row r="142" spans="3:19">
      <c r="C142" s="278"/>
      <c r="D142" s="153"/>
      <c r="E142" s="153"/>
      <c r="F142" s="153"/>
      <c r="G142" s="301"/>
      <c r="H142" s="301"/>
      <c r="I142" s="301"/>
      <c r="J142" s="301"/>
      <c r="K142" s="301"/>
      <c r="R142" s="99"/>
    </row>
    <row r="143" spans="3:19">
      <c r="C143" s="279" t="s">
        <v>120</v>
      </c>
      <c r="D143" s="153">
        <f>-(D25)</f>
        <v>1456</v>
      </c>
      <c r="E143" s="153">
        <f>-(E25)</f>
        <v>2323</v>
      </c>
      <c r="F143" s="153">
        <f>-(F25)</f>
        <v>3240</v>
      </c>
      <c r="G143" s="153">
        <f>G148+G153</f>
        <v>3222.7544651501776</v>
      </c>
      <c r="H143" s="153">
        <f ca="1">H148+H153</f>
        <v>3223.5392651501775</v>
      </c>
      <c r="I143" s="153">
        <f ca="1">I148+I153</f>
        <v>3223.5392651501775</v>
      </c>
      <c r="J143" s="153">
        <f ca="1">J148+J153</f>
        <v>3223.5392651501775</v>
      </c>
      <c r="K143" s="153">
        <f ca="1">K148+K153</f>
        <v>3223.5392651501775</v>
      </c>
      <c r="M143" t="s">
        <v>178</v>
      </c>
      <c r="R143" s="62"/>
    </row>
    <row r="144" spans="3:19">
      <c r="C144" s="302"/>
      <c r="R144" s="62"/>
    </row>
    <row r="145" spans="3:18">
      <c r="C145" s="303" t="s">
        <v>68</v>
      </c>
      <c r="R145" s="62"/>
    </row>
    <row r="146" spans="3:18">
      <c r="C146" s="278" t="s">
        <v>111</v>
      </c>
      <c r="E146" s="56">
        <v>1.2E-2</v>
      </c>
      <c r="F146" s="56">
        <v>2.18E-2</v>
      </c>
      <c r="G146" s="304">
        <f>F146</f>
        <v>2.18E-2</v>
      </c>
      <c r="H146" s="304">
        <f>G146</f>
        <v>2.18E-2</v>
      </c>
      <c r="I146" s="304">
        <f>H146</f>
        <v>2.18E-2</v>
      </c>
      <c r="J146" s="304">
        <f>I146</f>
        <v>2.18E-2</v>
      </c>
      <c r="K146" s="304">
        <f>J146</f>
        <v>2.18E-2</v>
      </c>
      <c r="M146" t="s">
        <v>132</v>
      </c>
    </row>
    <row r="147" spans="3:18">
      <c r="C147" s="278" t="s">
        <v>112</v>
      </c>
      <c r="D147" s="289"/>
      <c r="E147" s="289">
        <f t="shared" ref="E147:K147" si="21">E57</f>
        <v>11977</v>
      </c>
      <c r="F147" s="289">
        <f t="shared" si="21"/>
        <v>11964</v>
      </c>
      <c r="G147" s="153">
        <f t="shared" ca="1" si="21"/>
        <v>12000</v>
      </c>
      <c r="H147" s="153">
        <f t="shared" ca="1" si="21"/>
        <v>12000</v>
      </c>
      <c r="I147" s="153">
        <f t="shared" ca="1" si="21"/>
        <v>12000</v>
      </c>
      <c r="J147" s="153">
        <f t="shared" ca="1" si="21"/>
        <v>12000</v>
      </c>
      <c r="K147" s="153">
        <f t="shared" ca="1" si="21"/>
        <v>12000</v>
      </c>
      <c r="M147" t="s">
        <v>181</v>
      </c>
    </row>
    <row r="148" spans="3:18">
      <c r="C148" s="305" t="s">
        <v>41</v>
      </c>
      <c r="D148" s="153"/>
      <c r="E148" s="52">
        <f>AVERAGE(D147:E147)*E146</f>
        <v>143.72399999999999</v>
      </c>
      <c r="F148" s="52">
        <f>AVERAGE(E147:F147)*F146</f>
        <v>260.95690000000002</v>
      </c>
      <c r="G148" s="306">
        <f>F147*G146</f>
        <v>260.8152</v>
      </c>
      <c r="H148" s="306">
        <f ca="1">G147*H146</f>
        <v>261.60000000000002</v>
      </c>
      <c r="I148" s="306">
        <f ca="1">H147*I146</f>
        <v>261.60000000000002</v>
      </c>
      <c r="J148" s="306">
        <f ca="1">I147*J146</f>
        <v>261.60000000000002</v>
      </c>
      <c r="K148" s="306">
        <f ca="1">J147*K146</f>
        <v>261.60000000000002</v>
      </c>
      <c r="M148" t="s">
        <v>180</v>
      </c>
    </row>
    <row r="149" spans="3:18">
      <c r="C149" s="307"/>
      <c r="D149" s="153"/>
      <c r="E149" s="153"/>
      <c r="F149" s="153"/>
    </row>
    <row r="150" spans="3:18">
      <c r="C150" s="303" t="s">
        <v>67</v>
      </c>
      <c r="D150" s="153"/>
      <c r="E150" s="153"/>
      <c r="F150" s="153"/>
    </row>
    <row r="151" spans="3:18">
      <c r="C151" s="278" t="s">
        <v>112</v>
      </c>
      <c r="D151" s="153"/>
      <c r="E151" s="153">
        <f t="shared" ref="E151:K151" si="22">E58</f>
        <v>103703</v>
      </c>
      <c r="F151" s="153">
        <f t="shared" si="22"/>
        <v>102519</v>
      </c>
      <c r="G151" s="153">
        <f t="shared" si="22"/>
        <v>102519</v>
      </c>
      <c r="H151" s="153">
        <f t="shared" si="22"/>
        <v>102519</v>
      </c>
      <c r="I151" s="153">
        <f t="shared" si="22"/>
        <v>102519</v>
      </c>
      <c r="J151" s="153">
        <f t="shared" si="22"/>
        <v>102519</v>
      </c>
      <c r="K151" s="153">
        <f t="shared" si="22"/>
        <v>102519</v>
      </c>
      <c r="M151" t="s">
        <v>183</v>
      </c>
    </row>
    <row r="152" spans="3:18">
      <c r="C152" s="278" t="s">
        <v>111</v>
      </c>
      <c r="E152" s="93">
        <f t="shared" ref="E152" si="23">E153/AVERAGE(D151:E151)</f>
        <v>2.101458974185896E-2</v>
      </c>
      <c r="F152" s="100">
        <f>F153/AVERAGE(E151:F151)</f>
        <v>2.8891612921996681E-2</v>
      </c>
      <c r="G152" s="304">
        <f>F152</f>
        <v>2.8891612921996681E-2</v>
      </c>
      <c r="H152" s="304">
        <f>G152</f>
        <v>2.8891612921996681E-2</v>
      </c>
      <c r="I152" s="304">
        <f>H152</f>
        <v>2.8891612921996681E-2</v>
      </c>
      <c r="J152" s="304">
        <f>I152</f>
        <v>2.8891612921996681E-2</v>
      </c>
      <c r="K152" s="304">
        <f>J152</f>
        <v>2.8891612921996681E-2</v>
      </c>
      <c r="M152" t="s">
        <v>132</v>
      </c>
      <c r="R152" s="99"/>
    </row>
    <row r="153" spans="3:18">
      <c r="C153" s="232" t="s">
        <v>186</v>
      </c>
      <c r="D153" s="52"/>
      <c r="E153" s="52">
        <f>E143-E148</f>
        <v>2179.2759999999998</v>
      </c>
      <c r="F153" s="52">
        <f>F143-F148</f>
        <v>2979.0430999999999</v>
      </c>
      <c r="G153" s="69">
        <f>G152*AVERAGE(F151:G151)</f>
        <v>2961.9392651501776</v>
      </c>
      <c r="H153" s="69">
        <f>H152*AVERAGE(G151:H151)</f>
        <v>2961.9392651501776</v>
      </c>
      <c r="I153" s="69">
        <f>I152*AVERAGE(H151:I151)</f>
        <v>2961.9392651501776</v>
      </c>
      <c r="J153" s="69">
        <f>J152*AVERAGE(I151:J151)</f>
        <v>2961.9392651501776</v>
      </c>
      <c r="K153" s="69">
        <f>K152*AVERAGE(J151:K151)</f>
        <v>2961.9392651501776</v>
      </c>
      <c r="M153" t="s">
        <v>114</v>
      </c>
    </row>
    <row r="154" spans="3:18">
      <c r="E154" s="153"/>
    </row>
    <row r="155" spans="3:18">
      <c r="C155" s="302" t="s">
        <v>42</v>
      </c>
      <c r="E155" s="153"/>
      <c r="F155" s="153"/>
    </row>
    <row r="156" spans="3:18" ht="15" customHeight="1">
      <c r="C156" s="278" t="s">
        <v>115</v>
      </c>
      <c r="D156" s="55">
        <v>1.7299999999999999E-2</v>
      </c>
      <c r="E156" s="56">
        <v>1.9900000000000001E-2</v>
      </c>
      <c r="F156" s="56">
        <v>2.1600000000000001E-2</v>
      </c>
      <c r="G156" s="308">
        <f>F156</f>
        <v>2.1600000000000001E-2</v>
      </c>
      <c r="H156" s="308">
        <f>G156</f>
        <v>2.1600000000000001E-2</v>
      </c>
      <c r="I156" s="308">
        <f>H156</f>
        <v>2.1600000000000001E-2</v>
      </c>
      <c r="J156" s="308">
        <f>I156</f>
        <v>2.1600000000000001E-2</v>
      </c>
      <c r="K156" s="308">
        <f>J156</f>
        <v>2.1600000000000001E-2</v>
      </c>
      <c r="M156" t="s">
        <v>132</v>
      </c>
    </row>
    <row r="157" spans="3:18" ht="15" customHeight="1">
      <c r="C157" s="278" t="s">
        <v>4</v>
      </c>
      <c r="D157" s="153">
        <f>D24</f>
        <v>3999</v>
      </c>
      <c r="E157" s="153">
        <f>E24</f>
        <v>5201</v>
      </c>
      <c r="F157" s="153">
        <f>F24</f>
        <v>5686</v>
      </c>
      <c r="G157" s="33">
        <f>G156*F46</f>
        <v>5121.3600000000006</v>
      </c>
      <c r="H157" s="33">
        <f ca="1">H156*G46</f>
        <v>4355.5991830484472</v>
      </c>
      <c r="I157" s="33">
        <f ca="1">I156*H46</f>
        <v>3768.3359227849814</v>
      </c>
      <c r="J157" s="33">
        <f ca="1">J156*I46</f>
        <v>3252.1605894896438</v>
      </c>
      <c r="K157" s="33">
        <f ca="1">K156*J46</f>
        <v>2815.5643897959931</v>
      </c>
      <c r="M157" t="s">
        <v>184</v>
      </c>
    </row>
    <row r="158" spans="3:18">
      <c r="C158" s="309"/>
      <c r="D158" s="224"/>
      <c r="E158" s="224"/>
      <c r="F158" s="224"/>
      <c r="G158" s="224"/>
      <c r="H158" s="224"/>
    </row>
    <row r="159" spans="3:18">
      <c r="C159" s="7" t="s">
        <v>76</v>
      </c>
      <c r="D159" s="7"/>
      <c r="E159" s="7"/>
      <c r="F159" s="7"/>
      <c r="G159" s="7"/>
      <c r="H159" s="7"/>
      <c r="I159" s="7"/>
      <c r="J159" s="7"/>
      <c r="K159" s="7"/>
    </row>
    <row r="160" spans="3:18">
      <c r="C160" s="24"/>
    </row>
    <row r="161" spans="2:16" ht="15.75" thickBot="1">
      <c r="C161" s="75" t="s">
        <v>188</v>
      </c>
      <c r="D161" s="310"/>
      <c r="E161" s="310"/>
      <c r="F161" s="310"/>
      <c r="G161" s="310"/>
      <c r="H161" s="310"/>
      <c r="I161" s="310"/>
    </row>
    <row r="162" spans="2:16">
      <c r="D162" s="24"/>
      <c r="E162" s="311" t="s">
        <v>77</v>
      </c>
      <c r="F162" s="312"/>
      <c r="G162" s="312"/>
      <c r="H162" s="312"/>
      <c r="I162" s="312"/>
    </row>
    <row r="163" spans="2:16" ht="15.75" customHeight="1" thickBot="1">
      <c r="D163" s="313">
        <f ca="1">G29</f>
        <v>52213.524654506109</v>
      </c>
      <c r="E163" s="314">
        <v>-0.05</v>
      </c>
      <c r="F163" s="314">
        <v>-2.5000000000000001E-2</v>
      </c>
      <c r="G163" s="314">
        <v>0</v>
      </c>
      <c r="H163" s="314">
        <v>2.5000000000000001E-2</v>
      </c>
      <c r="I163" s="314">
        <v>0.05</v>
      </c>
    </row>
    <row r="164" spans="2:16">
      <c r="C164" s="315"/>
      <c r="D164" s="316">
        <v>0.39</v>
      </c>
      <c r="E164" s="317">
        <f t="dataTable" ref="E164:I169" dt2D="1" dtr="1" r1="G37" r2="G38" ca="1"/>
        <v>54599.550636029897</v>
      </c>
      <c r="F164" s="317">
        <v>56004.428668279899</v>
      </c>
      <c r="G164" s="317">
        <v>57409.306700529902</v>
      </c>
      <c r="H164" s="317">
        <v>58814.184732779904</v>
      </c>
      <c r="I164" s="317">
        <v>60219.062765029907</v>
      </c>
    </row>
    <row r="165" spans="2:16">
      <c r="C165" s="259" t="s">
        <v>78</v>
      </c>
      <c r="D165" s="316">
        <v>0.38500000000000001</v>
      </c>
      <c r="E165" s="317">
        <v>53548.657619779886</v>
      </c>
      <c r="F165" s="317">
        <v>54925.880572654904</v>
      </c>
      <c r="G165" s="317">
        <v>56303.103525529899</v>
      </c>
      <c r="H165" s="317">
        <v>57680.326478404902</v>
      </c>
      <c r="I165" s="317">
        <v>59057.549431279913</v>
      </c>
    </row>
    <row r="166" spans="2:16">
      <c r="C166" s="259" t="s">
        <v>79</v>
      </c>
      <c r="D166" s="316">
        <v>0.38</v>
      </c>
      <c r="E166" s="317">
        <v>52497.764603529897</v>
      </c>
      <c r="F166" s="317">
        <v>53847.332477029893</v>
      </c>
      <c r="G166" s="317">
        <v>55196.900350529904</v>
      </c>
      <c r="H166" s="317">
        <v>56546.468224029901</v>
      </c>
      <c r="I166" s="317">
        <v>57896.036097529912</v>
      </c>
    </row>
    <row r="167" spans="2:16">
      <c r="C167" s="259" t="s">
        <v>80</v>
      </c>
      <c r="D167" s="316">
        <v>0.375</v>
      </c>
      <c r="E167" s="317">
        <v>51446.871587279893</v>
      </c>
      <c r="F167" s="317">
        <v>52768.784381404897</v>
      </c>
      <c r="G167" s="317">
        <v>54090.697175529902</v>
      </c>
      <c r="H167" s="317">
        <v>55412.609969654899</v>
      </c>
      <c r="I167" s="317">
        <v>56734.522763779911</v>
      </c>
    </row>
    <row r="168" spans="2:16">
      <c r="D168" s="316">
        <v>0.37</v>
      </c>
      <c r="E168" s="317">
        <v>50395.978571029904</v>
      </c>
      <c r="F168" s="317">
        <v>51690.236285779902</v>
      </c>
      <c r="G168" s="317">
        <v>52984.494000529899</v>
      </c>
      <c r="H168" s="317">
        <v>54278.751715279897</v>
      </c>
      <c r="I168" s="317">
        <v>55573.00943002991</v>
      </c>
    </row>
    <row r="169" spans="2:16">
      <c r="D169" s="316">
        <v>0.36499999999999999</v>
      </c>
      <c r="E169" s="317">
        <v>49345.085554779893</v>
      </c>
      <c r="F169" s="317">
        <v>50611.688190154899</v>
      </c>
      <c r="G169" s="317">
        <v>51878.290825529904</v>
      </c>
      <c r="H169" s="317">
        <v>53144.893460904896</v>
      </c>
      <c r="I169" s="317">
        <v>54411.496096279909</v>
      </c>
    </row>
    <row r="171" spans="2:16">
      <c r="B171" t="s">
        <v>317</v>
      </c>
      <c r="C171" s="7" t="s">
        <v>81</v>
      </c>
      <c r="D171" s="7"/>
      <c r="E171" s="7"/>
      <c r="F171" s="7"/>
      <c r="G171" s="7"/>
      <c r="H171" s="7"/>
      <c r="I171" s="7"/>
      <c r="J171" s="7"/>
      <c r="K171" s="7"/>
    </row>
    <row r="172" spans="2:16" ht="15.75" thickBot="1"/>
    <row r="173" spans="2:16" ht="15.75" thickBot="1">
      <c r="C173" t="s">
        <v>193</v>
      </c>
      <c r="D173" s="185" t="str">
        <f>D12</f>
        <v>Base case</v>
      </c>
      <c r="F173" s="183" t="s">
        <v>314</v>
      </c>
      <c r="G173" s="285">
        <f>G15</f>
        <v>2019</v>
      </c>
      <c r="H173" s="285">
        <f t="shared" ref="H173:K174" si="24">H15</f>
        <v>2020</v>
      </c>
      <c r="I173" s="285">
        <f t="shared" si="24"/>
        <v>2021</v>
      </c>
      <c r="J173" s="285">
        <f t="shared" si="24"/>
        <v>2022</v>
      </c>
      <c r="K173" s="285">
        <f t="shared" si="24"/>
        <v>2023</v>
      </c>
    </row>
    <row r="174" spans="2:16">
      <c r="E174" s="318"/>
      <c r="F174" s="178" t="s">
        <v>190</v>
      </c>
      <c r="G174" s="32">
        <f>G16</f>
        <v>43738</v>
      </c>
      <c r="H174" s="32">
        <f t="shared" si="24"/>
        <v>44104</v>
      </c>
      <c r="I174" s="32">
        <f t="shared" si="24"/>
        <v>44469</v>
      </c>
      <c r="J174" s="32">
        <f t="shared" si="24"/>
        <v>44834</v>
      </c>
      <c r="K174" s="32">
        <f t="shared" si="24"/>
        <v>45199</v>
      </c>
    </row>
    <row r="175" spans="2:16">
      <c r="C175" s="491" t="s">
        <v>239</v>
      </c>
      <c r="D175" s="145"/>
      <c r="E175" s="145"/>
      <c r="F175" s="492" t="str">
        <f t="shared" ref="F175:K179" ca="1" si="25">OFFSET(F$181,MATCH($C175,$C$181:$C$200,0)+MATCH($D$173,$C$182:$C$184,0)-1,0)</f>
        <v>NM</v>
      </c>
      <c r="G175" s="493">
        <f t="shared" ca="1" si="25"/>
        <v>792</v>
      </c>
      <c r="H175" s="493">
        <f t="shared" ca="1" si="25"/>
        <v>725</v>
      </c>
      <c r="I175" s="493">
        <f t="shared" ca="1" si="25"/>
        <v>725</v>
      </c>
      <c r="J175" s="493">
        <f t="shared" ca="1" si="25"/>
        <v>725</v>
      </c>
      <c r="K175" s="493">
        <f t="shared" ca="1" si="25"/>
        <v>725</v>
      </c>
      <c r="M175" s="321"/>
      <c r="N175" s="321"/>
      <c r="O175" s="321"/>
      <c r="P175" s="321"/>
    </row>
    <row r="176" spans="2:16">
      <c r="C176" s="491" t="s">
        <v>311</v>
      </c>
      <c r="D176" s="145"/>
      <c r="E176" s="145"/>
      <c r="F176" s="492" t="str">
        <f t="shared" ca="1" si="25"/>
        <v>NM</v>
      </c>
      <c r="G176" s="151">
        <f t="shared" ca="1" si="25"/>
        <v>173700</v>
      </c>
      <c r="H176" s="151">
        <f t="shared" ca="1" si="25"/>
        <v>190880</v>
      </c>
      <c r="I176" s="151">
        <f t="shared" ca="1" si="25"/>
        <v>190880</v>
      </c>
      <c r="J176" s="151">
        <f t="shared" ca="1" si="25"/>
        <v>190880</v>
      </c>
      <c r="K176" s="151">
        <f t="shared" ca="1" si="25"/>
        <v>190880</v>
      </c>
      <c r="M176" s="321"/>
      <c r="N176" s="321"/>
      <c r="O176" s="321"/>
      <c r="P176" s="321"/>
    </row>
    <row r="177" spans="3:19">
      <c r="C177" s="278" t="s">
        <v>231</v>
      </c>
      <c r="F177" s="322" t="str">
        <f t="shared" ca="1" si="25"/>
        <v>NM</v>
      </c>
      <c r="G177" s="290">
        <f t="shared" ca="1" si="25"/>
        <v>0.378</v>
      </c>
      <c r="H177" s="290">
        <f t="shared" ca="1" si="25"/>
        <v>0.38100000000000001</v>
      </c>
      <c r="I177" s="290">
        <f t="shared" ca="1" si="25"/>
        <v>0.38200000000000001</v>
      </c>
      <c r="J177" s="290">
        <f t="shared" ca="1" si="25"/>
        <v>0.38200000000000001</v>
      </c>
      <c r="K177" s="290">
        <f t="shared" ca="1" si="25"/>
        <v>0.38200000000000001</v>
      </c>
      <c r="M177" s="321"/>
      <c r="N177" s="321"/>
      <c r="O177" s="321"/>
      <c r="P177" s="321"/>
    </row>
    <row r="178" spans="3:19">
      <c r="C178" s="278" t="s">
        <v>232</v>
      </c>
      <c r="F178" s="322" t="str">
        <f t="shared" ca="1" si="25"/>
        <v>NM</v>
      </c>
      <c r="G178" s="290">
        <f t="shared" ca="1" si="25"/>
        <v>6.2E-2</v>
      </c>
      <c r="H178" s="290">
        <f t="shared" ca="1" si="25"/>
        <v>6.3E-2</v>
      </c>
      <c r="I178" s="290">
        <f t="shared" ca="1" si="25"/>
        <v>6.3E-2</v>
      </c>
      <c r="J178" s="290">
        <f t="shared" ca="1" si="25"/>
        <v>6.3E-2</v>
      </c>
      <c r="K178" s="290">
        <f t="shared" ca="1" si="25"/>
        <v>6.3E-2</v>
      </c>
      <c r="M178" s="321"/>
      <c r="N178" s="321"/>
      <c r="O178" s="321"/>
      <c r="P178" s="321"/>
    </row>
    <row r="179" spans="3:19">
      <c r="C179" s="278" t="s">
        <v>234</v>
      </c>
      <c r="F179" s="322" t="str">
        <f t="shared" ca="1" si="25"/>
        <v>NM</v>
      </c>
      <c r="G179" s="290">
        <f t="shared" ca="1" si="25"/>
        <v>7.3999999999999996E-2</v>
      </c>
      <c r="H179" s="290">
        <f t="shared" ca="1" si="25"/>
        <v>6.9000000000000006E-2</v>
      </c>
      <c r="I179" s="290">
        <f t="shared" ca="1" si="25"/>
        <v>6.9000000000000006E-2</v>
      </c>
      <c r="J179" s="290">
        <f t="shared" ca="1" si="25"/>
        <v>6.9000000000000006E-2</v>
      </c>
      <c r="K179" s="290">
        <f t="shared" ca="1" si="25"/>
        <v>6.9000000000000006E-2</v>
      </c>
      <c r="M179" s="321"/>
      <c r="N179" s="321"/>
      <c r="O179" s="321"/>
      <c r="P179" s="321"/>
    </row>
    <row r="180" spans="3:19">
      <c r="F180" s="323"/>
    </row>
    <row r="181" spans="3:19">
      <c r="C181" s="494" t="s">
        <v>239</v>
      </c>
      <c r="D181" s="145"/>
      <c r="E181" s="145"/>
      <c r="F181" s="495"/>
      <c r="G181" s="145"/>
      <c r="H181" s="145"/>
      <c r="I181" s="145"/>
      <c r="J181" s="145"/>
      <c r="K181" s="145"/>
    </row>
    <row r="182" spans="3:19">
      <c r="C182" s="496" t="s">
        <v>84</v>
      </c>
      <c r="D182" s="145"/>
      <c r="E182" s="145"/>
      <c r="F182" s="497">
        <v>100</v>
      </c>
      <c r="G182" s="498">
        <f>G183+$F$182</f>
        <v>892</v>
      </c>
      <c r="H182" s="498">
        <f>H183+$F$182</f>
        <v>825</v>
      </c>
      <c r="I182" s="498">
        <f>I183+$F$182</f>
        <v>825</v>
      </c>
      <c r="J182" s="498">
        <f>J183+$F$182</f>
        <v>825</v>
      </c>
      <c r="K182" s="498">
        <f>K183+$F$182</f>
        <v>825</v>
      </c>
    </row>
    <row r="183" spans="3:19">
      <c r="C183" s="496" t="s">
        <v>83</v>
      </c>
      <c r="D183" s="145"/>
      <c r="E183" s="145"/>
      <c r="F183" s="499" t="s">
        <v>189</v>
      </c>
      <c r="G183" s="457">
        <v>792</v>
      </c>
      <c r="H183" s="457">
        <v>725</v>
      </c>
      <c r="I183" s="457">
        <v>725</v>
      </c>
      <c r="J183" s="457">
        <v>725</v>
      </c>
      <c r="K183" s="457">
        <v>725</v>
      </c>
      <c r="M183" t="s">
        <v>205</v>
      </c>
      <c r="O183" s="283"/>
      <c r="P183" s="283"/>
      <c r="Q183" s="283"/>
      <c r="R183" s="283"/>
      <c r="S183" s="283"/>
    </row>
    <row r="184" spans="3:19">
      <c r="C184" s="496" t="s">
        <v>85</v>
      </c>
      <c r="D184" s="145"/>
      <c r="E184" s="145"/>
      <c r="F184" s="497">
        <v>-100</v>
      </c>
      <c r="G184" s="498">
        <f>G183+$F$184</f>
        <v>692</v>
      </c>
      <c r="H184" s="498">
        <f>H183+$F$184</f>
        <v>625</v>
      </c>
      <c r="I184" s="498">
        <f>I183+$F$184</f>
        <v>625</v>
      </c>
      <c r="J184" s="498">
        <f>J183+$F$184</f>
        <v>625</v>
      </c>
      <c r="K184" s="498">
        <f>K183+$F$184</f>
        <v>625</v>
      </c>
      <c r="O184" s="283"/>
      <c r="P184" s="283"/>
      <c r="Q184" s="283"/>
      <c r="R184" s="283"/>
      <c r="S184" s="283"/>
    </row>
    <row r="185" spans="3:19">
      <c r="C185" s="500" t="s">
        <v>311</v>
      </c>
      <c r="D185" s="145"/>
      <c r="E185" s="145"/>
      <c r="F185" s="501"/>
      <c r="G185" s="460"/>
      <c r="H185" s="460"/>
      <c r="I185" s="460"/>
      <c r="J185" s="460"/>
      <c r="K185" s="460"/>
      <c r="O185" s="283"/>
      <c r="P185" s="283"/>
      <c r="Q185" s="283"/>
      <c r="R185" s="283"/>
      <c r="S185" s="283"/>
    </row>
    <row r="186" spans="3:19">
      <c r="C186" s="496" t="s">
        <v>84</v>
      </c>
      <c r="D186" s="145"/>
      <c r="E186" s="145"/>
      <c r="F186" s="497">
        <v>10000</v>
      </c>
      <c r="G186" s="337">
        <f>G187+$F$186</f>
        <v>183700</v>
      </c>
      <c r="H186" s="337">
        <f>H187+$F$186</f>
        <v>200880</v>
      </c>
      <c r="I186" s="337">
        <f>I187+$F$186</f>
        <v>200880</v>
      </c>
      <c r="J186" s="337">
        <f>J187+$F$186</f>
        <v>200880</v>
      </c>
      <c r="K186" s="337">
        <f>K187+$F$186</f>
        <v>200880</v>
      </c>
      <c r="O186" s="283"/>
      <c r="P186" s="283"/>
      <c r="Q186" s="283"/>
      <c r="R186" s="283"/>
      <c r="S186" s="283"/>
    </row>
    <row r="187" spans="3:19">
      <c r="C187" s="496" t="s">
        <v>83</v>
      </c>
      <c r="D187" s="145"/>
      <c r="E187" s="145"/>
      <c r="F187" s="499" t="s">
        <v>189</v>
      </c>
      <c r="G187" s="91">
        <v>173700</v>
      </c>
      <c r="H187" s="91">
        <v>190880</v>
      </c>
      <c r="I187" s="91">
        <v>190880</v>
      </c>
      <c r="J187" s="91">
        <v>190880</v>
      </c>
      <c r="K187" s="454">
        <v>190880</v>
      </c>
      <c r="M187" t="s">
        <v>205</v>
      </c>
      <c r="O187" s="283"/>
      <c r="P187" s="283"/>
      <c r="Q187" s="283"/>
      <c r="R187" s="283"/>
      <c r="S187" s="283"/>
    </row>
    <row r="188" spans="3:19">
      <c r="C188" s="496" t="s">
        <v>85</v>
      </c>
      <c r="D188" s="145"/>
      <c r="E188" s="145"/>
      <c r="F188" s="497">
        <v>-10000</v>
      </c>
      <c r="G188" s="337">
        <f>G187+$F$188</f>
        <v>163700</v>
      </c>
      <c r="H188" s="337">
        <f>H187+$F$188</f>
        <v>180880</v>
      </c>
      <c r="I188" s="337">
        <f>I187+$F$188</f>
        <v>180880</v>
      </c>
      <c r="J188" s="337">
        <f>J187+$F$188</f>
        <v>180880</v>
      </c>
      <c r="K188" s="337">
        <f>K187+$F$188</f>
        <v>180880</v>
      </c>
      <c r="O188" s="283"/>
      <c r="P188" s="283"/>
      <c r="Q188" s="283"/>
      <c r="R188" s="283"/>
      <c r="S188" s="283"/>
    </row>
    <row r="189" spans="3:19">
      <c r="C189" s="232" t="s">
        <v>231</v>
      </c>
      <c r="F189" s="326"/>
      <c r="G189" s="283"/>
      <c r="H189" s="283"/>
      <c r="I189" s="283"/>
      <c r="J189" s="283"/>
      <c r="K189" s="283"/>
      <c r="O189" s="283"/>
      <c r="P189" s="283"/>
      <c r="Q189" s="283"/>
      <c r="R189" s="283"/>
      <c r="S189" s="283"/>
    </row>
    <row r="190" spans="3:19">
      <c r="C190" s="307" t="s">
        <v>84</v>
      </c>
      <c r="F190" s="180">
        <v>0.01</v>
      </c>
      <c r="G190" s="67">
        <f>G191+$F$190</f>
        <v>0.38800000000000001</v>
      </c>
      <c r="H190" s="67">
        <f>H191+$F$190</f>
        <v>0.39100000000000001</v>
      </c>
      <c r="I190" s="67">
        <f>I191+$F$190</f>
        <v>0.39200000000000002</v>
      </c>
      <c r="J190" s="67">
        <f>J191+$F$190</f>
        <v>0.39200000000000002</v>
      </c>
      <c r="K190" s="67">
        <f>K191+$F$190</f>
        <v>0.39200000000000002</v>
      </c>
    </row>
    <row r="191" spans="3:19">
      <c r="C191" s="307" t="s">
        <v>83</v>
      </c>
      <c r="F191" s="326" t="s">
        <v>189</v>
      </c>
      <c r="G191" s="283">
        <v>0.378</v>
      </c>
      <c r="H191" s="66">
        <v>0.38100000000000001</v>
      </c>
      <c r="I191" s="283">
        <v>0.38200000000000001</v>
      </c>
      <c r="J191" s="67">
        <f>I191</f>
        <v>0.38200000000000001</v>
      </c>
      <c r="K191" s="67">
        <f>J191</f>
        <v>0.38200000000000001</v>
      </c>
      <c r="M191" t="s">
        <v>152</v>
      </c>
    </row>
    <row r="192" spans="3:19">
      <c r="C192" s="307" t="s">
        <v>85</v>
      </c>
      <c r="F192" s="180">
        <v>-0.01</v>
      </c>
      <c r="G192" s="67">
        <f>G191+$F$192</f>
        <v>0.36799999999999999</v>
      </c>
      <c r="H192" s="67">
        <f>H191+$F$192</f>
        <v>0.371</v>
      </c>
      <c r="I192" s="67">
        <f>I191+$F$192</f>
        <v>0.372</v>
      </c>
      <c r="J192" s="67">
        <f>J191+$F$192</f>
        <v>0.372</v>
      </c>
      <c r="K192" s="67">
        <f>K191+$F$192</f>
        <v>0.372</v>
      </c>
    </row>
    <row r="193" spans="3:13">
      <c r="C193" s="232" t="s">
        <v>232</v>
      </c>
      <c r="F193" s="326"/>
      <c r="G193" s="327"/>
      <c r="H193" s="327"/>
      <c r="I193" s="327"/>
      <c r="J193" s="327"/>
      <c r="K193" s="327"/>
    </row>
    <row r="194" spans="3:13">
      <c r="C194" s="307" t="s">
        <v>84</v>
      </c>
      <c r="F194" s="180">
        <v>-0.01</v>
      </c>
      <c r="G194" s="67">
        <f>G195+$F$194</f>
        <v>5.1999999999999998E-2</v>
      </c>
      <c r="H194" s="67">
        <f>H195+$F$194</f>
        <v>5.2999999999999999E-2</v>
      </c>
      <c r="I194" s="67">
        <f>I195+$F$194</f>
        <v>5.2999999999999999E-2</v>
      </c>
      <c r="J194" s="67">
        <f>J195+$F$194</f>
        <v>5.2999999999999999E-2</v>
      </c>
      <c r="K194" s="67">
        <f>K195+$F$194</f>
        <v>5.2999999999999999E-2</v>
      </c>
    </row>
    <row r="195" spans="3:13">
      <c r="C195" s="307" t="s">
        <v>83</v>
      </c>
      <c r="F195" s="326" t="s">
        <v>189</v>
      </c>
      <c r="G195" s="283">
        <v>6.2E-2</v>
      </c>
      <c r="H195" s="283">
        <v>6.3E-2</v>
      </c>
      <c r="I195" s="283">
        <v>6.3E-2</v>
      </c>
      <c r="J195" s="67">
        <f>I195</f>
        <v>6.3E-2</v>
      </c>
      <c r="K195" s="67">
        <f>J195</f>
        <v>6.3E-2</v>
      </c>
      <c r="M195" t="s">
        <v>153</v>
      </c>
    </row>
    <row r="196" spans="3:13">
      <c r="C196" s="307" t="s">
        <v>85</v>
      </c>
      <c r="F196" s="180">
        <v>0.01</v>
      </c>
      <c r="G196" s="67">
        <f>G195+$F$196</f>
        <v>7.1999999999999995E-2</v>
      </c>
      <c r="H196" s="67">
        <f>H195+$F$196</f>
        <v>7.2999999999999995E-2</v>
      </c>
      <c r="I196" s="67">
        <f>I195+$F$196</f>
        <v>7.2999999999999995E-2</v>
      </c>
      <c r="J196" s="67">
        <f>J195+$F$196</f>
        <v>7.2999999999999995E-2</v>
      </c>
      <c r="K196" s="67">
        <f>K195+$F$196</f>
        <v>7.2999999999999995E-2</v>
      </c>
    </row>
    <row r="197" spans="3:13">
      <c r="C197" s="232" t="s">
        <v>234</v>
      </c>
      <c r="F197" s="326"/>
      <c r="G197" s="327"/>
      <c r="H197" s="327"/>
      <c r="I197" s="327"/>
      <c r="J197" s="327"/>
      <c r="K197" s="327"/>
    </row>
    <row r="198" spans="3:13">
      <c r="C198" s="307" t="s">
        <v>84</v>
      </c>
      <c r="F198" s="180">
        <v>-0.01</v>
      </c>
      <c r="G198" s="67">
        <f>G199+$F$198</f>
        <v>6.4000000000000001E-2</v>
      </c>
      <c r="H198" s="67">
        <f>H199+$F$198</f>
        <v>5.9000000000000004E-2</v>
      </c>
      <c r="I198" s="67">
        <f>I199+$F$198</f>
        <v>5.9000000000000004E-2</v>
      </c>
      <c r="J198" s="67">
        <f>J199+$F$198</f>
        <v>5.9000000000000004E-2</v>
      </c>
      <c r="K198" s="67">
        <f>K199+$F$198</f>
        <v>5.9000000000000004E-2</v>
      </c>
    </row>
    <row r="199" spans="3:13">
      <c r="C199" s="307" t="s">
        <v>83</v>
      </c>
      <c r="F199" s="326" t="s">
        <v>189</v>
      </c>
      <c r="G199" s="283">
        <v>7.3999999999999996E-2</v>
      </c>
      <c r="H199" s="283">
        <v>6.9000000000000006E-2</v>
      </c>
      <c r="I199" s="283">
        <v>6.9000000000000006E-2</v>
      </c>
      <c r="J199" s="67">
        <f>I199</f>
        <v>6.9000000000000006E-2</v>
      </c>
      <c r="K199" s="67">
        <f>J199</f>
        <v>6.9000000000000006E-2</v>
      </c>
      <c r="M199" t="s">
        <v>153</v>
      </c>
    </row>
    <row r="200" spans="3:13" ht="15.75" thickBot="1">
      <c r="C200" s="307" t="s">
        <v>85</v>
      </c>
      <c r="F200" s="182">
        <v>0.01</v>
      </c>
      <c r="G200" s="67">
        <f>G199+$F$200</f>
        <v>8.3999999999999991E-2</v>
      </c>
      <c r="H200" s="67">
        <f>H199+$F$200</f>
        <v>7.9000000000000001E-2</v>
      </c>
      <c r="I200" s="67">
        <f>I199+$F$200</f>
        <v>7.9000000000000001E-2</v>
      </c>
      <c r="J200" s="67">
        <f>J199+$F$200</f>
        <v>7.9000000000000001E-2</v>
      </c>
      <c r="K200" s="67">
        <f>K199+$F$200</f>
        <v>7.9000000000000001E-2</v>
      </c>
    </row>
    <row r="202" spans="3:13">
      <c r="C202" s="7" t="s">
        <v>214</v>
      </c>
      <c r="D202" s="7"/>
      <c r="E202" s="7"/>
      <c r="F202" s="7"/>
      <c r="G202" s="7"/>
      <c r="H202" s="7"/>
      <c r="I202" s="7"/>
      <c r="J202" s="7"/>
      <c r="K202" s="7"/>
    </row>
    <row r="203" spans="3:13">
      <c r="C203" s="35" t="str">
        <f t="shared" ref="C203:K204" si="26">C15</f>
        <v xml:space="preserve">Fiscal year  </v>
      </c>
      <c r="D203" s="284">
        <f t="shared" si="26"/>
        <v>2016</v>
      </c>
      <c r="E203" s="284">
        <f t="shared" si="26"/>
        <v>2017</v>
      </c>
      <c r="F203" s="284">
        <f t="shared" si="26"/>
        <v>2018</v>
      </c>
      <c r="G203" s="285">
        <f t="shared" si="26"/>
        <v>2019</v>
      </c>
      <c r="H203" s="285">
        <f t="shared" si="26"/>
        <v>2020</v>
      </c>
      <c r="I203" s="285">
        <f t="shared" si="26"/>
        <v>2021</v>
      </c>
      <c r="J203" s="285">
        <f t="shared" si="26"/>
        <v>2022</v>
      </c>
      <c r="K203" s="285">
        <f t="shared" si="26"/>
        <v>2023</v>
      </c>
    </row>
    <row r="204" spans="3:13">
      <c r="C204" s="269" t="str">
        <f t="shared" si="26"/>
        <v>Fiscal year end date</v>
      </c>
      <c r="D204" s="32">
        <f t="shared" si="26"/>
        <v>42643</v>
      </c>
      <c r="E204" s="32">
        <f t="shared" si="26"/>
        <v>43008</v>
      </c>
      <c r="F204" s="32">
        <f t="shared" si="26"/>
        <v>43372</v>
      </c>
      <c r="G204" s="32">
        <f t="shared" si="26"/>
        <v>43738</v>
      </c>
      <c r="H204" s="32">
        <f t="shared" si="26"/>
        <v>44104</v>
      </c>
      <c r="I204" s="32">
        <f t="shared" si="26"/>
        <v>44469</v>
      </c>
      <c r="J204" s="32">
        <f t="shared" si="26"/>
        <v>44834</v>
      </c>
      <c r="K204" s="32">
        <f t="shared" si="26"/>
        <v>45199</v>
      </c>
    </row>
    <row r="205" spans="3:13">
      <c r="G205" s="283"/>
      <c r="H205" s="283"/>
      <c r="I205" s="283"/>
      <c r="J205" s="67"/>
      <c r="K205" s="67"/>
    </row>
    <row r="206" spans="3:13">
      <c r="C206" t="s">
        <v>2</v>
      </c>
      <c r="D206" s="151">
        <f>D29</f>
        <v>45687</v>
      </c>
      <c r="E206" s="151">
        <f t="shared" ref="E206:K206" si="27">E29</f>
        <v>48351</v>
      </c>
      <c r="F206" s="151">
        <f t="shared" si="27"/>
        <v>59531</v>
      </c>
      <c r="G206" s="151">
        <f t="shared" ca="1" si="27"/>
        <v>52213.524654506109</v>
      </c>
      <c r="H206" s="151">
        <f t="shared" ca="1" si="27"/>
        <v>55418.999722469554</v>
      </c>
      <c r="I206" s="151">
        <f t="shared" ca="1" si="27"/>
        <v>57925.467169952928</v>
      </c>
      <c r="J206" s="151">
        <f t="shared" ca="1" si="27"/>
        <v>60650.294496590352</v>
      </c>
      <c r="K206" s="151">
        <f t="shared" ca="1" si="27"/>
        <v>63962.234746176655</v>
      </c>
      <c r="M206" t="s">
        <v>223</v>
      </c>
    </row>
    <row r="207" spans="3:13">
      <c r="C207" t="s">
        <v>215</v>
      </c>
      <c r="D207" s="91">
        <v>5470.82</v>
      </c>
      <c r="E207" s="91">
        <v>5217.2420000000002</v>
      </c>
      <c r="F207" s="91">
        <v>4955.3770000000004</v>
      </c>
      <c r="G207" s="151">
        <f ca="1">F207-(G213+G214)/G215</f>
        <v>4577.7690892979917</v>
      </c>
      <c r="H207" s="151">
        <f ca="1">G207-(H213+H214)/H215</f>
        <v>4250.617459330495</v>
      </c>
      <c r="I207" s="151">
        <f ca="1">H207-(I213+I214)/I215</f>
        <v>3967.2383826369164</v>
      </c>
      <c r="J207" s="151">
        <f ca="1">I207-(J213+J214)/J215</f>
        <v>3721.9367154432744</v>
      </c>
      <c r="K207" s="151">
        <f ca="1">J207-(K213+K214)/K215</f>
        <v>3509.7605693271717</v>
      </c>
      <c r="M207" t="s">
        <v>230</v>
      </c>
    </row>
    <row r="208" spans="3:13">
      <c r="C208" s="24" t="s">
        <v>216</v>
      </c>
      <c r="D208" s="245">
        <f>D206/D207</f>
        <v>8.3510333003096431</v>
      </c>
      <c r="E208" s="245">
        <f t="shared" ref="E208:K208" si="28">E206/E207</f>
        <v>9.2675402061088974</v>
      </c>
      <c r="F208" s="245">
        <f t="shared" si="28"/>
        <v>12.0134149228202</v>
      </c>
      <c r="G208" s="245">
        <f t="shared" ca="1" si="28"/>
        <v>11.405888684200351</v>
      </c>
      <c r="H208" s="245">
        <f t="shared" ca="1" si="28"/>
        <v>13.037870439462806</v>
      </c>
      <c r="I208" s="245">
        <f t="shared" ca="1" si="28"/>
        <v>14.600954513716776</v>
      </c>
      <c r="J208" s="245">
        <f t="shared" ca="1" si="28"/>
        <v>16.295358877257815</v>
      </c>
      <c r="K208" s="245">
        <f t="shared" ca="1" si="28"/>
        <v>18.224102038515507</v>
      </c>
      <c r="M208" t="s">
        <v>226</v>
      </c>
    </row>
    <row r="209" spans="3:13">
      <c r="D209" s="3"/>
      <c r="E209" s="3"/>
      <c r="F209" s="3"/>
      <c r="G209" s="153"/>
    </row>
    <row r="210" spans="3:13">
      <c r="C210" t="s">
        <v>217</v>
      </c>
      <c r="D210" s="91">
        <v>5500.2809999999999</v>
      </c>
      <c r="E210" s="91">
        <v>5251.692</v>
      </c>
      <c r="F210" s="91">
        <v>5000.1090000000004</v>
      </c>
      <c r="G210" s="151">
        <f ca="1">(F210-F207)+G207</f>
        <v>4622.5010892979917</v>
      </c>
      <c r="H210" s="151">
        <f ca="1">(G210-G207)+H207</f>
        <v>4295.3494593304949</v>
      </c>
      <c r="I210" s="151">
        <f ca="1">(H210-H207)+I207</f>
        <v>4011.9703826369164</v>
      </c>
      <c r="J210" s="151">
        <f ca="1">(I210-I207)+J207</f>
        <v>3766.6687154432743</v>
      </c>
      <c r="K210" s="151">
        <f ca="1">(J210-J207)+K207</f>
        <v>3554.4925693271716</v>
      </c>
      <c r="M210" t="s">
        <v>227</v>
      </c>
    </row>
    <row r="211" spans="3:13">
      <c r="C211" s="24" t="s">
        <v>218</v>
      </c>
      <c r="D211" s="245">
        <f t="shared" ref="D211:K211" si="29">D206/D210</f>
        <v>8.3063028961611227</v>
      </c>
      <c r="E211" s="245">
        <f t="shared" si="29"/>
        <v>9.2067470826545037</v>
      </c>
      <c r="F211" s="245">
        <f t="shared" si="29"/>
        <v>11.905940450498179</v>
      </c>
      <c r="G211" s="245">
        <f t="shared" ca="1" si="29"/>
        <v>11.295513758858984</v>
      </c>
      <c r="H211" s="245">
        <f t="shared" ca="1" si="29"/>
        <v>12.902093356359314</v>
      </c>
      <c r="I211" s="245">
        <f t="shared" ca="1" si="29"/>
        <v>14.438159219879562</v>
      </c>
      <c r="J211" s="245">
        <f t="shared" ca="1" si="29"/>
        <v>16.101839338279269</v>
      </c>
      <c r="K211" s="245">
        <f t="shared" ca="1" si="29"/>
        <v>17.99475832306608</v>
      </c>
      <c r="M211" t="s">
        <v>228</v>
      </c>
    </row>
    <row r="212" spans="3:13">
      <c r="G212" s="328"/>
    </row>
    <row r="213" spans="3:13">
      <c r="C213" t="s">
        <v>224</v>
      </c>
      <c r="G213" s="151">
        <f>-(G119)</f>
        <v>73056</v>
      </c>
      <c r="H213" s="151">
        <f>-(H119)</f>
        <v>73056</v>
      </c>
      <c r="I213" s="151">
        <f>-(I119)</f>
        <v>73056</v>
      </c>
      <c r="J213" s="151">
        <f>-(J119)</f>
        <v>73056</v>
      </c>
      <c r="K213" s="151">
        <f>-(K119)</f>
        <v>73056</v>
      </c>
      <c r="M213" t="s">
        <v>221</v>
      </c>
    </row>
    <row r="214" spans="3:13">
      <c r="C214" t="s">
        <v>225</v>
      </c>
      <c r="G214" s="151">
        <f ca="1">-(G33)</f>
        <v>-5086.5760736384345</v>
      </c>
      <c r="H214" s="151">
        <f ca="1">-(H33)</f>
        <v>-5335.6125967281014</v>
      </c>
      <c r="I214" s="151">
        <f ca="1">-(I33)</f>
        <v>-5597.6107930936605</v>
      </c>
      <c r="J214" s="151">
        <f ca="1">-(J33)</f>
        <v>-5902.8288432365589</v>
      </c>
      <c r="K214" s="151">
        <f ca="1">-(K33)</f>
        <v>-6258.4669815641573</v>
      </c>
      <c r="M214" t="s">
        <v>222</v>
      </c>
    </row>
    <row r="215" spans="3:13">
      <c r="C215" t="s">
        <v>220</v>
      </c>
      <c r="G215" s="246">
        <v>180</v>
      </c>
      <c r="H215" s="329">
        <f>G215*(1+H216)</f>
        <v>206.99999999999997</v>
      </c>
      <c r="I215" s="329">
        <f>H215*(1+I216)</f>
        <v>238.04999999999995</v>
      </c>
      <c r="J215" s="329">
        <f>I215*(1+J216)</f>
        <v>273.75749999999994</v>
      </c>
      <c r="K215" s="329">
        <f>J215*(1+K216)</f>
        <v>314.82112499999988</v>
      </c>
      <c r="M215" t="s">
        <v>229</v>
      </c>
    </row>
    <row r="216" spans="3:13">
      <c r="C216" t="s">
        <v>219</v>
      </c>
      <c r="H216" s="244">
        <v>0.15</v>
      </c>
      <c r="I216" s="244">
        <v>0.15</v>
      </c>
      <c r="J216" s="244">
        <v>0.15</v>
      </c>
      <c r="K216" s="244">
        <v>0.15</v>
      </c>
      <c r="M216" t="s">
        <v>126</v>
      </c>
    </row>
  </sheetData>
  <conditionalFormatting sqref="C40">
    <cfRule type="expression" dxfId="12" priority="3">
      <formula>#REF!=$C40</formula>
    </cfRule>
  </conditionalFormatting>
  <conditionalFormatting sqref="C197">
    <cfRule type="expression" dxfId="11" priority="2">
      <formula>#REF!=$C197</formula>
    </cfRule>
  </conditionalFormatting>
  <conditionalFormatting sqref="C179">
    <cfRule type="expression" dxfId="10" priority="1">
      <formula>#REF!=$C179</formula>
    </cfRule>
  </conditionalFormatting>
  <dataValidations disablePrompts="1" count="3">
    <dataValidation type="list" allowBlank="1" showInputMessage="1" showErrorMessage="1" sqref="D7" xr:uid="{40F7402D-5CBF-49B0-BD86-984396A318AE}">
      <formula1>"0,1"</formula1>
    </dataValidation>
    <dataValidation type="list" allowBlank="1" showInputMessage="1" showErrorMessage="1" sqref="D12" xr:uid="{F9EF381B-7AC6-42F0-A534-C66E3BD711BA}">
      <formula1>$C$182:$C$184</formula1>
    </dataValidation>
    <dataValidation type="list" allowBlank="1" showInputMessage="1" showErrorMessage="1" sqref="C3" xr:uid="{C409DE49-7ACB-40AA-A238-B828B07C021A}">
      <formula1>"$ bns except per share, $ mm except per share,$ in thousands except per share"</formula1>
    </dataValidation>
  </dataValidations>
  <pageMargins left="0.7" right="0.7" top="0.75" bottom="0.75" header="0.3" footer="0.3"/>
  <pageSetup scale="21"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6242C-E0CA-499E-97A3-0A52FA1606CA}">
  <sheetPr>
    <pageSetUpPr fitToPage="1"/>
  </sheetPr>
  <dimension ref="B1:AI282"/>
  <sheetViews>
    <sheetView topLeftCell="A148" zoomScaleNormal="100" workbookViewId="0">
      <selection activeCell="J193" sqref="J193"/>
    </sheetView>
  </sheetViews>
  <sheetFormatPr defaultColWidth="8.85546875" defaultRowHeight="15"/>
  <cols>
    <col min="1" max="2" width="1.7109375" customWidth="1"/>
    <col min="3" max="3" width="58.28515625" customWidth="1"/>
    <col min="4" max="4" width="13.28515625" bestFit="1" customWidth="1"/>
    <col min="5" max="11" width="11.42578125" customWidth="1"/>
    <col min="12" max="12" width="2.28515625" customWidth="1"/>
    <col min="13" max="13" width="11.42578125" style="382" customWidth="1"/>
    <col min="14" max="14" width="2.28515625" customWidth="1"/>
    <col min="15" max="15" width="11.42578125" customWidth="1"/>
    <col min="16" max="16" width="11.85546875" customWidth="1"/>
    <col min="17" max="19" width="10.28515625" bestFit="1" customWidth="1"/>
    <col min="20" max="21" width="9.42578125" bestFit="1" customWidth="1"/>
  </cols>
  <sheetData>
    <row r="1" spans="3:35" ht="15.75" thickBot="1">
      <c r="M1"/>
    </row>
    <row r="2" spans="3:35" ht="15.75" thickBot="1">
      <c r="C2" s="96" t="str">
        <f>"Financial Statement Model for "&amp;D5</f>
        <v>Financial Statement Model for Apple</v>
      </c>
      <c r="D2" s="263"/>
      <c r="E2" s="263"/>
      <c r="F2" s="263"/>
      <c r="G2" s="263"/>
      <c r="H2" s="263"/>
      <c r="I2" s="263"/>
      <c r="J2" s="263"/>
      <c r="K2" s="263"/>
      <c r="M2" s="217"/>
    </row>
    <row r="3" spans="3:35">
      <c r="C3" s="264" t="s">
        <v>46</v>
      </c>
      <c r="D3" s="265"/>
      <c r="E3" s="265"/>
      <c r="F3" s="265"/>
      <c r="G3" s="265"/>
      <c r="H3" s="265"/>
      <c r="M3"/>
    </row>
    <row r="4" spans="3:35">
      <c r="M4"/>
    </row>
    <row r="5" spans="3:35">
      <c r="C5" s="266" t="s">
        <v>5</v>
      </c>
      <c r="D5" s="267" t="s">
        <v>50</v>
      </c>
      <c r="M5"/>
    </row>
    <row r="6" spans="3:35">
      <c r="C6" s="266" t="s">
        <v>6</v>
      </c>
      <c r="D6" s="267" t="s">
        <v>51</v>
      </c>
      <c r="M6"/>
    </row>
    <row r="7" spans="3:35">
      <c r="C7" t="s">
        <v>109</v>
      </c>
      <c r="D7" s="113">
        <v>1</v>
      </c>
      <c r="M7"/>
    </row>
    <row r="8" spans="3:35">
      <c r="C8" t="s">
        <v>73</v>
      </c>
      <c r="D8" s="114">
        <v>171.25</v>
      </c>
      <c r="M8"/>
    </row>
    <row r="9" spans="3:35">
      <c r="C9" t="s">
        <v>9</v>
      </c>
      <c r="D9" s="115">
        <v>43500</v>
      </c>
      <c r="M9"/>
    </row>
    <row r="10" spans="3:35">
      <c r="C10" s="266" t="s">
        <v>8</v>
      </c>
      <c r="D10" s="116">
        <v>43372</v>
      </c>
      <c r="M10"/>
    </row>
    <row r="11" spans="3:35" ht="15" customHeight="1">
      <c r="C11" t="s">
        <v>292</v>
      </c>
      <c r="D11" s="268">
        <v>4745.3980000000001</v>
      </c>
      <c r="M11"/>
    </row>
    <row r="12" spans="3:35">
      <c r="C12" t="s">
        <v>82</v>
      </c>
      <c r="D12" s="113" t="s">
        <v>83</v>
      </c>
      <c r="M12"/>
    </row>
    <row r="13" spans="3:35">
      <c r="C13" s="24"/>
      <c r="D13" s="24"/>
      <c r="M13"/>
      <c r="AI13" s="508" t="e">
        <f>(AG13/AB13)^(1/5)-1</f>
        <v>#DIV/0!</v>
      </c>
    </row>
    <row r="14" spans="3:35">
      <c r="C14" s="7" t="s">
        <v>19</v>
      </c>
      <c r="D14" s="269"/>
      <c r="E14" s="269"/>
      <c r="F14" s="269"/>
      <c r="G14" s="269"/>
      <c r="H14" s="269"/>
      <c r="I14" s="269"/>
      <c r="J14" s="269"/>
      <c r="K14" s="269"/>
      <c r="M14" s="269"/>
    </row>
    <row r="15" spans="3:35">
      <c r="C15" t="s">
        <v>10</v>
      </c>
      <c r="D15" s="270">
        <f>E15-1</f>
        <v>2016</v>
      </c>
      <c r="E15" s="270">
        <f>F15-1</f>
        <v>2017</v>
      </c>
      <c r="F15" s="270">
        <f>YEAR(D10)</f>
        <v>2018</v>
      </c>
      <c r="G15" s="271">
        <f>F15+1</f>
        <v>2019</v>
      </c>
      <c r="H15" s="271">
        <f>G15+1</f>
        <v>2020</v>
      </c>
      <c r="I15" s="271">
        <f>H15+1</f>
        <v>2021</v>
      </c>
      <c r="J15" s="271">
        <f>I15+1</f>
        <v>2022</v>
      </c>
      <c r="K15" s="271">
        <f>J15+1</f>
        <v>2023</v>
      </c>
      <c r="M15" s="374" t="s">
        <v>272</v>
      </c>
    </row>
    <row r="16" spans="3:35">
      <c r="C16" s="12" t="s">
        <v>7</v>
      </c>
      <c r="D16" s="89">
        <f>EOMONTH(E16,-12)</f>
        <v>42643</v>
      </c>
      <c r="E16" s="89">
        <f>EOMONTH(F16,-12)</f>
        <v>43008</v>
      </c>
      <c r="F16" s="89">
        <f>D10</f>
        <v>43372</v>
      </c>
      <c r="G16" s="89">
        <f>EOMONTH(F16,12)</f>
        <v>43738</v>
      </c>
      <c r="H16" s="89">
        <f>EOMONTH(G16,12)</f>
        <v>44104</v>
      </c>
      <c r="I16" s="89">
        <f>EOMONTH(H16,12)</f>
        <v>44469</v>
      </c>
      <c r="J16" s="89">
        <f>EOMONTH(I16,12)</f>
        <v>44834</v>
      </c>
      <c r="K16" s="89">
        <f>EOMONTH(J16,12)</f>
        <v>45199</v>
      </c>
      <c r="M16" s="375" t="s">
        <v>273</v>
      </c>
      <c r="O16" s="84" t="s">
        <v>86</v>
      </c>
      <c r="P16" s="272"/>
      <c r="Q16" s="272"/>
      <c r="R16" s="272"/>
      <c r="S16" s="272"/>
      <c r="T16" s="272"/>
      <c r="U16" s="272"/>
    </row>
    <row r="17" spans="3:16">
      <c r="C17" s="273"/>
      <c r="D17" s="274"/>
      <c r="E17" s="275"/>
      <c r="F17" s="275"/>
      <c r="G17" s="276"/>
      <c r="H17" s="277"/>
      <c r="I17" s="277"/>
      <c r="J17" s="275"/>
      <c r="K17" s="275"/>
      <c r="M17" s="370"/>
    </row>
    <row r="18" spans="3:16" ht="15" customHeight="1">
      <c r="C18" t="s">
        <v>11</v>
      </c>
      <c r="D18" s="3">
        <v>215639</v>
      </c>
      <c r="E18" s="3">
        <v>229234</v>
      </c>
      <c r="F18" s="3">
        <v>265595</v>
      </c>
      <c r="G18" s="33">
        <f ca="1">F18*(1+G37)</f>
        <v>252990.4817</v>
      </c>
      <c r="H18" s="33">
        <f ca="1">G18*(1+H37)</f>
        <v>265376.78419999999</v>
      </c>
      <c r="I18" s="33">
        <f ca="1">H18*(1+I37)</f>
        <v>278407.76003590086</v>
      </c>
      <c r="J18" s="33">
        <f ca="1">I18*(1+J37)</f>
        <v>293588.357044834</v>
      </c>
      <c r="K18" s="33">
        <f ca="1">J18*(1+K37)</f>
        <v>311276.6925034704</v>
      </c>
      <c r="M18" s="376"/>
      <c r="O18" t="s">
        <v>87</v>
      </c>
    </row>
    <row r="19" spans="3:16">
      <c r="C19" t="s">
        <v>14</v>
      </c>
      <c r="D19" s="3">
        <v>-131376</v>
      </c>
      <c r="E19" s="3">
        <v>-141048</v>
      </c>
      <c r="F19" s="3">
        <v>-163756</v>
      </c>
      <c r="G19" s="33">
        <f ca="1">G20-G18</f>
        <v>-157360.07961740001</v>
      </c>
      <c r="H19" s="33">
        <f ca="1">H20-H18</f>
        <v>-164268.22941979999</v>
      </c>
      <c r="I19" s="33">
        <f ca="1">I20-I18</f>
        <v>-172055.99570218672</v>
      </c>
      <c r="J19" s="33">
        <f ca="1">J20-J18</f>
        <v>-181437.60465370741</v>
      </c>
      <c r="K19" s="33">
        <f ca="1">K20-K18</f>
        <v>-192368.99596714473</v>
      </c>
      <c r="M19" s="371"/>
      <c r="O19" t="s">
        <v>88</v>
      </c>
    </row>
    <row r="20" spans="3:16">
      <c r="C20" s="24" t="s">
        <v>13</v>
      </c>
      <c r="D20" s="69">
        <f>SUM(D18:D19)</f>
        <v>84263</v>
      </c>
      <c r="E20" s="69">
        <f>SUM(E18:E19)</f>
        <v>88186</v>
      </c>
      <c r="F20" s="69">
        <f>SUM(F18:F19)</f>
        <v>101839</v>
      </c>
      <c r="G20" s="69">
        <f ca="1">G18*G38</f>
        <v>95630.402082600005</v>
      </c>
      <c r="H20" s="69">
        <f ca="1">H18*H38</f>
        <v>101108.55478019999</v>
      </c>
      <c r="I20" s="69">
        <f ca="1">I18*I38</f>
        <v>106351.76433371413</v>
      </c>
      <c r="J20" s="69">
        <f ca="1">J18*J38</f>
        <v>112150.75239112659</v>
      </c>
      <c r="K20" s="69">
        <f ca="1">K18*K38</f>
        <v>118907.69653632569</v>
      </c>
      <c r="M20" s="372"/>
      <c r="O20" s="140" t="s">
        <v>89</v>
      </c>
    </row>
    <row r="21" spans="3:16">
      <c r="C21" t="s">
        <v>52</v>
      </c>
      <c r="D21" s="3">
        <v>-10045</v>
      </c>
      <c r="E21" s="3">
        <v>-11581</v>
      </c>
      <c r="F21" s="3">
        <v>-14236</v>
      </c>
      <c r="G21" s="33">
        <f ca="1">-G39*G18</f>
        <v>-15685.409865400001</v>
      </c>
      <c r="H21" s="33">
        <f ca="1">-H39*H18</f>
        <v>-16718.7374046</v>
      </c>
      <c r="I21" s="33">
        <f ca="1">-I39*I18</f>
        <v>-17539.688882261755</v>
      </c>
      <c r="J21" s="33">
        <f ca="1">-J39*J18</f>
        <v>-18496.066493824543</v>
      </c>
      <c r="K21" s="33">
        <f ca="1">-K39*K18</f>
        <v>-19610.431627718637</v>
      </c>
      <c r="M21" s="371"/>
      <c r="O21" s="140" t="s">
        <v>233</v>
      </c>
    </row>
    <row r="22" spans="3:16">
      <c r="C22" t="s">
        <v>16</v>
      </c>
      <c r="D22" s="3">
        <v>-14194</v>
      </c>
      <c r="E22" s="3">
        <v>-15261</v>
      </c>
      <c r="F22" s="3">
        <v>-16705</v>
      </c>
      <c r="G22" s="33">
        <f ca="1">-G18*G40</f>
        <v>-18721.295645800001</v>
      </c>
      <c r="H22" s="33">
        <f ca="1">-H18*H40</f>
        <v>-18310.998109800003</v>
      </c>
      <c r="I22" s="33">
        <f ca="1">-I18*I40</f>
        <v>-19210.13544247716</v>
      </c>
      <c r="J22" s="33">
        <f ca="1">-J18*J40</f>
        <v>-20257.596636093549</v>
      </c>
      <c r="K22" s="33">
        <f ca="1">-K18*K40</f>
        <v>-21478.091782739459</v>
      </c>
      <c r="M22" s="371"/>
      <c r="O22" s="140" t="s">
        <v>235</v>
      </c>
    </row>
    <row r="23" spans="3:16">
      <c r="C23" s="24" t="s">
        <v>3</v>
      </c>
      <c r="D23" s="69">
        <f t="shared" ref="D23:K23" si="0">D20+D21+D22</f>
        <v>60024</v>
      </c>
      <c r="E23" s="69">
        <f t="shared" si="0"/>
        <v>61344</v>
      </c>
      <c r="F23" s="69">
        <f t="shared" si="0"/>
        <v>70898</v>
      </c>
      <c r="G23" s="69">
        <f t="shared" ca="1" si="0"/>
        <v>61223.696571400011</v>
      </c>
      <c r="H23" s="69">
        <f t="shared" ca="1" si="0"/>
        <v>66078.81926579999</v>
      </c>
      <c r="I23" s="69">
        <f t="shared" ca="1" si="0"/>
        <v>69601.940008975216</v>
      </c>
      <c r="J23" s="69">
        <f t="shared" ca="1" si="0"/>
        <v>73397.089261208486</v>
      </c>
      <c r="K23" s="69">
        <f t="shared" ca="1" si="0"/>
        <v>77819.173125867601</v>
      </c>
      <c r="M23" s="376"/>
      <c r="O23" s="24" t="s">
        <v>90</v>
      </c>
    </row>
    <row r="24" spans="3:16">
      <c r="C24" t="s">
        <v>4</v>
      </c>
      <c r="D24" s="3">
        <v>3999</v>
      </c>
      <c r="E24" s="3">
        <v>5201</v>
      </c>
      <c r="F24" s="3">
        <v>5686</v>
      </c>
      <c r="G24" s="153">
        <f>G223</f>
        <v>5121.3600000000006</v>
      </c>
      <c r="H24" s="153">
        <f ca="1">H223</f>
        <v>4745.0317027869223</v>
      </c>
      <c r="I24" s="153">
        <f ca="1">I223</f>
        <v>3992.8499956424594</v>
      </c>
      <c r="J24" s="153">
        <f ca="1">J223</f>
        <v>3289.9871284782475</v>
      </c>
      <c r="K24" s="153">
        <f ca="1">K223</f>
        <v>2636.7898903485693</v>
      </c>
      <c r="M24" s="373"/>
      <c r="O24" t="s">
        <v>95</v>
      </c>
    </row>
    <row r="25" spans="3:16">
      <c r="C25" t="s">
        <v>17</v>
      </c>
      <c r="D25" s="3">
        <v>-1456</v>
      </c>
      <c r="E25" s="3">
        <v>-2323</v>
      </c>
      <c r="F25" s="3">
        <v>-3240</v>
      </c>
      <c r="G25" s="153">
        <f>-G209</f>
        <v>-3222.7544651501776</v>
      </c>
      <c r="H25" s="153">
        <f ca="1">-H209</f>
        <v>-3223.5392651501775</v>
      </c>
      <c r="I25" s="153">
        <f ca="1">-I209</f>
        <v>-3223.5392651501775</v>
      </c>
      <c r="J25" s="153">
        <f ca="1">-J209</f>
        <v>-3223.5392651501775</v>
      </c>
      <c r="K25" s="153">
        <f ca="1">-K209</f>
        <v>-3223.5392651501775</v>
      </c>
      <c r="M25" s="373"/>
      <c r="O25" t="s">
        <v>94</v>
      </c>
    </row>
    <row r="26" spans="3:16">
      <c r="C26" t="s">
        <v>53</v>
      </c>
      <c r="D26" s="3">
        <v>-1195</v>
      </c>
      <c r="E26" s="3">
        <v>-133</v>
      </c>
      <c r="F26" s="3">
        <v>-441</v>
      </c>
      <c r="G26" s="153">
        <f>F26</f>
        <v>-441</v>
      </c>
      <c r="H26" s="153">
        <f>G26</f>
        <v>-441</v>
      </c>
      <c r="I26" s="153">
        <f>H26</f>
        <v>-441</v>
      </c>
      <c r="J26" s="153">
        <f>I26</f>
        <v>-441</v>
      </c>
      <c r="K26" s="153">
        <f>J26</f>
        <v>-441</v>
      </c>
      <c r="M26" s="373"/>
      <c r="O26" t="s">
        <v>91</v>
      </c>
    </row>
    <row r="27" spans="3:16">
      <c r="C27" s="24" t="s">
        <v>12</v>
      </c>
      <c r="D27" s="69">
        <f t="shared" ref="D27:K27" si="1">SUM(D23:D26)</f>
        <v>61372</v>
      </c>
      <c r="E27" s="69">
        <f t="shared" si="1"/>
        <v>64089</v>
      </c>
      <c r="F27" s="69">
        <f t="shared" si="1"/>
        <v>72903</v>
      </c>
      <c r="G27" s="69">
        <f ca="1">SUM(G23:G26)</f>
        <v>62681.30210624983</v>
      </c>
      <c r="H27" s="69">
        <f ca="1">SUM(H23:H26)</f>
        <v>67159.311703436731</v>
      </c>
      <c r="I27" s="69">
        <f t="shared" ca="1" si="1"/>
        <v>69930.250739467505</v>
      </c>
      <c r="J27" s="69">
        <f t="shared" ca="1" si="1"/>
        <v>73022.537124536553</v>
      </c>
      <c r="K27" s="69">
        <f t="shared" ca="1" si="1"/>
        <v>76791.423751066002</v>
      </c>
      <c r="M27" s="372"/>
      <c r="O27" s="24" t="s">
        <v>96</v>
      </c>
      <c r="P27" s="24"/>
    </row>
    <row r="28" spans="3:16">
      <c r="C28" t="s">
        <v>15</v>
      </c>
      <c r="D28" s="3">
        <v>-15685</v>
      </c>
      <c r="E28" s="3">
        <v>-15738</v>
      </c>
      <c r="F28" s="3">
        <v>-13372</v>
      </c>
      <c r="G28" s="33">
        <f ca="1">-G41*G27</f>
        <v>-10467.777451743723</v>
      </c>
      <c r="H28" s="33">
        <f ca="1">-H41*H27</f>
        <v>-11417.082989584245</v>
      </c>
      <c r="I28" s="33">
        <f ca="1">-I41*I27</f>
        <v>-11818.212374970009</v>
      </c>
      <c r="J28" s="33">
        <f ca="1">-J41*J27</f>
        <v>-12340.808774046678</v>
      </c>
      <c r="K28" s="33">
        <f ca="1">-K41*K27</f>
        <v>-12977.750613930155</v>
      </c>
      <c r="M28" s="371"/>
      <c r="O28" t="s">
        <v>92</v>
      </c>
    </row>
    <row r="29" spans="3:16">
      <c r="C29" s="24" t="s">
        <v>2</v>
      </c>
      <c r="D29" s="69">
        <f t="shared" ref="D29:K29" si="2">SUM(D27:D28)</f>
        <v>45687</v>
      </c>
      <c r="E29" s="69">
        <f t="shared" si="2"/>
        <v>48351</v>
      </c>
      <c r="F29" s="69">
        <f t="shared" si="2"/>
        <v>59531</v>
      </c>
      <c r="G29" s="69">
        <f ca="1">SUM(G27:G28)</f>
        <v>52213.524654506109</v>
      </c>
      <c r="H29" s="69">
        <f ca="1">SUM(H27:H28)</f>
        <v>55742.228713852484</v>
      </c>
      <c r="I29" s="69">
        <f t="shared" ca="1" si="2"/>
        <v>58112.038364497494</v>
      </c>
      <c r="J29" s="69">
        <f t="shared" ca="1" si="2"/>
        <v>60681.728350489873</v>
      </c>
      <c r="K29" s="69">
        <f t="shared" ca="1" si="2"/>
        <v>63813.673137135847</v>
      </c>
      <c r="M29" s="376"/>
      <c r="O29" s="24" t="s">
        <v>93</v>
      </c>
    </row>
    <row r="30" spans="3:16">
      <c r="C30" s="278"/>
      <c r="D30" s="153"/>
      <c r="E30" s="153"/>
      <c r="F30" s="153"/>
      <c r="G30" s="153"/>
      <c r="H30" s="153"/>
      <c r="I30" s="153"/>
      <c r="J30" s="153"/>
      <c r="K30" s="153"/>
      <c r="M30" s="373"/>
    </row>
    <row r="31" spans="3:16">
      <c r="C31" s="279" t="s">
        <v>49</v>
      </c>
      <c r="D31" s="3">
        <v>10505</v>
      </c>
      <c r="E31" s="3">
        <v>10157</v>
      </c>
      <c r="F31" s="3">
        <v>10903</v>
      </c>
      <c r="G31" s="153">
        <f ca="1">G171</f>
        <v>1526.9253644274177</v>
      </c>
      <c r="H31" s="153">
        <f ca="1">H171</f>
        <v>1601.6829574073306</v>
      </c>
      <c r="I31" s="153">
        <f ca="1">I171</f>
        <v>1680.3314796496511</v>
      </c>
      <c r="J31" s="153">
        <f ca="1">J171</f>
        <v>1771.9540516307495</v>
      </c>
      <c r="K31" s="153">
        <f ca="1">K171</f>
        <v>1878.7120920313373</v>
      </c>
      <c r="M31" s="373"/>
      <c r="O31" t="s">
        <v>159</v>
      </c>
    </row>
    <row r="32" spans="3:16" ht="14.45" customHeight="1">
      <c r="C32" s="280" t="s">
        <v>47</v>
      </c>
      <c r="D32" s="69">
        <f t="shared" ref="D32:K32" si="3">D23+D31</f>
        <v>70529</v>
      </c>
      <c r="E32" s="69">
        <f t="shared" si="3"/>
        <v>71501</v>
      </c>
      <c r="F32" s="69">
        <f t="shared" si="3"/>
        <v>81801</v>
      </c>
      <c r="G32" s="69">
        <f t="shared" ca="1" si="3"/>
        <v>62750.621935827425</v>
      </c>
      <c r="H32" s="69">
        <f t="shared" ca="1" si="3"/>
        <v>67680.502223207324</v>
      </c>
      <c r="I32" s="69">
        <f t="shared" ca="1" si="3"/>
        <v>71282.271488624872</v>
      </c>
      <c r="J32" s="69">
        <f t="shared" ca="1" si="3"/>
        <v>75169.043312839232</v>
      </c>
      <c r="K32" s="69">
        <f t="shared" ca="1" si="3"/>
        <v>79697.885217898933</v>
      </c>
      <c r="M32" s="376"/>
      <c r="O32" s="24" t="s">
        <v>97</v>
      </c>
    </row>
    <row r="33" spans="3:22">
      <c r="C33" s="279" t="s">
        <v>74</v>
      </c>
      <c r="D33" s="3">
        <v>4210</v>
      </c>
      <c r="E33" s="3">
        <v>4840</v>
      </c>
      <c r="F33" s="3">
        <v>5340</v>
      </c>
      <c r="G33" s="153">
        <f ca="1">F33*(1+G37)</f>
        <v>5086.5760736384345</v>
      </c>
      <c r="H33" s="153">
        <f ca="1">G33*(1+H37)</f>
        <v>5335.6125967281014</v>
      </c>
      <c r="I33" s="153">
        <f ca="1">H33*(1+I37)</f>
        <v>5597.6107930936605</v>
      </c>
      <c r="J33" s="153">
        <f ca="1">I33*(1+J37)</f>
        <v>5902.8288432365589</v>
      </c>
      <c r="K33" s="153">
        <f ca="1">J33*(1+K37)</f>
        <v>6258.4669815641573</v>
      </c>
      <c r="M33" s="153"/>
      <c r="O33" t="s">
        <v>99</v>
      </c>
    </row>
    <row r="34" spans="3:22">
      <c r="C34" s="280" t="s">
        <v>72</v>
      </c>
      <c r="D34" s="69">
        <f t="shared" ref="D34:K34" si="4">SUM(D32:D33)</f>
        <v>74739</v>
      </c>
      <c r="E34" s="69">
        <f t="shared" si="4"/>
        <v>76341</v>
      </c>
      <c r="F34" s="69">
        <f>SUM(F32:F33)</f>
        <v>87141</v>
      </c>
      <c r="G34" s="69">
        <f t="shared" ca="1" si="4"/>
        <v>67837.198009465865</v>
      </c>
      <c r="H34" s="69">
        <f t="shared" ca="1" si="4"/>
        <v>73016.114819935421</v>
      </c>
      <c r="I34" s="69">
        <f t="shared" ca="1" si="4"/>
        <v>76879.882281718528</v>
      </c>
      <c r="J34" s="69">
        <f t="shared" ca="1" si="4"/>
        <v>81071.872156075784</v>
      </c>
      <c r="K34" s="69">
        <f t="shared" ca="1" si="4"/>
        <v>85956.352199463086</v>
      </c>
      <c r="M34" s="69"/>
      <c r="O34" s="24" t="s">
        <v>98</v>
      </c>
    </row>
    <row r="35" spans="3:22">
      <c r="C35" s="278"/>
      <c r="G35" s="281"/>
      <c r="M35"/>
    </row>
    <row r="36" spans="3:22">
      <c r="C36" s="25" t="s">
        <v>18</v>
      </c>
      <c r="M36"/>
    </row>
    <row r="37" spans="3:22">
      <c r="C37" s="278" t="s">
        <v>1</v>
      </c>
      <c r="D37" s="67"/>
      <c r="E37" s="67">
        <f>E18/D18-1</f>
        <v>6.304518199398057E-2</v>
      </c>
      <c r="F37" s="67">
        <f>F18/E18-1</f>
        <v>0.15861957650261305</v>
      </c>
      <c r="G37" s="282">
        <f ca="1">'Rev Build'!G14</f>
        <v>-4.7457664112652731E-2</v>
      </c>
      <c r="H37" s="282">
        <f ca="1">'Rev Build'!H14</f>
        <v>4.8959559335073566E-2</v>
      </c>
      <c r="I37" s="282">
        <f ca="1">'Rev Build'!I14</f>
        <v>4.9103676778599281E-2</v>
      </c>
      <c r="J37" s="282">
        <f ca="1">'Rev Build'!J14</f>
        <v>5.452648664310078E-2</v>
      </c>
      <c r="K37" s="282">
        <f ca="1">'Rev Build'!K14</f>
        <v>6.0248763393349503E-2</v>
      </c>
      <c r="M37" s="282"/>
      <c r="O37" t="s">
        <v>315</v>
      </c>
      <c r="Q37" s="283"/>
      <c r="R37" s="283"/>
      <c r="S37" s="283"/>
      <c r="T37" s="283"/>
      <c r="U37" s="283"/>
      <c r="V37" s="283"/>
    </row>
    <row r="38" spans="3:22">
      <c r="C38" s="278" t="s">
        <v>231</v>
      </c>
      <c r="D38" s="67">
        <f>D20/D18</f>
        <v>0.39075955648097049</v>
      </c>
      <c r="E38" s="67">
        <f>E20/E18</f>
        <v>0.38469860491899105</v>
      </c>
      <c r="F38" s="67">
        <f>F20/F18</f>
        <v>0.38343718820007905</v>
      </c>
      <c r="G38" s="67">
        <f t="shared" ref="G38:K40" ca="1" si="5">G243</f>
        <v>0.378</v>
      </c>
      <c r="H38" s="67">
        <f t="shared" ca="1" si="5"/>
        <v>0.38100000000000001</v>
      </c>
      <c r="I38" s="67">
        <f t="shared" ca="1" si="5"/>
        <v>0.38200000000000001</v>
      </c>
      <c r="J38" s="67">
        <f t="shared" ca="1" si="5"/>
        <v>0.38200000000000001</v>
      </c>
      <c r="K38" s="67">
        <f t="shared" ca="1" si="5"/>
        <v>0.38200000000000001</v>
      </c>
      <c r="M38" s="67"/>
      <c r="O38" t="s">
        <v>192</v>
      </c>
      <c r="Q38" s="283"/>
      <c r="R38" s="283"/>
      <c r="S38" s="283"/>
      <c r="T38" s="283"/>
      <c r="U38" s="283"/>
      <c r="V38" s="283"/>
    </row>
    <row r="39" spans="3:22">
      <c r="C39" s="278" t="s">
        <v>232</v>
      </c>
      <c r="D39" s="67">
        <f>-D21/D18</f>
        <v>4.6582482760539605E-2</v>
      </c>
      <c r="E39" s="67">
        <f>-E21/E18</f>
        <v>5.0520428906706681E-2</v>
      </c>
      <c r="F39" s="67">
        <f>-F21/F18</f>
        <v>5.3600406634161032E-2</v>
      </c>
      <c r="G39" s="67">
        <f t="shared" ca="1" si="5"/>
        <v>6.2E-2</v>
      </c>
      <c r="H39" s="67">
        <f t="shared" ca="1" si="5"/>
        <v>6.3E-2</v>
      </c>
      <c r="I39" s="67">
        <f t="shared" ca="1" si="5"/>
        <v>6.3E-2</v>
      </c>
      <c r="J39" s="67">
        <f t="shared" ca="1" si="5"/>
        <v>6.3E-2</v>
      </c>
      <c r="K39" s="67">
        <f t="shared" ca="1" si="5"/>
        <v>6.3E-2</v>
      </c>
      <c r="M39" s="67"/>
      <c r="O39" t="s">
        <v>192</v>
      </c>
      <c r="Q39" s="283"/>
      <c r="R39" s="283"/>
      <c r="S39" s="283"/>
      <c r="T39" s="283"/>
      <c r="U39" s="283"/>
      <c r="V39" s="283"/>
    </row>
    <row r="40" spans="3:22">
      <c r="C40" s="278" t="s">
        <v>234</v>
      </c>
      <c r="D40" s="67">
        <f>-D22/D18</f>
        <v>6.5822972653369755E-2</v>
      </c>
      <c r="E40" s="67">
        <f>-E22/E18</f>
        <v>6.6573893924984945E-2</v>
      </c>
      <c r="F40" s="67">
        <f>-F22/F18</f>
        <v>6.2896515371147807E-2</v>
      </c>
      <c r="G40" s="67">
        <f t="shared" ca="1" si="5"/>
        <v>7.3999999999999996E-2</v>
      </c>
      <c r="H40" s="67">
        <f t="shared" ca="1" si="5"/>
        <v>6.9000000000000006E-2</v>
      </c>
      <c r="I40" s="67">
        <f t="shared" ca="1" si="5"/>
        <v>6.9000000000000006E-2</v>
      </c>
      <c r="J40" s="67">
        <f t="shared" ca="1" si="5"/>
        <v>6.9000000000000006E-2</v>
      </c>
      <c r="K40" s="67">
        <f t="shared" ca="1" si="5"/>
        <v>6.9000000000000006E-2</v>
      </c>
      <c r="M40" s="67"/>
      <c r="O40" t="s">
        <v>192</v>
      </c>
      <c r="Q40" s="283"/>
      <c r="R40" s="283"/>
      <c r="S40" s="283"/>
      <c r="T40" s="283"/>
      <c r="U40" s="283"/>
      <c r="V40" s="283"/>
    </row>
    <row r="41" spans="3:22">
      <c r="C41" s="278" t="s">
        <v>0</v>
      </c>
      <c r="D41" s="67">
        <f>-(D28/D27)</f>
        <v>0.25557257381216192</v>
      </c>
      <c r="E41" s="67">
        <f>-(E28/E27)</f>
        <v>0.24556476150353415</v>
      </c>
      <c r="F41" s="67">
        <f>-(F28/F27)</f>
        <v>0.18342180705869443</v>
      </c>
      <c r="G41" s="283">
        <v>0.16700000000000001</v>
      </c>
      <c r="H41" s="283">
        <v>0.17</v>
      </c>
      <c r="I41" s="283">
        <v>0.16900000000000001</v>
      </c>
      <c r="J41" s="67">
        <f>I41</f>
        <v>0.16900000000000001</v>
      </c>
      <c r="K41" s="67">
        <f>J41</f>
        <v>0.16900000000000001</v>
      </c>
      <c r="M41" s="67"/>
      <c r="O41" t="s">
        <v>153</v>
      </c>
      <c r="Q41" s="283"/>
      <c r="R41" s="283"/>
      <c r="S41" s="283"/>
      <c r="T41" s="283"/>
      <c r="U41" s="283"/>
      <c r="V41" s="283"/>
    </row>
    <row r="42" spans="3:22">
      <c r="C42" s="278"/>
      <c r="G42" s="281"/>
      <c r="M42"/>
    </row>
    <row r="43" spans="3:22">
      <c r="C43" s="7" t="s">
        <v>20</v>
      </c>
      <c r="D43" s="13"/>
      <c r="E43" s="13"/>
      <c r="F43" s="13"/>
      <c r="G43" s="269"/>
      <c r="H43" s="269"/>
      <c r="I43" s="269"/>
      <c r="J43" s="269"/>
      <c r="K43" s="269"/>
      <c r="M43" s="217"/>
    </row>
    <row r="44" spans="3:22">
      <c r="C44" s="35" t="str">
        <f>C15</f>
        <v xml:space="preserve">Fiscal year  </v>
      </c>
      <c r="D44" s="284"/>
      <c r="E44" s="284">
        <f t="shared" ref="E44:K45" si="6">E15</f>
        <v>2017</v>
      </c>
      <c r="F44" s="284">
        <f t="shared" si="6"/>
        <v>2018</v>
      </c>
      <c r="G44" s="285">
        <f t="shared" si="6"/>
        <v>2019</v>
      </c>
      <c r="H44" s="285">
        <f t="shared" si="6"/>
        <v>2020</v>
      </c>
      <c r="I44" s="285">
        <f t="shared" si="6"/>
        <v>2021</v>
      </c>
      <c r="J44" s="285">
        <f t="shared" si="6"/>
        <v>2022</v>
      </c>
      <c r="K44" s="285">
        <f t="shared" si="6"/>
        <v>2023</v>
      </c>
      <c r="M44" s="285"/>
    </row>
    <row r="45" spans="3:22">
      <c r="C45" s="269" t="str">
        <f>C16</f>
        <v>Fiscal year end date</v>
      </c>
      <c r="D45" s="32"/>
      <c r="E45" s="32">
        <f t="shared" si="6"/>
        <v>43008</v>
      </c>
      <c r="F45" s="32">
        <f t="shared" si="6"/>
        <v>43372</v>
      </c>
      <c r="G45" s="32">
        <f t="shared" si="6"/>
        <v>43738</v>
      </c>
      <c r="H45" s="32">
        <f t="shared" si="6"/>
        <v>44104</v>
      </c>
      <c r="I45" s="32">
        <f t="shared" si="6"/>
        <v>44469</v>
      </c>
      <c r="J45" s="32">
        <f t="shared" si="6"/>
        <v>44834</v>
      </c>
      <c r="K45" s="32">
        <f t="shared" si="6"/>
        <v>45199</v>
      </c>
      <c r="M45" s="236"/>
    </row>
    <row r="46" spans="3:22">
      <c r="C46" t="s">
        <v>138</v>
      </c>
      <c r="D46" s="3"/>
      <c r="E46" s="3">
        <f>20289+53892+194714</f>
        <v>268895</v>
      </c>
      <c r="F46" s="3">
        <f>25913+40388+170799</f>
        <v>237100</v>
      </c>
      <c r="G46" s="153">
        <f ca="1">G92+F46</f>
        <v>219677.39364754269</v>
      </c>
      <c r="H46" s="153">
        <f ca="1">H92+G46</f>
        <v>184854.16646492865</v>
      </c>
      <c r="I46" s="153">
        <f ca="1">I92+H46</f>
        <v>152314.21891102998</v>
      </c>
      <c r="J46" s="153">
        <f ca="1">J92+I46</f>
        <v>122073.60603465598</v>
      </c>
      <c r="K46" s="153">
        <f ca="1">K92+J46</f>
        <v>94513.56007398662</v>
      </c>
      <c r="M46" s="153"/>
      <c r="O46" t="s">
        <v>118</v>
      </c>
    </row>
    <row r="47" spans="3:22">
      <c r="C47" t="s">
        <v>54</v>
      </c>
      <c r="D47" s="3"/>
      <c r="E47" s="3">
        <v>17874</v>
      </c>
      <c r="F47" s="3">
        <v>23186</v>
      </c>
      <c r="G47" s="151"/>
      <c r="H47" s="151"/>
      <c r="I47" s="151"/>
      <c r="J47" s="151"/>
      <c r="K47" s="151"/>
      <c r="M47" s="153"/>
      <c r="O47" t="s">
        <v>250</v>
      </c>
    </row>
    <row r="48" spans="3:22">
      <c r="C48" t="s">
        <v>55</v>
      </c>
      <c r="D48" s="3"/>
      <c r="E48" s="3">
        <v>4855</v>
      </c>
      <c r="F48" s="3">
        <v>3956</v>
      </c>
      <c r="G48" s="151"/>
      <c r="H48" s="151"/>
      <c r="I48" s="151"/>
      <c r="J48" s="151"/>
      <c r="K48" s="151"/>
      <c r="M48" s="153"/>
      <c r="O48" t="s">
        <v>251</v>
      </c>
    </row>
    <row r="49" spans="3:15">
      <c r="C49" t="s">
        <v>280</v>
      </c>
      <c r="D49" s="3"/>
      <c r="E49" s="3">
        <f>17799</f>
        <v>17799</v>
      </c>
      <c r="F49" s="3">
        <f>25809</f>
        <v>25809</v>
      </c>
      <c r="G49" s="153">
        <f ca="1">F49*(1+G37)</f>
        <v>24584.165146916544</v>
      </c>
      <c r="H49" s="153">
        <f ca="1">G49*(1+H37)</f>
        <v>25787.795039130251</v>
      </c>
      <c r="I49" s="153">
        <f ca="1">H49*(1+I37)</f>
        <v>27054.070591564468</v>
      </c>
      <c r="J49" s="153">
        <f ca="1">I49*(1+J37)</f>
        <v>28529.234010316915</v>
      </c>
      <c r="K49" s="153">
        <f ca="1">J49*(1+K37)</f>
        <v>30248.085079998</v>
      </c>
      <c r="M49" s="153"/>
      <c r="O49" t="s">
        <v>103</v>
      </c>
    </row>
    <row r="50" spans="3:15">
      <c r="C50" t="s">
        <v>56</v>
      </c>
      <c r="D50" s="3"/>
      <c r="E50" s="3">
        <v>13936</v>
      </c>
      <c r="F50" s="3">
        <v>12087</v>
      </c>
      <c r="G50" s="153">
        <f ca="1">F50*(1+G37)</f>
        <v>11513.379213870367</v>
      </c>
      <c r="H50" s="153">
        <f ca="1">G50*(1+H37)</f>
        <v>12077.069186639055</v>
      </c>
      <c r="I50" s="153">
        <f ca="1">H50*(1+I37)</f>
        <v>12670.097688412561</v>
      </c>
      <c r="J50" s="153">
        <f ca="1">I50*(1+J37)</f>
        <v>13360.95360078657</v>
      </c>
      <c r="K50" s="153">
        <f ca="1">J50*(1+K37)</f>
        <v>14165.934532989881</v>
      </c>
      <c r="M50" s="153"/>
      <c r="O50" t="s">
        <v>103</v>
      </c>
    </row>
    <row r="51" spans="3:15">
      <c r="C51" t="s">
        <v>21</v>
      </c>
      <c r="D51" s="3"/>
      <c r="E51" s="3">
        <v>33783</v>
      </c>
      <c r="F51" s="3">
        <v>41304</v>
      </c>
      <c r="G51" s="153">
        <f>G146</f>
        <v>54589</v>
      </c>
      <c r="H51" s="153">
        <f>H146</f>
        <v>68238</v>
      </c>
      <c r="I51" s="153">
        <f>I146</f>
        <v>82057</v>
      </c>
      <c r="J51" s="153">
        <f ca="1">J146</f>
        <v>96629.50151892101</v>
      </c>
      <c r="K51" s="153">
        <f ca="1">K146</f>
        <v>112079.97823390472</v>
      </c>
      <c r="M51" s="153"/>
      <c r="O51" t="s">
        <v>105</v>
      </c>
    </row>
    <row r="52" spans="3:15">
      <c r="C52" t="s">
        <v>56</v>
      </c>
      <c r="D52" s="3"/>
      <c r="E52" s="3">
        <v>18177</v>
      </c>
      <c r="F52" s="3">
        <v>22283</v>
      </c>
      <c r="G52" s="153">
        <f ca="1">F52*(1+G37)</f>
        <v>21225.500870577758</v>
      </c>
      <c r="H52" s="153">
        <f ca="1">G52*(1+H37)</f>
        <v>22264.692039867467</v>
      </c>
      <c r="I52" s="153">
        <f ca="1">H52*(1+I37)</f>
        <v>23357.970281368172</v>
      </c>
      <c r="J52" s="153">
        <f ca="1">I52*(1+J37)</f>
        <v>24631.59833592514</v>
      </c>
      <c r="K52" s="153">
        <f ca="1">J52*(1+K37)</f>
        <v>26115.621676066316</v>
      </c>
      <c r="M52" s="153"/>
      <c r="O52" t="s">
        <v>103</v>
      </c>
    </row>
    <row r="53" spans="3:15">
      <c r="C53" s="280" t="s">
        <v>22</v>
      </c>
      <c r="D53" s="69"/>
      <c r="E53" s="69">
        <f t="shared" ref="E53:K53" si="7">SUM(E46:E52)</f>
        <v>375319</v>
      </c>
      <c r="F53" s="69">
        <f t="shared" si="7"/>
        <v>365725</v>
      </c>
      <c r="G53" s="52">
        <f t="shared" ca="1" si="7"/>
        <v>331589.43887890736</v>
      </c>
      <c r="H53" s="52">
        <f t="shared" ca="1" si="7"/>
        <v>313221.72273056541</v>
      </c>
      <c r="I53" s="52">
        <f t="shared" ca="1" si="7"/>
        <v>297453.35747237521</v>
      </c>
      <c r="J53" s="52">
        <f t="shared" ca="1" si="7"/>
        <v>285224.8935006056</v>
      </c>
      <c r="K53" s="52">
        <f t="shared" ca="1" si="7"/>
        <v>277123.17959694553</v>
      </c>
      <c r="M53" s="52"/>
    </row>
    <row r="54" spans="3:15">
      <c r="C54" s="279"/>
      <c r="D54" s="153"/>
      <c r="E54" s="153"/>
      <c r="F54" s="153"/>
      <c r="G54" s="153"/>
      <c r="H54" s="153"/>
      <c r="I54" s="153"/>
      <c r="J54" s="153"/>
      <c r="K54" s="153"/>
      <c r="M54" s="153"/>
    </row>
    <row r="55" spans="3:15">
      <c r="C55" s="279" t="s">
        <v>57</v>
      </c>
      <c r="D55" s="3"/>
      <c r="E55" s="3">
        <v>44242</v>
      </c>
      <c r="F55" s="3">
        <v>55888</v>
      </c>
      <c r="G55" s="153">
        <f ca="1">F55*G19/F19</f>
        <v>53705.147473419303</v>
      </c>
      <c r="H55" s="153">
        <f ca="1">G55*H19/G19</f>
        <v>56062.817886451681</v>
      </c>
      <c r="I55" s="153">
        <f ca="1">H55*I19/H19</f>
        <v>58720.691075770112</v>
      </c>
      <c r="J55" s="153">
        <f ca="1">I55*J19/I19</f>
        <v>61922.524053386733</v>
      </c>
      <c r="K55" s="153">
        <f ca="1">J55*K19/J19</f>
        <v>65653.279553798231</v>
      </c>
      <c r="M55" s="153"/>
      <c r="O55" t="s">
        <v>104</v>
      </c>
    </row>
    <row r="56" spans="3:15">
      <c r="C56" s="279" t="s">
        <v>117</v>
      </c>
      <c r="D56" s="3"/>
      <c r="E56" s="3">
        <v>30551</v>
      </c>
      <c r="F56" s="3">
        <v>32687</v>
      </c>
      <c r="G56" s="153">
        <f ca="1">F56*(1+G37)</f>
        <v>31135.751333149721</v>
      </c>
      <c r="H56" s="153">
        <f ca="1">G56*(1+H37)</f>
        <v>32660.143997987161</v>
      </c>
      <c r="I56" s="153">
        <f ca="1">H56*(1+I37)</f>
        <v>34263.877152406829</v>
      </c>
      <c r="J56" s="153">
        <f ca="1">I56*(1+J37)</f>
        <v>36132.165992298389</v>
      </c>
      <c r="K56" s="153">
        <f ca="1">J56*(1+K37)</f>
        <v>38309.084312057603</v>
      </c>
      <c r="M56" s="153"/>
      <c r="O56" t="s">
        <v>103</v>
      </c>
    </row>
    <row r="57" spans="3:15">
      <c r="C57" s="279" t="s">
        <v>58</v>
      </c>
      <c r="D57" s="3"/>
      <c r="E57" s="3">
        <f>7548+E134</f>
        <v>10384</v>
      </c>
      <c r="F57" s="3">
        <f>7543+F134</f>
        <v>10340</v>
      </c>
      <c r="G57" s="153">
        <f ca="1">F57*(1+G37)</f>
        <v>9849.2877530751703</v>
      </c>
      <c r="H57" s="153">
        <f ca="1">G57*(1+H37)</f>
        <v>10331.504541230068</v>
      </c>
      <c r="I57" s="153">
        <f ca="1">H57*(1+I37)</f>
        <v>10838.81940085926</v>
      </c>
      <c r="J57" s="153">
        <f ca="1">I57*(1+J37)</f>
        <v>11429.822142147194</v>
      </c>
      <c r="K57" s="153">
        <f ca="1">J57*(1+K37)</f>
        <v>12118.454792017486</v>
      </c>
      <c r="M57" s="153"/>
      <c r="O57" t="s">
        <v>103</v>
      </c>
    </row>
    <row r="58" spans="3:15">
      <c r="C58" s="279" t="s">
        <v>60</v>
      </c>
      <c r="D58" s="3"/>
      <c r="E58" s="3">
        <v>11977</v>
      </c>
      <c r="F58" s="3">
        <v>11964</v>
      </c>
      <c r="G58" s="153">
        <f ca="1">G202</f>
        <v>12000</v>
      </c>
      <c r="H58" s="153">
        <f ca="1">H202</f>
        <v>12000</v>
      </c>
      <c r="I58" s="153">
        <f ca="1">I202</f>
        <v>12000</v>
      </c>
      <c r="J58" s="153">
        <f ca="1">J202</f>
        <v>12000</v>
      </c>
      <c r="K58" s="153">
        <f ca="1">K202</f>
        <v>12000</v>
      </c>
      <c r="M58" s="153"/>
      <c r="O58" t="s">
        <v>187</v>
      </c>
    </row>
    <row r="59" spans="3:15">
      <c r="C59" s="279" t="s">
        <v>122</v>
      </c>
      <c r="D59" s="3"/>
      <c r="E59" s="3">
        <f>6496+E135</f>
        <v>103703</v>
      </c>
      <c r="F59" s="3">
        <f>8784+F135</f>
        <v>102519</v>
      </c>
      <c r="G59" s="153">
        <f>F59</f>
        <v>102519</v>
      </c>
      <c r="H59" s="153">
        <f t="shared" ref="H59:K59" si="8">G59</f>
        <v>102519</v>
      </c>
      <c r="I59" s="153">
        <f t="shared" si="8"/>
        <v>102519</v>
      </c>
      <c r="J59" s="153">
        <f t="shared" si="8"/>
        <v>102519</v>
      </c>
      <c r="K59" s="153">
        <f t="shared" si="8"/>
        <v>102519</v>
      </c>
      <c r="M59" s="153"/>
      <c r="O59" t="s">
        <v>100</v>
      </c>
    </row>
    <row r="60" spans="3:15" ht="15.75" customHeight="1">
      <c r="C60" s="279" t="s">
        <v>59</v>
      </c>
      <c r="D60" s="3"/>
      <c r="E60" s="3">
        <v>40415</v>
      </c>
      <c r="F60" s="3">
        <v>45180</v>
      </c>
      <c r="G60" s="193">
        <f ca="1">F60*(1+G37)</f>
        <v>43035.86273539035</v>
      </c>
      <c r="H60" s="193">
        <f t="shared" ref="H60:K60" ca="1" si="9">G60*(1+H37)</f>
        <v>45142.879610519776</v>
      </c>
      <c r="I60" s="193">
        <f t="shared" ca="1" si="9"/>
        <v>47359.560979769958</v>
      </c>
      <c r="J60" s="193">
        <f t="shared" ca="1" si="9"/>
        <v>49941.911448956504</v>
      </c>
      <c r="K60" s="193">
        <f t="shared" ca="1" si="9"/>
        <v>52950.849855256296</v>
      </c>
      <c r="M60" s="153"/>
      <c r="O60" t="s">
        <v>103</v>
      </c>
    </row>
    <row r="61" spans="3:15">
      <c r="C61" s="280" t="s">
        <v>24</v>
      </c>
      <c r="D61" s="69"/>
      <c r="E61" s="69">
        <f t="shared" ref="E61:K61" si="10">SUM(E55:E60)</f>
        <v>241272</v>
      </c>
      <c r="F61" s="69">
        <f t="shared" si="10"/>
        <v>258578</v>
      </c>
      <c r="G61" s="52">
        <f t="shared" ca="1" si="10"/>
        <v>252245.04929503452</v>
      </c>
      <c r="H61" s="52">
        <f t="shared" ca="1" si="10"/>
        <v>258716.34603618868</v>
      </c>
      <c r="I61" s="52">
        <f t="shared" ca="1" si="10"/>
        <v>265701.94860880618</v>
      </c>
      <c r="J61" s="52">
        <f t="shared" ca="1" si="10"/>
        <v>273945.42363678885</v>
      </c>
      <c r="K61" s="52">
        <f t="shared" ca="1" si="10"/>
        <v>283550.66851312958</v>
      </c>
      <c r="M61" s="52"/>
    </row>
    <row r="62" spans="3:15">
      <c r="C62" s="280"/>
      <c r="D62" s="69"/>
      <c r="E62" s="69"/>
      <c r="F62" s="69"/>
      <c r="G62" s="153"/>
      <c r="H62" s="153"/>
      <c r="I62" s="153"/>
      <c r="J62" s="153"/>
      <c r="K62" s="153"/>
      <c r="M62" s="153"/>
    </row>
    <row r="63" spans="3:15">
      <c r="C63" s="279" t="s">
        <v>61</v>
      </c>
      <c r="D63" s="3"/>
      <c r="E63" s="3">
        <v>35867</v>
      </c>
      <c r="F63" s="3">
        <v>40201</v>
      </c>
      <c r="G63" s="153">
        <f ca="1">F63+G33</f>
        <v>45287.576073638433</v>
      </c>
      <c r="H63" s="153">
        <f ca="1">G63+H33</f>
        <v>50623.188670366537</v>
      </c>
      <c r="I63" s="153">
        <f ca="1">H63+I33</f>
        <v>56220.7994634602</v>
      </c>
      <c r="J63" s="153">
        <f ca="1">I63+J33</f>
        <v>62123.628306696759</v>
      </c>
      <c r="K63" s="153">
        <f ca="1">J63+K33</f>
        <v>68382.095288260913</v>
      </c>
      <c r="M63" s="153"/>
      <c r="O63" t="s">
        <v>155</v>
      </c>
    </row>
    <row r="64" spans="3:15" ht="15.75" customHeight="1">
      <c r="C64" s="279" t="s">
        <v>44</v>
      </c>
      <c r="D64" s="33"/>
      <c r="E64" s="33">
        <f>98330</f>
        <v>98330</v>
      </c>
      <c r="F64" s="3">
        <v>70400</v>
      </c>
      <c r="G64" s="153">
        <f ca="1">G184</f>
        <v>37510.813510234366</v>
      </c>
      <c r="H64" s="153">
        <f ca="1">H184</f>
        <v>7336.1880240101891</v>
      </c>
      <c r="I64" s="153">
        <f ca="1">I184</f>
        <v>-21015.390599891187</v>
      </c>
      <c r="J64" s="153">
        <f ca="1">J184</f>
        <v>-47390.158442879983</v>
      </c>
      <c r="K64" s="153">
        <f ca="1">K184</f>
        <v>-71355.584204444996</v>
      </c>
      <c r="M64" s="153"/>
      <c r="O64" t="s">
        <v>107</v>
      </c>
    </row>
    <row r="65" spans="3:15" ht="15.75" customHeight="1">
      <c r="C65" s="279" t="s">
        <v>121</v>
      </c>
      <c r="D65" s="3"/>
      <c r="E65" s="3">
        <v>-150</v>
      </c>
      <c r="F65" s="3">
        <v>-3454</v>
      </c>
      <c r="G65" s="153">
        <f>F65</f>
        <v>-3454</v>
      </c>
      <c r="H65" s="153">
        <f>G65</f>
        <v>-3454</v>
      </c>
      <c r="I65" s="153">
        <f>H65</f>
        <v>-3454</v>
      </c>
      <c r="J65" s="153">
        <f>I65</f>
        <v>-3454</v>
      </c>
      <c r="K65" s="153">
        <f>J65</f>
        <v>-3454</v>
      </c>
      <c r="M65" s="153"/>
      <c r="O65" t="s">
        <v>100</v>
      </c>
    </row>
    <row r="66" spans="3:15">
      <c r="C66" s="280" t="s">
        <v>25</v>
      </c>
      <c r="D66" s="52"/>
      <c r="E66" s="52">
        <f t="shared" ref="E66:K66" si="11">SUM(E63:E65)</f>
        <v>134047</v>
      </c>
      <c r="F66" s="52">
        <f t="shared" si="11"/>
        <v>107147</v>
      </c>
      <c r="G66" s="52">
        <f t="shared" ca="1" si="11"/>
        <v>79344.389583872806</v>
      </c>
      <c r="H66" s="52">
        <f t="shared" ca="1" si="11"/>
        <v>54505.376694376726</v>
      </c>
      <c r="I66" s="52">
        <f t="shared" ca="1" si="11"/>
        <v>31751.408863569013</v>
      </c>
      <c r="J66" s="52">
        <f t="shared" ca="1" si="11"/>
        <v>11279.469863816776</v>
      </c>
      <c r="K66" s="52">
        <f t="shared" ca="1" si="11"/>
        <v>-6427.4889161840838</v>
      </c>
      <c r="M66" s="52"/>
    </row>
    <row r="67" spans="3:15">
      <c r="D67" s="153"/>
      <c r="E67" s="153"/>
      <c r="F67" s="153"/>
      <c r="M67"/>
    </row>
    <row r="68" spans="3:15">
      <c r="C68" s="273" t="s">
        <v>26</v>
      </c>
      <c r="D68" s="286"/>
      <c r="E68" s="286">
        <f t="shared" ref="E68:K68" si="12">ROUND(E53-E61-E66,3)</f>
        <v>0</v>
      </c>
      <c r="F68" s="286">
        <f t="shared" si="12"/>
        <v>0</v>
      </c>
      <c r="G68" s="286">
        <f t="shared" ca="1" si="12"/>
        <v>0</v>
      </c>
      <c r="H68" s="286">
        <f t="shared" ca="1" si="12"/>
        <v>0</v>
      </c>
      <c r="I68" s="286">
        <f t="shared" ca="1" si="12"/>
        <v>0</v>
      </c>
      <c r="J68" s="286">
        <f t="shared" ca="1" si="12"/>
        <v>0</v>
      </c>
      <c r="K68" s="286">
        <f t="shared" ca="1" si="12"/>
        <v>0</v>
      </c>
      <c r="M68" s="286"/>
    </row>
    <row r="69" spans="3:15">
      <c r="E69" s="153"/>
      <c r="F69" s="153"/>
      <c r="H69" s="153"/>
      <c r="I69" s="153"/>
      <c r="J69" s="153"/>
      <c r="K69" s="153"/>
      <c r="M69" s="153"/>
    </row>
    <row r="70" spans="3:15">
      <c r="C70" s="7" t="s">
        <v>32</v>
      </c>
      <c r="D70" s="13"/>
      <c r="E70" s="13"/>
      <c r="F70" s="13"/>
      <c r="G70" s="13"/>
      <c r="H70" s="13"/>
      <c r="I70" s="13"/>
      <c r="J70" s="13"/>
      <c r="K70" s="13"/>
      <c r="M70" s="16"/>
    </row>
    <row r="71" spans="3:15">
      <c r="C71" s="35" t="str">
        <f>C15</f>
        <v xml:space="preserve">Fiscal year  </v>
      </c>
      <c r="D71" s="284"/>
      <c r="E71" s="284"/>
      <c r="F71" s="284"/>
      <c r="G71" s="285">
        <f t="shared" ref="G71:K72" si="13">G15</f>
        <v>2019</v>
      </c>
      <c r="H71" s="285">
        <f t="shared" si="13"/>
        <v>2020</v>
      </c>
      <c r="I71" s="285">
        <f t="shared" si="13"/>
        <v>2021</v>
      </c>
      <c r="J71" s="285">
        <f t="shared" si="13"/>
        <v>2022</v>
      </c>
      <c r="K71" s="285">
        <f t="shared" si="13"/>
        <v>2023</v>
      </c>
      <c r="M71" s="285"/>
    </row>
    <row r="72" spans="3:15">
      <c r="C72" s="269" t="str">
        <f>C16</f>
        <v>Fiscal year end date</v>
      </c>
      <c r="D72" s="32"/>
      <c r="E72" s="32"/>
      <c r="F72" s="32"/>
      <c r="G72" s="32">
        <f t="shared" si="13"/>
        <v>43738</v>
      </c>
      <c r="H72" s="32">
        <f t="shared" si="13"/>
        <v>44104</v>
      </c>
      <c r="I72" s="32">
        <f t="shared" si="13"/>
        <v>44469</v>
      </c>
      <c r="J72" s="32">
        <f t="shared" si="13"/>
        <v>44834</v>
      </c>
      <c r="K72" s="32">
        <f t="shared" si="13"/>
        <v>45199</v>
      </c>
      <c r="M72" s="236"/>
    </row>
    <row r="73" spans="3:15">
      <c r="M73"/>
    </row>
    <row r="74" spans="3:15">
      <c r="C74" t="s">
        <v>2</v>
      </c>
      <c r="D74" s="62"/>
      <c r="E74" s="62"/>
      <c r="F74" s="62"/>
      <c r="G74" s="153">
        <f ca="1">G29</f>
        <v>52213.524654506109</v>
      </c>
      <c r="H74" s="153">
        <f ca="1">H29</f>
        <v>55742.228713852484</v>
      </c>
      <c r="I74" s="153">
        <f ca="1">I29</f>
        <v>58112.038364497494</v>
      </c>
      <c r="J74" s="153">
        <f ca="1">J29</f>
        <v>60681.728350489873</v>
      </c>
      <c r="K74" s="153">
        <f ca="1">K29</f>
        <v>63813.673137135847</v>
      </c>
      <c r="M74" s="153"/>
      <c r="O74" s="24"/>
    </row>
    <row r="75" spans="3:15">
      <c r="C75" t="s">
        <v>33</v>
      </c>
      <c r="D75" s="62"/>
      <c r="E75" s="62"/>
      <c r="F75" s="62"/>
      <c r="G75" s="153">
        <f ca="1">G31</f>
        <v>1526.9253644274177</v>
      </c>
      <c r="H75" s="153">
        <f ca="1">H31</f>
        <v>1601.6829574073306</v>
      </c>
      <c r="I75" s="153">
        <f ca="1">I31</f>
        <v>1680.3314796496511</v>
      </c>
      <c r="J75" s="153">
        <f ca="1">J31</f>
        <v>1771.9540516307495</v>
      </c>
      <c r="K75" s="153">
        <f ca="1">K31</f>
        <v>1878.7120920313373</v>
      </c>
      <c r="M75" s="153"/>
      <c r="O75" t="s">
        <v>170</v>
      </c>
    </row>
    <row r="76" spans="3:15">
      <c r="C76" t="s">
        <v>74</v>
      </c>
      <c r="D76" s="62"/>
      <c r="E76" s="62"/>
      <c r="F76" s="62"/>
      <c r="G76" s="153">
        <f ca="1">G33</f>
        <v>5086.5760736384345</v>
      </c>
      <c r="H76" s="153">
        <f ca="1">H33</f>
        <v>5335.6125967281014</v>
      </c>
      <c r="I76" s="153">
        <f ca="1">I33</f>
        <v>5597.6107930936605</v>
      </c>
      <c r="J76" s="153">
        <f ca="1">J33</f>
        <v>5902.8288432365589</v>
      </c>
      <c r="K76" s="153">
        <f ca="1">K33</f>
        <v>6258.4669815641573</v>
      </c>
      <c r="M76" s="153"/>
    </row>
    <row r="77" spans="3:15">
      <c r="C77" t="s">
        <v>65</v>
      </c>
      <c r="D77" s="153"/>
      <c r="E77" s="153"/>
      <c r="F77" s="153"/>
      <c r="G77" s="153">
        <f ca="1">-1*(SUM(G47:G50)-SUM(F47:F50))</f>
        <v>28940.455639213091</v>
      </c>
      <c r="H77" s="153">
        <f ca="1">-1*(SUM(H47:H50)-SUM(G47:G50))</f>
        <v>-1767.3198649823971</v>
      </c>
      <c r="I77" s="153">
        <f ca="1">-1*(SUM(I47:I50)-SUM(H47:H50))</f>
        <v>-1859.3040542077215</v>
      </c>
      <c r="J77" s="153">
        <f ca="1">-1*(SUM(J47:J50)-SUM(I47:I50))</f>
        <v>-2166.0193311264593</v>
      </c>
      <c r="K77" s="153">
        <f ca="1">-1*(SUM(K47:K50)-SUM(J47:J50))</f>
        <v>-2523.8320018843951</v>
      </c>
      <c r="M77" s="153"/>
    </row>
    <row r="78" spans="3:15">
      <c r="C78" t="s">
        <v>66</v>
      </c>
      <c r="D78" s="153"/>
      <c r="E78" s="153"/>
      <c r="F78" s="153"/>
      <c r="G78" s="153">
        <f ca="1">SUM(G55:G57)-SUM(F55:F57)</f>
        <v>-4224.813440355807</v>
      </c>
      <c r="H78" s="153">
        <f ca="1">SUM(H55:H57)-SUM(G55:G57)</f>
        <v>4364.2798660247208</v>
      </c>
      <c r="I78" s="153">
        <f ca="1">SUM(I55:I57)-SUM(H55:H57)</f>
        <v>4768.9212033672811</v>
      </c>
      <c r="J78" s="153">
        <f ca="1">SUM(J55:J57)-SUM(I55:I57)</f>
        <v>5661.1245587961312</v>
      </c>
      <c r="K78" s="153">
        <f ca="1">SUM(K55:K57)-SUM(J55:J57)</f>
        <v>6596.3064700409886</v>
      </c>
      <c r="M78" s="153"/>
    </row>
    <row r="79" spans="3:15">
      <c r="C79" t="s">
        <v>56</v>
      </c>
      <c r="G79" s="153">
        <f ca="1">-(G176)</f>
        <v>-469.42623500517584</v>
      </c>
      <c r="H79" s="153">
        <f ca="1">-(H176)</f>
        <v>-2640.8741266970392</v>
      </c>
      <c r="I79" s="153">
        <f ca="1">-(I176)</f>
        <v>-2773.6097211503584</v>
      </c>
      <c r="J79" s="153">
        <f ca="1">-(J176)</f>
        <v>-3045.5821061877177</v>
      </c>
      <c r="K79" s="153">
        <f ca="1">-(K176)</f>
        <v>-3362.7354321725143</v>
      </c>
      <c r="M79" s="153"/>
      <c r="O79" t="s">
        <v>171</v>
      </c>
    </row>
    <row r="80" spans="3:15">
      <c r="C80" t="s">
        <v>59</v>
      </c>
      <c r="G80" s="153">
        <f ca="1">G60-F60</f>
        <v>-2144.1372646096497</v>
      </c>
      <c r="H80" s="153">
        <f ca="1">H60-G60</f>
        <v>2107.0168751294259</v>
      </c>
      <c r="I80" s="153">
        <f ca="1">I60-H60</f>
        <v>2216.6813692501819</v>
      </c>
      <c r="J80" s="153">
        <f ca="1">J60-I60</f>
        <v>2582.3504691865455</v>
      </c>
      <c r="K80" s="153">
        <f ca="1">K60-J60</f>
        <v>3008.9384062997924</v>
      </c>
      <c r="M80" s="153"/>
      <c r="O80" s="24"/>
    </row>
    <row r="81" spans="3:15">
      <c r="C81" s="24" t="s">
        <v>34</v>
      </c>
      <c r="G81" s="52">
        <f ca="1">SUM(G74:G80)</f>
        <v>80929.104791814432</v>
      </c>
      <c r="H81" s="52">
        <f ca="1">SUM(H74:H80)</f>
        <v>64742.627017462626</v>
      </c>
      <c r="I81" s="52">
        <f ca="1">SUM(I74:I80)</f>
        <v>67742.669434500189</v>
      </c>
      <c r="J81" s="52">
        <f ca="1">SUM(J74:J80)</f>
        <v>71388.384836025682</v>
      </c>
      <c r="K81" s="52">
        <f ca="1">SUM(K74:K80)</f>
        <v>75669.529653015197</v>
      </c>
      <c r="M81" s="52"/>
    </row>
    <row r="82" spans="3:15">
      <c r="G82" s="153"/>
      <c r="H82" s="153"/>
      <c r="I82" s="153"/>
      <c r="J82" s="153"/>
      <c r="K82" s="153"/>
      <c r="M82" s="153"/>
    </row>
    <row r="83" spans="3:15">
      <c r="C83" t="s">
        <v>35</v>
      </c>
      <c r="G83" s="153">
        <f>-(G144)</f>
        <v>-13285</v>
      </c>
      <c r="H83" s="153">
        <f>-(H144)</f>
        <v>-13649</v>
      </c>
      <c r="I83" s="153">
        <f>-(I144)</f>
        <v>-13819</v>
      </c>
      <c r="J83" s="153">
        <f ca="1">-(J144)</f>
        <v>-14572.50151892101</v>
      </c>
      <c r="K83" s="153">
        <f ca="1">-(K144)</f>
        <v>-15450.476714983708</v>
      </c>
      <c r="M83" s="153"/>
      <c r="O83" t="s">
        <v>105</v>
      </c>
    </row>
    <row r="84" spans="3:15">
      <c r="C84" s="24" t="s">
        <v>36</v>
      </c>
      <c r="G84" s="52">
        <f>IFERROR(G83,"NA")</f>
        <v>-13285</v>
      </c>
      <c r="H84" s="52">
        <f>IFERROR(H83,"NA")</f>
        <v>-13649</v>
      </c>
      <c r="I84" s="52">
        <f>IFERROR(I83,"NA")</f>
        <v>-13819</v>
      </c>
      <c r="J84" s="52">
        <f ca="1">IFERROR(J83,"NA")</f>
        <v>-14572.50151892101</v>
      </c>
      <c r="K84" s="52">
        <f ca="1">IFERROR(K83,"NA")</f>
        <v>-15450.476714983708</v>
      </c>
      <c r="M84" s="52"/>
    </row>
    <row r="85" spans="3:15">
      <c r="G85" s="153"/>
      <c r="H85" s="153"/>
      <c r="I85" s="153"/>
      <c r="J85" s="153"/>
      <c r="K85" s="153"/>
      <c r="M85" s="153"/>
    </row>
    <row r="86" spans="3:15">
      <c r="C86" t="s">
        <v>67</v>
      </c>
      <c r="G86" s="153">
        <f>G59-F59</f>
        <v>0</v>
      </c>
      <c r="H86" s="153">
        <f>H59-G59</f>
        <v>0</v>
      </c>
      <c r="I86" s="153">
        <f>I59-H59</f>
        <v>0</v>
      </c>
      <c r="J86" s="153">
        <f>J59-I59</f>
        <v>0</v>
      </c>
      <c r="K86" s="153">
        <f>K59-J59</f>
        <v>0</v>
      </c>
      <c r="M86" s="153"/>
    </row>
    <row r="87" spans="3:15">
      <c r="C87" t="s">
        <v>23</v>
      </c>
      <c r="G87" s="153">
        <f ca="1">G58-F58</f>
        <v>36</v>
      </c>
      <c r="H87" s="153">
        <f ca="1">H58-G58</f>
        <v>0</v>
      </c>
      <c r="I87" s="153">
        <f ca="1">I58-H58</f>
        <v>0</v>
      </c>
      <c r="J87" s="153">
        <f ca="1">J58-I58</f>
        <v>0</v>
      </c>
      <c r="K87" s="153">
        <f ca="1">K58-J58</f>
        <v>0</v>
      </c>
      <c r="M87" s="153"/>
      <c r="O87" t="s">
        <v>183</v>
      </c>
    </row>
    <row r="88" spans="3:15">
      <c r="C88" t="s">
        <v>70</v>
      </c>
      <c r="G88" s="153">
        <f>G183</f>
        <v>-73056</v>
      </c>
      <c r="H88" s="153">
        <f>H183</f>
        <v>-73056</v>
      </c>
      <c r="I88" s="153">
        <f>I183</f>
        <v>-73056</v>
      </c>
      <c r="J88" s="153">
        <f>J183</f>
        <v>-73056</v>
      </c>
      <c r="K88" s="153">
        <f>K183</f>
        <v>-73056</v>
      </c>
      <c r="M88" s="153"/>
      <c r="O88" t="s">
        <v>107</v>
      </c>
    </row>
    <row r="89" spans="3:15">
      <c r="C89" t="s">
        <v>71</v>
      </c>
      <c r="G89" s="153">
        <f ca="1">G182</f>
        <v>-12046.711144271749</v>
      </c>
      <c r="H89" s="153">
        <f ca="1">H182</f>
        <v>-12860.854200076665</v>
      </c>
      <c r="I89" s="153">
        <f ca="1">I182</f>
        <v>-13407.61698839887</v>
      </c>
      <c r="J89" s="153">
        <f ca="1">J182</f>
        <v>-14000.496193478666</v>
      </c>
      <c r="K89" s="153">
        <f ca="1">K182</f>
        <v>-14723.09889870086</v>
      </c>
      <c r="M89" s="153"/>
      <c r="O89" t="s">
        <v>107</v>
      </c>
    </row>
    <row r="90" spans="3:15">
      <c r="C90" s="24" t="s">
        <v>37</v>
      </c>
      <c r="G90" s="52">
        <f ca="1">SUM(G86:G89)</f>
        <v>-85066.711144271743</v>
      </c>
      <c r="H90" s="52">
        <f ca="1">SUM(H86:H89)</f>
        <v>-85916.854200076661</v>
      </c>
      <c r="I90" s="52">
        <f ca="1">SUM(I86:I89)</f>
        <v>-86463.616988398862</v>
      </c>
      <c r="J90" s="52">
        <f ca="1">SUM(J86:J89)</f>
        <v>-87056.49619347867</v>
      </c>
      <c r="K90" s="52">
        <f ca="1">SUM(K86:K89)</f>
        <v>-87779.09889870086</v>
      </c>
      <c r="M90" s="52"/>
    </row>
    <row r="91" spans="3:15">
      <c r="G91" s="153"/>
      <c r="H91" s="153"/>
      <c r="I91" s="153"/>
      <c r="J91" s="153"/>
      <c r="K91" s="153"/>
      <c r="M91" s="153"/>
    </row>
    <row r="92" spans="3:15">
      <c r="C92" s="24" t="s">
        <v>38</v>
      </c>
      <c r="G92" s="52">
        <f ca="1">G81+G84+G90</f>
        <v>-17422.606352457311</v>
      </c>
      <c r="H92" s="52">
        <f ca="1">H81+H84+H90</f>
        <v>-34823.227182614035</v>
      </c>
      <c r="I92" s="52">
        <f ca="1">I81+I84+I90</f>
        <v>-32539.947553898674</v>
      </c>
      <c r="J92" s="52">
        <f ca="1">J81+J84+J90</f>
        <v>-30240.612876373998</v>
      </c>
      <c r="K92" s="52">
        <f ca="1">K81+K84+K90</f>
        <v>-27560.045960669369</v>
      </c>
      <c r="M92" s="52"/>
    </row>
    <row r="93" spans="3:15">
      <c r="C93" s="24"/>
      <c r="G93" s="52"/>
      <c r="H93" s="52"/>
      <c r="I93" s="52"/>
      <c r="J93" s="52"/>
      <c r="K93" s="52"/>
      <c r="M93" s="52"/>
    </row>
    <row r="94" spans="3:15">
      <c r="C94" s="7" t="s">
        <v>243</v>
      </c>
      <c r="D94" s="269"/>
      <c r="E94" s="269"/>
      <c r="F94" s="269"/>
      <c r="G94" s="269"/>
      <c r="H94" s="269"/>
      <c r="I94" s="269"/>
      <c r="J94" s="269"/>
      <c r="K94" s="269"/>
      <c r="M94" s="217"/>
    </row>
    <row r="95" spans="3:15">
      <c r="C95" s="35" t="str">
        <f>C15</f>
        <v xml:space="preserve">Fiscal year  </v>
      </c>
      <c r="D95" s="30">
        <f>D$15</f>
        <v>2016</v>
      </c>
      <c r="E95" s="30">
        <f t="shared" ref="E95:K95" si="14">E$15</f>
        <v>2017</v>
      </c>
      <c r="F95" s="30">
        <f t="shared" si="14"/>
        <v>2018</v>
      </c>
      <c r="G95" s="30">
        <f t="shared" si="14"/>
        <v>2019</v>
      </c>
      <c r="H95" s="30">
        <f t="shared" si="14"/>
        <v>2020</v>
      </c>
      <c r="I95" s="30">
        <f t="shared" si="14"/>
        <v>2021</v>
      </c>
      <c r="J95" s="30">
        <f t="shared" si="14"/>
        <v>2022</v>
      </c>
      <c r="K95" s="30">
        <f t="shared" si="14"/>
        <v>2023</v>
      </c>
      <c r="M95" s="30"/>
    </row>
    <row r="96" spans="3:15">
      <c r="C96" s="269" t="str">
        <f>C16</f>
        <v>Fiscal year end date</v>
      </c>
      <c r="D96" s="32">
        <f>D$16</f>
        <v>42643</v>
      </c>
      <c r="E96" s="32">
        <f t="shared" ref="E96:K96" si="15">E$16</f>
        <v>43008</v>
      </c>
      <c r="F96" s="32">
        <f t="shared" si="15"/>
        <v>43372</v>
      </c>
      <c r="G96" s="32">
        <f t="shared" si="15"/>
        <v>43738</v>
      </c>
      <c r="H96" s="32">
        <f t="shared" si="15"/>
        <v>44104</v>
      </c>
      <c r="I96" s="32">
        <f t="shared" si="15"/>
        <v>44469</v>
      </c>
      <c r="J96" s="32">
        <f t="shared" si="15"/>
        <v>44834</v>
      </c>
      <c r="K96" s="32">
        <f t="shared" si="15"/>
        <v>45199</v>
      </c>
      <c r="M96" s="236"/>
    </row>
    <row r="97" spans="2:17">
      <c r="E97" s="346"/>
      <c r="F97" s="346"/>
      <c r="M97"/>
    </row>
    <row r="98" spans="2:17">
      <c r="C98" s="24" t="s">
        <v>241</v>
      </c>
      <c r="D98" s="217"/>
      <c r="E98" s="350" t="s">
        <v>244</v>
      </c>
      <c r="F98" s="351"/>
      <c r="G98" s="350" t="s">
        <v>116</v>
      </c>
      <c r="H98" s="350"/>
      <c r="I98" s="350"/>
      <c r="J98" s="350"/>
      <c r="K98" s="350"/>
      <c r="M98" s="350"/>
    </row>
    <row r="99" spans="2:17">
      <c r="C99" s="278" t="s">
        <v>27</v>
      </c>
      <c r="D99" s="217"/>
      <c r="E99" s="217"/>
      <c r="F99" s="217"/>
      <c r="G99" s="368"/>
      <c r="H99" s="368"/>
      <c r="I99" s="368"/>
      <c r="J99" s="368"/>
      <c r="K99" s="368"/>
      <c r="L99" s="217"/>
      <c r="M99" s="350"/>
      <c r="N99" s="217"/>
    </row>
    <row r="100" spans="2:17">
      <c r="C100" s="287" t="s">
        <v>242</v>
      </c>
      <c r="D100" s="217"/>
      <c r="E100" s="217"/>
      <c r="F100" s="217"/>
      <c r="G100" s="368"/>
      <c r="H100" s="368"/>
      <c r="I100" s="368"/>
      <c r="J100" s="368"/>
      <c r="K100" s="368"/>
      <c r="L100" s="217"/>
      <c r="M100" s="350"/>
      <c r="N100" s="217"/>
    </row>
    <row r="101" spans="2:17">
      <c r="C101" s="278" t="s">
        <v>28</v>
      </c>
      <c r="D101" s="217"/>
      <c r="E101" s="344">
        <f>E47</f>
        <v>17874</v>
      </c>
      <c r="F101" s="344">
        <f>F47</f>
        <v>23186</v>
      </c>
      <c r="G101" s="368"/>
      <c r="H101" s="368"/>
      <c r="I101" s="368"/>
      <c r="J101" s="368"/>
      <c r="K101" s="368"/>
      <c r="L101" s="217"/>
      <c r="M101" s="350"/>
      <c r="N101" s="217"/>
      <c r="O101" t="s">
        <v>276</v>
      </c>
    </row>
    <row r="102" spans="2:17">
      <c r="D102" s="217"/>
      <c r="E102" s="217"/>
      <c r="F102" s="217"/>
      <c r="G102" s="217"/>
      <c r="H102" s="217"/>
      <c r="I102" s="217"/>
      <c r="J102" s="217"/>
      <c r="K102" s="217"/>
      <c r="L102" s="217"/>
      <c r="M102" s="350"/>
      <c r="N102" s="217"/>
    </row>
    <row r="103" spans="2:17">
      <c r="C103" s="278" t="s">
        <v>274</v>
      </c>
      <c r="D103" s="217"/>
      <c r="E103" s="225"/>
      <c r="F103" s="225">
        <f>AVERAGE(E101:F101)/F18</f>
        <v>7.729814190779194E-2</v>
      </c>
      <c r="G103" s="347"/>
      <c r="H103" s="347"/>
      <c r="I103" s="347"/>
      <c r="J103" s="347"/>
      <c r="K103" s="347"/>
      <c r="L103" s="217"/>
      <c r="M103" s="350"/>
      <c r="N103" s="217"/>
    </row>
    <row r="104" spans="2:17">
      <c r="B104" s="217"/>
      <c r="C104" s="217"/>
      <c r="D104" s="217"/>
      <c r="E104" s="225"/>
      <c r="F104" s="344"/>
      <c r="G104" s="225"/>
      <c r="H104" s="225"/>
      <c r="I104" s="225"/>
      <c r="J104" s="225"/>
      <c r="K104" s="225"/>
      <c r="L104" s="217"/>
      <c r="M104" s="350"/>
      <c r="N104" s="217"/>
    </row>
    <row r="105" spans="2:17">
      <c r="B105" s="217"/>
      <c r="C105" s="26" t="s">
        <v>275</v>
      </c>
      <c r="E105" s="225"/>
      <c r="F105" s="225"/>
      <c r="G105" s="353">
        <v>2</v>
      </c>
      <c r="H105" s="225"/>
      <c r="I105" s="225"/>
      <c r="J105" s="225"/>
      <c r="K105" s="225"/>
      <c r="L105" s="217"/>
      <c r="M105" s="350"/>
      <c r="N105" s="217"/>
    </row>
    <row r="106" spans="2:17">
      <c r="B106" s="217"/>
      <c r="C106" s="19"/>
      <c r="D106" s="19"/>
      <c r="E106" s="225"/>
      <c r="F106" s="225"/>
      <c r="G106" s="225"/>
      <c r="H106" s="225"/>
      <c r="I106" s="225"/>
      <c r="J106" s="225"/>
      <c r="K106" s="225"/>
      <c r="L106" s="217"/>
      <c r="M106" s="350"/>
      <c r="N106" s="217"/>
    </row>
    <row r="107" spans="2:17">
      <c r="C107" s="348" t="s">
        <v>247</v>
      </c>
      <c r="D107" s="217"/>
      <c r="E107" s="225"/>
      <c r="F107" s="225"/>
      <c r="G107" s="347"/>
      <c r="H107" s="347"/>
      <c r="I107" s="347"/>
      <c r="J107" s="347"/>
      <c r="K107" s="347"/>
      <c r="L107" s="217"/>
      <c r="M107" s="350"/>
      <c r="N107" s="217"/>
    </row>
    <row r="108" spans="2:17">
      <c r="C108" s="278" t="s">
        <v>316</v>
      </c>
      <c r="D108" s="217"/>
      <c r="E108" s="345"/>
      <c r="F108" s="345">
        <f>F103*365</f>
        <v>28.213821796344057</v>
      </c>
      <c r="G108" s="352">
        <v>34</v>
      </c>
      <c r="H108" s="352">
        <v>34</v>
      </c>
      <c r="I108" s="352">
        <v>34</v>
      </c>
      <c r="J108" s="352">
        <v>34</v>
      </c>
      <c r="K108" s="352">
        <v>34</v>
      </c>
      <c r="L108" s="217"/>
      <c r="M108" s="509"/>
      <c r="N108" s="217"/>
      <c r="O108" s="153"/>
      <c r="P108" s="153"/>
    </row>
    <row r="109" spans="2:17">
      <c r="E109" s="217"/>
      <c r="F109" s="217"/>
      <c r="G109" s="217"/>
      <c r="H109" s="217"/>
      <c r="I109" s="217"/>
      <c r="J109" s="217"/>
      <c r="K109" s="217"/>
      <c r="M109" s="350"/>
      <c r="Q109" s="153"/>
    </row>
    <row r="110" spans="2:17">
      <c r="C110" s="343" t="s">
        <v>245</v>
      </c>
      <c r="E110" s="350" t="s">
        <v>244</v>
      </c>
      <c r="F110" s="351"/>
      <c r="G110" s="350" t="s">
        <v>116</v>
      </c>
      <c r="H110" s="350"/>
      <c r="I110" s="350"/>
      <c r="J110" s="350"/>
      <c r="K110" s="350"/>
      <c r="M110" s="377"/>
    </row>
    <row r="111" spans="2:17">
      <c r="C111" s="278" t="s">
        <v>27</v>
      </c>
      <c r="E111" s="217"/>
      <c r="F111" s="217"/>
      <c r="G111" s="368"/>
      <c r="H111" s="368"/>
      <c r="I111" s="368"/>
      <c r="J111" s="368"/>
      <c r="K111" s="368"/>
      <c r="M111" s="377"/>
    </row>
    <row r="112" spans="2:17">
      <c r="C112" s="287" t="s">
        <v>242</v>
      </c>
      <c r="E112" s="217"/>
      <c r="F112" s="217"/>
      <c r="G112" s="368"/>
      <c r="H112" s="368"/>
      <c r="I112" s="368"/>
      <c r="J112" s="368"/>
      <c r="K112" s="368"/>
      <c r="M112" s="377"/>
    </row>
    <row r="113" spans="3:15">
      <c r="C113" s="278" t="s">
        <v>28</v>
      </c>
      <c r="E113" s="344">
        <f>E48</f>
        <v>4855</v>
      </c>
      <c r="F113" s="344">
        <f>F48</f>
        <v>3956</v>
      </c>
      <c r="G113" s="368"/>
      <c r="H113" s="368"/>
      <c r="I113" s="368"/>
      <c r="J113" s="368"/>
      <c r="K113" s="368"/>
      <c r="M113" s="377"/>
      <c r="O113" s="356"/>
    </row>
    <row r="114" spans="3:15">
      <c r="E114" s="217"/>
      <c r="F114" s="217"/>
      <c r="G114" s="217"/>
      <c r="H114" s="217"/>
      <c r="I114" s="217"/>
      <c r="J114" s="217"/>
      <c r="K114" s="217"/>
      <c r="M114" s="377"/>
    </row>
    <row r="115" spans="3:15">
      <c r="C115" s="26" t="s">
        <v>248</v>
      </c>
      <c r="E115" s="225"/>
      <c r="F115" s="225"/>
      <c r="G115" s="353">
        <v>2</v>
      </c>
      <c r="H115" s="217"/>
      <c r="I115" s="217"/>
      <c r="J115" s="217"/>
      <c r="K115" s="217"/>
      <c r="M115" s="377"/>
    </row>
    <row r="116" spans="3:15">
      <c r="E116" s="217"/>
      <c r="F116" s="217"/>
      <c r="G116" s="217"/>
      <c r="H116" s="217"/>
      <c r="I116" s="217"/>
      <c r="J116" s="217"/>
      <c r="K116" s="217"/>
      <c r="M116" s="377"/>
    </row>
    <row r="117" spans="3:15">
      <c r="C117" s="278" t="s">
        <v>277</v>
      </c>
      <c r="E117" s="225"/>
      <c r="F117" s="225">
        <f>-(AVERAGE(E113:F113)/F19)</f>
        <v>2.6902831041305357E-2</v>
      </c>
      <c r="G117" s="347"/>
      <c r="H117" s="347"/>
      <c r="I117" s="347"/>
      <c r="J117" s="347"/>
      <c r="K117" s="347"/>
      <c r="M117" s="377"/>
    </row>
    <row r="118" spans="3:15">
      <c r="C118" s="278" t="s">
        <v>249</v>
      </c>
      <c r="E118" s="354"/>
      <c r="F118" s="354">
        <f>-(F19/AVERAGE(E113:F113))</f>
        <v>37.170809215753039</v>
      </c>
      <c r="G118" s="355">
        <v>43</v>
      </c>
      <c r="H118" s="355">
        <v>44</v>
      </c>
      <c r="I118" s="355">
        <v>45</v>
      </c>
      <c r="J118" s="355">
        <v>46</v>
      </c>
      <c r="K118" s="355">
        <v>47</v>
      </c>
      <c r="M118" s="377"/>
    </row>
    <row r="119" spans="3:15">
      <c r="M119" s="377"/>
    </row>
    <row r="120" spans="3:15">
      <c r="C120" s="233" t="s">
        <v>271</v>
      </c>
      <c r="D120" s="295"/>
      <c r="E120" s="295"/>
      <c r="F120" s="295"/>
      <c r="G120" s="295"/>
      <c r="H120" s="295"/>
      <c r="I120" s="295"/>
      <c r="J120" s="295"/>
      <c r="K120" s="295"/>
    </row>
    <row r="121" spans="3:15">
      <c r="C121" s="217" t="s">
        <v>278</v>
      </c>
      <c r="D121" s="217"/>
      <c r="E121" s="217"/>
      <c r="F121" s="411"/>
      <c r="G121" s="411"/>
      <c r="H121" s="411"/>
      <c r="I121" s="411"/>
      <c r="J121" s="411"/>
      <c r="K121" s="411"/>
    </row>
    <row r="122" spans="3:15">
      <c r="C122" t="s">
        <v>279</v>
      </c>
      <c r="F122" s="411"/>
      <c r="G122" s="411"/>
      <c r="H122" s="411"/>
      <c r="I122" s="411"/>
      <c r="J122" s="411"/>
      <c r="K122" s="411"/>
    </row>
    <row r="123" spans="3:15">
      <c r="C123" t="s">
        <v>269</v>
      </c>
      <c r="F123" s="411"/>
      <c r="G123" s="411"/>
      <c r="H123" s="411"/>
      <c r="I123" s="411"/>
      <c r="J123" s="411"/>
      <c r="K123" s="411"/>
    </row>
    <row r="124" spans="3:15">
      <c r="C124" s="24" t="s">
        <v>291</v>
      </c>
      <c r="D124" s="24"/>
      <c r="E124" s="24"/>
      <c r="F124" s="413"/>
      <c r="G124" s="413"/>
      <c r="H124" s="413"/>
      <c r="I124" s="413"/>
      <c r="J124" s="413"/>
      <c r="K124" s="413"/>
    </row>
    <row r="125" spans="3:15">
      <c r="C125" s="24"/>
      <c r="D125" s="24"/>
      <c r="E125" s="24"/>
      <c r="F125" s="408"/>
      <c r="G125" s="408"/>
      <c r="H125" s="408"/>
      <c r="I125" s="408"/>
      <c r="J125" s="408"/>
      <c r="K125" s="408"/>
    </row>
    <row r="126" spans="3:15">
      <c r="C126" t="s">
        <v>270</v>
      </c>
      <c r="F126" s="411"/>
      <c r="G126" s="411"/>
      <c r="H126" s="411"/>
      <c r="I126" s="411"/>
      <c r="J126" s="411"/>
      <c r="K126" s="411"/>
    </row>
    <row r="127" spans="3:15">
      <c r="C127" s="24" t="s">
        <v>290</v>
      </c>
      <c r="F127" s="412"/>
      <c r="G127" s="412"/>
      <c r="H127" s="412"/>
      <c r="I127" s="412"/>
      <c r="J127" s="412"/>
      <c r="K127" s="412"/>
    </row>
    <row r="128" spans="3:15">
      <c r="C128" s="24"/>
      <c r="F128" s="409"/>
      <c r="G128" s="409"/>
      <c r="H128" s="409"/>
      <c r="I128" s="409"/>
      <c r="J128" s="409"/>
      <c r="K128" s="409"/>
    </row>
    <row r="129" spans="3:15">
      <c r="C129" t="s">
        <v>286</v>
      </c>
      <c r="F129" s="410">
        <f t="shared" ref="F129:K129" si="16">F136/F137</f>
        <v>1.1238426916297297</v>
      </c>
      <c r="G129" s="410">
        <f t="shared" ca="1" si="16"/>
        <v>0.90770864154244657</v>
      </c>
      <c r="H129" s="410">
        <f t="shared" ca="1" si="16"/>
        <v>0.8899736324762918</v>
      </c>
      <c r="I129" s="410">
        <f t="shared" ca="1" si="16"/>
        <v>0.87137679341154439</v>
      </c>
      <c r="J129" s="410">
        <f t="shared" ca="1" si="16"/>
        <v>0.85071540059195305</v>
      </c>
      <c r="K129" s="410">
        <f t="shared" ca="1" si="16"/>
        <v>0.82878748586208961</v>
      </c>
    </row>
    <row r="130" spans="3:15">
      <c r="C130" t="s">
        <v>287</v>
      </c>
      <c r="F130" s="410">
        <f t="shared" ref="F130:K130" si="17">(F46-F133+F47)/F137</f>
        <v>0.76572313589923502</v>
      </c>
      <c r="G130" s="410">
        <f t="shared" ca="1" si="17"/>
        <v>0.58772310698932351</v>
      </c>
      <c r="H130" s="410">
        <f t="shared" ca="1" si="17"/>
        <v>0.56646332505743524</v>
      </c>
      <c r="I130" s="410">
        <f t="shared" ca="1" si="17"/>
        <v>0.54490036391566221</v>
      </c>
      <c r="J130" s="410">
        <f t="shared" ca="1" si="17"/>
        <v>0.52132972213402806</v>
      </c>
      <c r="K130" s="410">
        <f t="shared" ca="1" si="17"/>
        <v>0.49631422450379387</v>
      </c>
    </row>
    <row r="131" spans="3:15">
      <c r="F131" s="410"/>
      <c r="G131" s="410"/>
      <c r="H131" s="410"/>
      <c r="I131" s="410"/>
      <c r="J131" s="410"/>
      <c r="K131" s="410"/>
    </row>
    <row r="132" spans="3:15">
      <c r="C132" s="25" t="s">
        <v>289</v>
      </c>
      <c r="F132" s="410"/>
      <c r="G132" s="410"/>
      <c r="H132" s="410"/>
      <c r="I132" s="410"/>
      <c r="J132" s="410"/>
      <c r="K132" s="410"/>
    </row>
    <row r="133" spans="3:15">
      <c r="C133" s="5" t="s">
        <v>281</v>
      </c>
      <c r="D133" s="34"/>
      <c r="E133" s="3">
        <v>194714</v>
      </c>
      <c r="F133" s="3">
        <v>170799</v>
      </c>
      <c r="G133" s="34">
        <f ca="1">F133-(F46-G46)</f>
        <v>153376.39364754269</v>
      </c>
      <c r="H133" s="34">
        <f ca="1">G133-(G46-H46)</f>
        <v>118553.16646492865</v>
      </c>
      <c r="I133" s="34">
        <f ca="1">H133-(H46-I46)</f>
        <v>86013.218911029981</v>
      </c>
      <c r="J133" s="34">
        <f ca="1">I133-(I46-J46)</f>
        <v>55772.606034655983</v>
      </c>
      <c r="K133" s="34">
        <f ca="1">J133-(J46-K46)</f>
        <v>28212.56007398662</v>
      </c>
      <c r="L133" s="286"/>
      <c r="M133" s="401"/>
      <c r="O133" t="s">
        <v>288</v>
      </c>
    </row>
    <row r="134" spans="3:15">
      <c r="C134" t="s">
        <v>284</v>
      </c>
      <c r="E134" s="3">
        <v>2836</v>
      </c>
      <c r="F134" s="3">
        <v>2797</v>
      </c>
      <c r="G134" s="33">
        <f ca="1">F134*(1+G37)</f>
        <v>2664.2609134769104</v>
      </c>
      <c r="H134" s="33">
        <f ca="1">G134*(1+H37)</f>
        <v>2794.7019537544006</v>
      </c>
      <c r="I134" s="33">
        <f ca="1">H134*(1+I37)</f>
        <v>2931.9320951840768</v>
      </c>
      <c r="J134" s="33">
        <f ca="1">I134*(1+J37)</f>
        <v>3091.8000514106097</v>
      </c>
      <c r="K134" s="33">
        <f ca="1">J134*(1+K37)</f>
        <v>3278.0771811675936</v>
      </c>
      <c r="L134" s="153"/>
      <c r="M134" s="193"/>
    </row>
    <row r="135" spans="3:15">
      <c r="C135" t="s">
        <v>285</v>
      </c>
      <c r="E135" s="3">
        <v>97207</v>
      </c>
      <c r="F135" s="3">
        <v>93735</v>
      </c>
      <c r="G135" s="153">
        <f>F135</f>
        <v>93735</v>
      </c>
      <c r="H135" s="153">
        <f>G135</f>
        <v>93735</v>
      </c>
      <c r="I135" s="153">
        <f>H135</f>
        <v>93735</v>
      </c>
      <c r="J135" s="153">
        <f>I135</f>
        <v>93735</v>
      </c>
      <c r="K135" s="153">
        <f>J135</f>
        <v>93735</v>
      </c>
      <c r="L135" s="153"/>
      <c r="M135" s="193"/>
    </row>
    <row r="136" spans="3:15">
      <c r="C136" t="s">
        <v>282</v>
      </c>
      <c r="E136" s="153">
        <f t="shared" ref="E136:K136" si="18">SUM(E46:E50)-E133</f>
        <v>128645</v>
      </c>
      <c r="F136" s="153">
        <f t="shared" si="18"/>
        <v>131339</v>
      </c>
      <c r="G136" s="153">
        <f t="shared" ca="1" si="18"/>
        <v>102398.54436078691</v>
      </c>
      <c r="H136" s="153">
        <f t="shared" ca="1" si="18"/>
        <v>104165.8642257693</v>
      </c>
      <c r="I136" s="153">
        <f t="shared" ca="1" si="18"/>
        <v>106025.16827997702</v>
      </c>
      <c r="J136" s="153">
        <f t="shared" ca="1" si="18"/>
        <v>108191.18761110348</v>
      </c>
      <c r="K136" s="153">
        <f t="shared" ca="1" si="18"/>
        <v>110715.01961298788</v>
      </c>
      <c r="L136" s="153"/>
      <c r="M136" s="193"/>
    </row>
    <row r="137" spans="3:15">
      <c r="C137" t="s">
        <v>283</v>
      </c>
      <c r="E137" s="153">
        <f t="shared" ref="E137:K137" si="19">E55+E56+E57+E58+E59-E134-E135</f>
        <v>100814</v>
      </c>
      <c r="F137" s="153">
        <f t="shared" si="19"/>
        <v>116866</v>
      </c>
      <c r="G137" s="153">
        <f t="shared" ca="1" si="19"/>
        <v>112809.92564616728</v>
      </c>
      <c r="H137" s="153">
        <f t="shared" ca="1" si="19"/>
        <v>117043.7644719145</v>
      </c>
      <c r="I137" s="153">
        <f t="shared" ca="1" si="19"/>
        <v>121675.45553385213</v>
      </c>
      <c r="J137" s="153">
        <f t="shared" ca="1" si="19"/>
        <v>127176.7121364217</v>
      </c>
      <c r="K137" s="153">
        <f t="shared" ca="1" si="19"/>
        <v>133586.74147670573</v>
      </c>
      <c r="L137" s="153"/>
      <c r="M137" s="193"/>
    </row>
    <row r="138" spans="3:15">
      <c r="M138" s="377"/>
    </row>
    <row r="139" spans="3:15">
      <c r="C139" s="7" t="s">
        <v>29</v>
      </c>
      <c r="D139" s="269"/>
      <c r="E139" s="269"/>
      <c r="F139" s="269"/>
      <c r="G139" s="269"/>
      <c r="H139" s="269"/>
      <c r="I139" s="269"/>
      <c r="J139" s="269"/>
      <c r="K139" s="269"/>
      <c r="M139" s="378"/>
    </row>
    <row r="140" spans="3:15">
      <c r="C140" s="35" t="str">
        <f>C15</f>
        <v xml:space="preserve">Fiscal year  </v>
      </c>
      <c r="D140" s="284">
        <f>D$15</f>
        <v>2016</v>
      </c>
      <c r="E140" s="284">
        <f t="shared" ref="E140:K141" si="20">E15</f>
        <v>2017</v>
      </c>
      <c r="F140" s="284">
        <f t="shared" si="20"/>
        <v>2018</v>
      </c>
      <c r="G140" s="285">
        <f t="shared" si="20"/>
        <v>2019</v>
      </c>
      <c r="H140" s="285">
        <f t="shared" si="20"/>
        <v>2020</v>
      </c>
      <c r="I140" s="285">
        <f t="shared" si="20"/>
        <v>2021</v>
      </c>
      <c r="J140" s="285">
        <f t="shared" si="20"/>
        <v>2022</v>
      </c>
      <c r="K140" s="285">
        <f t="shared" si="20"/>
        <v>2023</v>
      </c>
      <c r="M140" s="379"/>
    </row>
    <row r="141" spans="3:15">
      <c r="C141" s="269" t="str">
        <f>C16</f>
        <v>Fiscal year end date</v>
      </c>
      <c r="D141" s="32">
        <f>D16</f>
        <v>42643</v>
      </c>
      <c r="E141" s="32">
        <f t="shared" si="20"/>
        <v>43008</v>
      </c>
      <c r="F141" s="32">
        <f t="shared" si="20"/>
        <v>43372</v>
      </c>
      <c r="G141" s="32">
        <f t="shared" si="20"/>
        <v>43738</v>
      </c>
      <c r="H141" s="32">
        <f t="shared" si="20"/>
        <v>44104</v>
      </c>
      <c r="I141" s="32">
        <f t="shared" si="20"/>
        <v>44469</v>
      </c>
      <c r="J141" s="32">
        <f t="shared" si="20"/>
        <v>44834</v>
      </c>
      <c r="K141" s="32">
        <f t="shared" si="20"/>
        <v>45199</v>
      </c>
      <c r="M141" s="380"/>
    </row>
    <row r="142" spans="3:15">
      <c r="C142" s="24"/>
      <c r="G142" s="110" t="s">
        <v>116</v>
      </c>
      <c r="H142" s="110"/>
      <c r="I142" s="110"/>
      <c r="J142" s="110"/>
      <c r="K142" s="110"/>
      <c r="M142" s="381"/>
    </row>
    <row r="143" spans="3:15">
      <c r="C143" s="279" t="s">
        <v>27</v>
      </c>
      <c r="G143" s="153">
        <f>F146</f>
        <v>41304</v>
      </c>
      <c r="H143" s="153">
        <f>G146</f>
        <v>54589</v>
      </c>
      <c r="I143" s="153">
        <f>H146</f>
        <v>68238</v>
      </c>
      <c r="J143" s="153">
        <f>I146</f>
        <v>82057</v>
      </c>
      <c r="K143" s="153">
        <f ca="1">J146</f>
        <v>96629.50151892101</v>
      </c>
      <c r="M143" s="193"/>
      <c r="O143" t="s">
        <v>167</v>
      </c>
    </row>
    <row r="144" spans="3:15">
      <c r="C144" s="287" t="s">
        <v>30</v>
      </c>
      <c r="D144" s="3">
        <v>12734</v>
      </c>
      <c r="E144" s="3">
        <v>12451</v>
      </c>
      <c r="F144" s="3">
        <v>13313</v>
      </c>
      <c r="G144" s="3">
        <v>13285</v>
      </c>
      <c r="H144" s="3">
        <v>13649</v>
      </c>
      <c r="I144" s="3">
        <v>13819</v>
      </c>
      <c r="J144" s="3">
        <f ca="1">I144*(1+J37)</f>
        <v>14572.50151892101</v>
      </c>
      <c r="K144" s="3">
        <f t="shared" ref="K144" ca="1" si="21">J144*(1+K37)</f>
        <v>15450.476714983708</v>
      </c>
      <c r="M144" s="200"/>
      <c r="O144" t="s">
        <v>154</v>
      </c>
    </row>
    <row r="145" spans="3:19">
      <c r="C145" s="288" t="s">
        <v>31</v>
      </c>
      <c r="D145" s="95">
        <v>-8300</v>
      </c>
      <c r="E145" s="95">
        <v>-8200</v>
      </c>
      <c r="F145" s="95">
        <v>-9300</v>
      </c>
      <c r="G145" s="158"/>
      <c r="H145" s="158"/>
      <c r="I145" s="158"/>
      <c r="J145" s="158"/>
      <c r="K145" s="158"/>
      <c r="M145" s="356"/>
      <c r="O145" t="s">
        <v>262</v>
      </c>
    </row>
    <row r="146" spans="3:19">
      <c r="C146" s="232" t="s">
        <v>28</v>
      </c>
      <c r="D146" s="52"/>
      <c r="E146" s="52">
        <f>E51</f>
        <v>33783</v>
      </c>
      <c r="F146" s="52">
        <f>F51</f>
        <v>41304</v>
      </c>
      <c r="G146" s="52">
        <f>SUM(G143:G145)</f>
        <v>54589</v>
      </c>
      <c r="H146" s="52">
        <f>SUM(H143:H145)</f>
        <v>68238</v>
      </c>
      <c r="I146" s="52">
        <f>SUM(I143:I145)</f>
        <v>82057</v>
      </c>
      <c r="J146" s="52">
        <f ca="1">SUM(J143:J145)</f>
        <v>96629.50151892101</v>
      </c>
      <c r="K146" s="52">
        <f ca="1">SUM(K143:K145)</f>
        <v>112079.97823390472</v>
      </c>
      <c r="M146" s="194"/>
      <c r="O146" t="s">
        <v>165</v>
      </c>
    </row>
    <row r="147" spans="3:19">
      <c r="C147" s="279"/>
    </row>
    <row r="148" spans="3:19">
      <c r="C148" s="279" t="s">
        <v>123</v>
      </c>
      <c r="D148" s="290">
        <f t="shared" ref="D148:K148" si="22">-(D145/D144)</f>
        <v>0.65179833516569818</v>
      </c>
      <c r="E148" s="290">
        <f t="shared" si="22"/>
        <v>0.6585816400289134</v>
      </c>
      <c r="F148" s="290">
        <f t="shared" si="22"/>
        <v>0.69856531210095396</v>
      </c>
      <c r="G148" s="67">
        <f t="shared" si="22"/>
        <v>0</v>
      </c>
      <c r="H148" s="67">
        <f t="shared" si="22"/>
        <v>0</v>
      </c>
      <c r="I148" s="67">
        <f t="shared" si="22"/>
        <v>0</v>
      </c>
      <c r="J148" s="67">
        <f t="shared" ca="1" si="22"/>
        <v>0</v>
      </c>
      <c r="K148" s="67">
        <f t="shared" ca="1" si="22"/>
        <v>0</v>
      </c>
      <c r="M148" s="383"/>
      <c r="Q148" s="291"/>
      <c r="R148" s="291"/>
      <c r="S148" s="291"/>
    </row>
    <row r="149" spans="3:19">
      <c r="C149" s="279"/>
      <c r="D149" s="290"/>
      <c r="E149" s="290"/>
      <c r="F149" s="290"/>
      <c r="G149" s="67"/>
      <c r="H149" s="67"/>
      <c r="I149" s="67"/>
      <c r="J149" s="67"/>
      <c r="K149" s="67"/>
      <c r="M149" s="383"/>
      <c r="Q149" s="291"/>
      <c r="R149" s="291"/>
      <c r="S149" s="291"/>
    </row>
    <row r="150" spans="3:19">
      <c r="C150" s="361" t="s">
        <v>261</v>
      </c>
      <c r="D150" s="362"/>
      <c r="E150" s="362"/>
      <c r="F150" s="362"/>
      <c r="G150" s="363"/>
      <c r="H150" s="363"/>
      <c r="I150" s="363"/>
      <c r="J150" s="363"/>
      <c r="K150" s="363"/>
      <c r="M150" s="189"/>
      <c r="Q150" s="291"/>
      <c r="R150" s="291"/>
      <c r="S150" s="291"/>
    </row>
    <row r="151" spans="3:19">
      <c r="C151" s="217" t="s">
        <v>252</v>
      </c>
      <c r="D151" s="217"/>
      <c r="E151" s="217"/>
      <c r="F151" s="217"/>
      <c r="G151" s="27"/>
      <c r="H151" s="27"/>
      <c r="I151" s="27"/>
      <c r="J151" s="27"/>
      <c r="K151" s="27"/>
      <c r="M151" s="189"/>
      <c r="Q151" s="291"/>
      <c r="R151" s="291"/>
      <c r="S151" s="291"/>
    </row>
    <row r="152" spans="3:19">
      <c r="C152" s="278" t="s">
        <v>253</v>
      </c>
      <c r="E152" s="91"/>
      <c r="F152" s="91"/>
      <c r="G152" s="67" t="s">
        <v>263</v>
      </c>
      <c r="H152" s="67"/>
      <c r="I152" s="67"/>
      <c r="J152" s="67"/>
      <c r="K152" s="67"/>
      <c r="M152" s="383"/>
      <c r="Q152" s="291"/>
      <c r="R152" s="291"/>
      <c r="S152" s="291"/>
    </row>
    <row r="153" spans="3:19">
      <c r="C153" s="278" t="s">
        <v>254</v>
      </c>
      <c r="E153" s="91"/>
      <c r="F153" s="91"/>
      <c r="G153" s="67" t="s">
        <v>263</v>
      </c>
      <c r="H153" s="67"/>
      <c r="I153" s="67"/>
      <c r="J153" s="67"/>
      <c r="K153" s="67"/>
      <c r="M153" s="383"/>
      <c r="Q153" s="291"/>
      <c r="R153" s="291"/>
      <c r="S153" s="291"/>
    </row>
    <row r="154" spans="3:19">
      <c r="C154" s="278" t="s">
        <v>255</v>
      </c>
      <c r="E154" s="337"/>
      <c r="F154" s="337"/>
      <c r="G154" s="67"/>
      <c r="H154" s="67"/>
      <c r="I154" s="67"/>
      <c r="J154" s="67"/>
      <c r="K154" s="67"/>
      <c r="M154" s="383"/>
      <c r="Q154" s="291"/>
      <c r="R154" s="291"/>
      <c r="S154" s="291"/>
    </row>
    <row r="155" spans="3:19">
      <c r="C155" s="278" t="s">
        <v>256</v>
      </c>
      <c r="E155" s="337"/>
      <c r="F155" s="337"/>
      <c r="G155" s="67"/>
      <c r="H155" s="67"/>
      <c r="I155" s="67"/>
      <c r="J155" s="67"/>
      <c r="K155" s="67"/>
      <c r="M155" s="383"/>
      <c r="Q155" s="291"/>
      <c r="R155" s="291"/>
      <c r="S155" s="291"/>
    </row>
    <row r="156" spans="3:19">
      <c r="C156" s="279"/>
      <c r="D156" s="290"/>
      <c r="M156" s="383"/>
      <c r="Q156" s="291"/>
      <c r="R156" s="291"/>
      <c r="S156" s="291"/>
    </row>
    <row r="157" spans="3:19">
      <c r="C157" t="s">
        <v>257</v>
      </c>
      <c r="D157" s="365">
        <f>IF(D158,D158,-ROUND((F152-F153)/F145,0))</f>
        <v>0</v>
      </c>
      <c r="G157" s="153"/>
      <c r="H157" s="33"/>
      <c r="I157" s="365"/>
      <c r="J157" s="33"/>
      <c r="K157" s="33"/>
      <c r="M157" s="383"/>
      <c r="Q157" s="291"/>
      <c r="R157" s="291"/>
      <c r="S157" s="291"/>
    </row>
    <row r="158" spans="3:19">
      <c r="C158" t="s">
        <v>264</v>
      </c>
      <c r="D158" s="364"/>
      <c r="H158" s="67"/>
      <c r="I158" s="67"/>
      <c r="J158" s="67"/>
      <c r="K158" s="67"/>
      <c r="M158" s="383"/>
      <c r="Q158" s="291"/>
      <c r="R158" s="291"/>
      <c r="S158" s="291"/>
    </row>
    <row r="159" spans="3:19">
      <c r="D159" s="290"/>
      <c r="E159" s="290"/>
      <c r="F159" s="290"/>
      <c r="G159" s="67"/>
      <c r="H159" s="67"/>
      <c r="I159" s="67"/>
      <c r="J159" s="67"/>
      <c r="K159" s="67"/>
      <c r="M159" s="383"/>
      <c r="Q159" s="291"/>
      <c r="R159" s="291"/>
      <c r="S159" s="291"/>
    </row>
    <row r="160" spans="3:19">
      <c r="C160" t="s">
        <v>318</v>
      </c>
      <c r="D160" s="290"/>
      <c r="E160" s="358" t="s">
        <v>260</v>
      </c>
      <c r="F160" s="290"/>
      <c r="G160" s="337"/>
      <c r="H160" s="337"/>
      <c r="I160" s="337"/>
      <c r="J160" s="337"/>
      <c r="K160" s="337"/>
      <c r="M160" s="384"/>
      <c r="Q160" s="291"/>
      <c r="R160" s="291"/>
      <c r="S160" s="291"/>
    </row>
    <row r="161" spans="3:19">
      <c r="C161" t="str">
        <f>"Depreciation from capex purchased in "&amp;G140</f>
        <v>Depreciation from capex purchased in 2019</v>
      </c>
      <c r="D161" s="290"/>
      <c r="E161" s="349">
        <v>1</v>
      </c>
      <c r="F161" s="290"/>
      <c r="G161" s="337"/>
      <c r="H161" s="337"/>
      <c r="I161" s="337"/>
      <c r="J161" s="337"/>
      <c r="K161" s="337"/>
      <c r="M161" s="384"/>
      <c r="Q161" s="291"/>
      <c r="R161" s="291"/>
      <c r="S161" s="291"/>
    </row>
    <row r="162" spans="3:19">
      <c r="C162" t="str">
        <f>"Depreciation from capex purchased in "&amp;H140</f>
        <v>Depreciation from capex purchased in 2020</v>
      </c>
      <c r="D162" s="290"/>
      <c r="E162" s="290"/>
      <c r="F162" s="290"/>
      <c r="G162" s="145"/>
      <c r="H162" s="337"/>
      <c r="I162" s="337"/>
      <c r="J162" s="337"/>
      <c r="K162" s="337"/>
      <c r="M162" s="384"/>
      <c r="Q162" s="291"/>
      <c r="R162" s="291"/>
      <c r="S162" s="291"/>
    </row>
    <row r="163" spans="3:19">
      <c r="C163" t="str">
        <f>"Depreciation from capex purchased in "&amp;I140</f>
        <v>Depreciation from capex purchased in 2021</v>
      </c>
      <c r="D163" s="290"/>
      <c r="E163" s="290"/>
      <c r="F163" s="290"/>
      <c r="G163" s="145"/>
      <c r="H163" s="145"/>
      <c r="I163" s="337"/>
      <c r="J163" s="369"/>
      <c r="K163" s="369"/>
      <c r="M163" s="385"/>
      <c r="Q163" s="291"/>
      <c r="R163" s="291"/>
      <c r="S163" s="291"/>
    </row>
    <row r="164" spans="3:19">
      <c r="C164" t="str">
        <f>"Depreciation from capex purchased in "&amp;J140</f>
        <v>Depreciation from capex purchased in 2022</v>
      </c>
      <c r="D164" s="290"/>
      <c r="E164" s="290"/>
      <c r="F164" s="290"/>
      <c r="G164" s="145"/>
      <c r="H164" s="145"/>
      <c r="I164" s="145"/>
      <c r="J164" s="337"/>
      <c r="K164" s="151"/>
      <c r="M164" s="193"/>
      <c r="Q164" s="291"/>
      <c r="R164" s="291"/>
      <c r="S164" s="291"/>
    </row>
    <row r="165" spans="3:19">
      <c r="C165" t="str">
        <f>"Depreciation from capex purchased in "&amp;K140</f>
        <v>Depreciation from capex purchased in 2023</v>
      </c>
      <c r="D165" s="290"/>
      <c r="E165" s="290"/>
      <c r="F165" s="290"/>
      <c r="G165" s="145"/>
      <c r="H165" s="145"/>
      <c r="I165" s="145"/>
      <c r="J165" s="145"/>
      <c r="K165" s="337"/>
      <c r="M165" s="384"/>
      <c r="Q165" s="291"/>
      <c r="R165" s="291"/>
      <c r="S165" s="291"/>
    </row>
    <row r="166" spans="3:19">
      <c r="C166" s="24" t="s">
        <v>259</v>
      </c>
      <c r="D166" s="290"/>
      <c r="E166" s="290"/>
      <c r="F166" s="290"/>
      <c r="G166" s="147"/>
      <c r="H166" s="147"/>
      <c r="I166" s="147"/>
      <c r="J166" s="147"/>
      <c r="K166" s="147"/>
      <c r="M166" s="194"/>
      <c r="Q166" s="291"/>
      <c r="R166" s="291"/>
      <c r="S166" s="291"/>
    </row>
    <row r="167" spans="3:19">
      <c r="C167" s="279"/>
      <c r="D167" s="290"/>
      <c r="E167" s="290"/>
      <c r="F167" s="290"/>
      <c r="G167" s="67"/>
      <c r="H167" s="67"/>
      <c r="I167" s="67"/>
      <c r="J167" s="67"/>
      <c r="K167" s="67"/>
      <c r="M167" s="383"/>
      <c r="Q167" s="291"/>
      <c r="R167" s="291"/>
      <c r="S167" s="291"/>
    </row>
    <row r="168" spans="3:19">
      <c r="C168" s="128" t="s">
        <v>130</v>
      </c>
      <c r="D168" s="292"/>
      <c r="E168" s="292"/>
      <c r="F168" s="292"/>
      <c r="G168" s="129"/>
      <c r="H168" s="129"/>
      <c r="I168" s="129"/>
      <c r="J168" s="129"/>
      <c r="K168" s="129"/>
      <c r="M168" s="189"/>
      <c r="Q168" s="291"/>
      <c r="R168" s="291"/>
      <c r="S168" s="291"/>
    </row>
    <row r="169" spans="3:19">
      <c r="C169" s="279" t="s">
        <v>156</v>
      </c>
      <c r="D169" s="153">
        <f>D171+D145</f>
        <v>2205</v>
      </c>
      <c r="E169" s="153">
        <f>E171+E145</f>
        <v>1957</v>
      </c>
      <c r="F169" s="153">
        <f>F171+F145</f>
        <v>1603</v>
      </c>
      <c r="G169" s="33">
        <f ca="1">G170*G18</f>
        <v>1526.9253644274177</v>
      </c>
      <c r="H169" s="33">
        <f ca="1">H170*H18</f>
        <v>1601.6829574073306</v>
      </c>
      <c r="I169" s="33">
        <f ca="1">I170*I18</f>
        <v>1680.3314796496511</v>
      </c>
      <c r="J169" s="33">
        <f ca="1">J170*J18</f>
        <v>1771.9540516307495</v>
      </c>
      <c r="K169" s="33">
        <f ca="1">K170*K18</f>
        <v>1878.7120920313373</v>
      </c>
      <c r="M169" s="384"/>
      <c r="O169" t="s">
        <v>238</v>
      </c>
      <c r="Q169" s="291"/>
      <c r="R169" s="291"/>
      <c r="S169" s="291"/>
    </row>
    <row r="170" spans="3:19">
      <c r="C170" s="278" t="s">
        <v>157</v>
      </c>
      <c r="D170" s="224">
        <f>D169/D18</f>
        <v>1.0225423044996499E-2</v>
      </c>
      <c r="E170" s="224">
        <f>E169/E18</f>
        <v>8.537128000209393E-3</v>
      </c>
      <c r="F170" s="224">
        <f>F169/F18</f>
        <v>6.0355051864681188E-3</v>
      </c>
      <c r="G170" s="67">
        <f>F170</f>
        <v>6.0355051864681188E-3</v>
      </c>
      <c r="H170" s="67">
        <f>G170</f>
        <v>6.0355051864681188E-3</v>
      </c>
      <c r="I170" s="67">
        <f>H170</f>
        <v>6.0355051864681188E-3</v>
      </c>
      <c r="J170" s="67">
        <f>I170</f>
        <v>6.0355051864681188E-3</v>
      </c>
      <c r="K170" s="67">
        <f>J170</f>
        <v>6.0355051864681188E-3</v>
      </c>
      <c r="M170" s="383"/>
      <c r="O170" t="s">
        <v>158</v>
      </c>
    </row>
    <row r="171" spans="3:19">
      <c r="C171" s="280" t="s">
        <v>110</v>
      </c>
      <c r="D171" s="52">
        <f>D31</f>
        <v>10505</v>
      </c>
      <c r="E171" s="52">
        <f>E31</f>
        <v>10157</v>
      </c>
      <c r="F171" s="52">
        <f>F31</f>
        <v>10903</v>
      </c>
      <c r="G171" s="69">
        <f ca="1">-G145+G169</f>
        <v>1526.9253644274177</v>
      </c>
      <c r="H171" s="69">
        <f ca="1">-H145+H169</f>
        <v>1601.6829574073306</v>
      </c>
      <c r="I171" s="69">
        <f ca="1">-I145+I169</f>
        <v>1680.3314796496511</v>
      </c>
      <c r="J171" s="69">
        <f ca="1">-J145+J169</f>
        <v>1771.9540516307495</v>
      </c>
      <c r="K171" s="69">
        <f ca="1">-K145+K169</f>
        <v>1878.7120920313373</v>
      </c>
      <c r="M171" s="186"/>
      <c r="O171" t="s">
        <v>160</v>
      </c>
    </row>
    <row r="172" spans="3:19">
      <c r="C172" s="279"/>
      <c r="D172" s="153"/>
      <c r="E172" s="153"/>
      <c r="F172" s="153"/>
      <c r="H172" s="153"/>
      <c r="I172" s="153"/>
      <c r="J172" s="153"/>
      <c r="K172" s="153"/>
      <c r="M172" s="193"/>
    </row>
    <row r="173" spans="3:19">
      <c r="C173" s="70" t="s">
        <v>129</v>
      </c>
      <c r="D173" s="269"/>
      <c r="E173" s="269"/>
      <c r="F173" s="269"/>
      <c r="H173" s="153"/>
      <c r="I173" s="153"/>
      <c r="J173" s="153"/>
      <c r="K173" s="153"/>
      <c r="M173" s="193"/>
    </row>
    <row r="174" spans="3:19">
      <c r="C174" s="279" t="s">
        <v>27</v>
      </c>
      <c r="D174" s="153"/>
      <c r="G174" s="293">
        <f>F177</f>
        <v>22283</v>
      </c>
      <c r="H174" s="293">
        <f ca="1">G177</f>
        <v>21225.500870577758</v>
      </c>
      <c r="I174" s="293">
        <f ca="1">H177</f>
        <v>22264.692039867467</v>
      </c>
      <c r="J174" s="293">
        <f ca="1">I177</f>
        <v>23357.970281368172</v>
      </c>
      <c r="K174" s="293">
        <f ca="1">J177</f>
        <v>24631.59833592514</v>
      </c>
      <c r="M174" s="63"/>
      <c r="O174" t="s">
        <v>167</v>
      </c>
    </row>
    <row r="175" spans="3:19">
      <c r="C175" s="278" t="s">
        <v>124</v>
      </c>
      <c r="G175" s="153">
        <f ca="1">-(G169)</f>
        <v>-1526.9253644274177</v>
      </c>
      <c r="H175" s="153">
        <f ca="1">-(H169)</f>
        <v>-1601.6829574073306</v>
      </c>
      <c r="I175" s="153">
        <f ca="1">-(I169)</f>
        <v>-1680.3314796496511</v>
      </c>
      <c r="J175" s="153">
        <f ca="1">-(J169)</f>
        <v>-1771.9540516307495</v>
      </c>
      <c r="K175" s="153">
        <f ca="1">-(K169)</f>
        <v>-1878.7120920313373</v>
      </c>
      <c r="M175" s="193"/>
      <c r="O175" t="s">
        <v>162</v>
      </c>
    </row>
    <row r="176" spans="3:19" ht="15" customHeight="1">
      <c r="C176" s="294" t="s">
        <v>125</v>
      </c>
      <c r="D176" s="295"/>
      <c r="E176" s="295"/>
      <c r="F176" s="295"/>
      <c r="G176" s="296">
        <f ca="1">G177-G175-G174</f>
        <v>469.42623500517584</v>
      </c>
      <c r="H176" s="296">
        <f ca="1">H177-H175-H174</f>
        <v>2640.8741266970392</v>
      </c>
      <c r="I176" s="296">
        <f ca="1">I177-I175-I174</f>
        <v>2773.6097211503584</v>
      </c>
      <c r="J176" s="296">
        <f ca="1">J177-J175-J174</f>
        <v>3045.5821061877177</v>
      </c>
      <c r="K176" s="296">
        <f ca="1">K177-K175-K174</f>
        <v>3362.7354321725143</v>
      </c>
      <c r="M176" s="63"/>
      <c r="O176" t="s">
        <v>168</v>
      </c>
    </row>
    <row r="177" spans="3:19">
      <c r="C177" s="232" t="s">
        <v>28</v>
      </c>
      <c r="E177" s="52">
        <f t="shared" ref="E177:K177" si="23">E52</f>
        <v>18177</v>
      </c>
      <c r="F177" s="52">
        <f t="shared" si="23"/>
        <v>22283</v>
      </c>
      <c r="G177" s="52">
        <f t="shared" ca="1" si="23"/>
        <v>21225.500870577758</v>
      </c>
      <c r="H177" s="52">
        <f t="shared" ca="1" si="23"/>
        <v>22264.692039867467</v>
      </c>
      <c r="I177" s="52">
        <f t="shared" ca="1" si="23"/>
        <v>23357.970281368172</v>
      </c>
      <c r="J177" s="52">
        <f t="shared" ca="1" si="23"/>
        <v>24631.59833592514</v>
      </c>
      <c r="K177" s="52">
        <f t="shared" ca="1" si="23"/>
        <v>26115.621676066316</v>
      </c>
      <c r="M177" s="194"/>
      <c r="O177" t="s">
        <v>169</v>
      </c>
    </row>
    <row r="178" spans="3:19">
      <c r="C178" s="278"/>
      <c r="E178" s="153"/>
      <c r="F178" s="153"/>
      <c r="H178" s="153"/>
      <c r="I178" s="153"/>
      <c r="J178" s="153"/>
      <c r="K178" s="153"/>
      <c r="M178" s="193"/>
    </row>
    <row r="179" spans="3:19">
      <c r="C179" s="74" t="s">
        <v>75</v>
      </c>
      <c r="D179" s="70"/>
      <c r="E179" s="70"/>
      <c r="F179" s="70"/>
      <c r="G179" s="269"/>
      <c r="H179" s="269"/>
      <c r="I179" s="269"/>
      <c r="J179" s="269"/>
      <c r="K179" s="269"/>
      <c r="M179" s="378"/>
    </row>
    <row r="180" spans="3:19">
      <c r="C180" s="279" t="s">
        <v>27</v>
      </c>
      <c r="G180" s="153">
        <f>F184</f>
        <v>70400</v>
      </c>
      <c r="H180" s="153">
        <f ca="1">G184</f>
        <v>37510.813510234366</v>
      </c>
      <c r="I180" s="153">
        <f ca="1">H184</f>
        <v>7336.1880240101891</v>
      </c>
      <c r="J180" s="153">
        <f ca="1">I184</f>
        <v>-21015.390599891187</v>
      </c>
      <c r="K180" s="153">
        <f ca="1">J184</f>
        <v>-47390.158442879983</v>
      </c>
      <c r="M180" s="193"/>
      <c r="O180" t="s">
        <v>167</v>
      </c>
    </row>
    <row r="181" spans="3:19">
      <c r="C181" s="278" t="s">
        <v>62</v>
      </c>
      <c r="D181" s="33">
        <f t="shared" ref="D181:K181" si="24">D29</f>
        <v>45687</v>
      </c>
      <c r="E181" s="33">
        <f t="shared" si="24"/>
        <v>48351</v>
      </c>
      <c r="F181" s="33">
        <f t="shared" si="24"/>
        <v>59531</v>
      </c>
      <c r="G181" s="153">
        <f t="shared" ca="1" si="24"/>
        <v>52213.524654506109</v>
      </c>
      <c r="H181" s="153">
        <f t="shared" ca="1" si="24"/>
        <v>55742.228713852484</v>
      </c>
      <c r="I181" s="153">
        <f t="shared" ca="1" si="24"/>
        <v>58112.038364497494</v>
      </c>
      <c r="J181" s="153">
        <f t="shared" ca="1" si="24"/>
        <v>60681.728350489873</v>
      </c>
      <c r="K181" s="153">
        <f t="shared" ca="1" si="24"/>
        <v>63813.673137135847</v>
      </c>
      <c r="M181" s="193"/>
      <c r="O181" t="s">
        <v>101</v>
      </c>
    </row>
    <row r="182" spans="3:19">
      <c r="C182" s="278" t="s">
        <v>63</v>
      </c>
      <c r="D182" s="3">
        <v>-12188</v>
      </c>
      <c r="E182" s="3">
        <v>-12803</v>
      </c>
      <c r="F182" s="3">
        <v>-13735</v>
      </c>
      <c r="G182" s="151">
        <f ca="1">-(G186*G181)</f>
        <v>-12046.711144271749</v>
      </c>
      <c r="H182" s="151">
        <f ca="1">-(H186*H181)</f>
        <v>-12860.854200076665</v>
      </c>
      <c r="I182" s="151">
        <f ca="1">-(I186*I181)</f>
        <v>-13407.61698839887</v>
      </c>
      <c r="J182" s="151">
        <f ca="1">-(J186*J181)</f>
        <v>-14000.496193478666</v>
      </c>
      <c r="K182" s="151">
        <f ca="1">-(K186*K181)</f>
        <v>-14723.09889870086</v>
      </c>
      <c r="M182" s="193"/>
      <c r="O182" t="s">
        <v>267</v>
      </c>
    </row>
    <row r="183" spans="3:19">
      <c r="C183" s="294" t="s">
        <v>64</v>
      </c>
      <c r="D183" s="95">
        <v>-29000</v>
      </c>
      <c r="E183" s="95">
        <v>-33001</v>
      </c>
      <c r="F183" s="95">
        <v>-73056</v>
      </c>
      <c r="G183" s="289">
        <f>F183</f>
        <v>-73056</v>
      </c>
      <c r="H183" s="289">
        <f>G183</f>
        <v>-73056</v>
      </c>
      <c r="I183" s="289">
        <f>H183</f>
        <v>-73056</v>
      </c>
      <c r="J183" s="289">
        <f>I183</f>
        <v>-73056</v>
      </c>
      <c r="K183" s="289">
        <f>J183</f>
        <v>-73056</v>
      </c>
      <c r="M183" s="356"/>
      <c r="O183" t="s">
        <v>236</v>
      </c>
    </row>
    <row r="184" spans="3:19">
      <c r="C184" s="232" t="s">
        <v>28</v>
      </c>
      <c r="D184" s="69">
        <f>D64</f>
        <v>0</v>
      </c>
      <c r="E184" s="69">
        <f>E64</f>
        <v>98330</v>
      </c>
      <c r="F184" s="69">
        <f>F64</f>
        <v>70400</v>
      </c>
      <c r="G184" s="52">
        <f ca="1">SUM(G180:G183)</f>
        <v>37510.813510234366</v>
      </c>
      <c r="H184" s="52">
        <f ca="1">SUM(H180:H183)</f>
        <v>7336.1880240101891</v>
      </c>
      <c r="I184" s="52">
        <f ca="1">SUM(I180:I183)</f>
        <v>-21015.390599891187</v>
      </c>
      <c r="J184" s="52">
        <f ca="1">SUM(J180:J183)</f>
        <v>-47390.158442879983</v>
      </c>
      <c r="K184" s="52">
        <f ca="1">SUM(K180:K183)</f>
        <v>-71355.584204444996</v>
      </c>
      <c r="M184" s="194"/>
      <c r="O184" t="s">
        <v>164</v>
      </c>
    </row>
    <row r="185" spans="3:19">
      <c r="E185" s="62"/>
      <c r="F185" s="62"/>
    </row>
    <row r="186" spans="3:19">
      <c r="C186" s="366" t="s">
        <v>265</v>
      </c>
      <c r="D186" s="224">
        <f>-(D182/D181)</f>
        <v>0.26677172937597127</v>
      </c>
      <c r="E186" s="224">
        <f>-(E182/E181)</f>
        <v>0.2647928688134682</v>
      </c>
      <c r="F186" s="224">
        <f>-(F182/F181)</f>
        <v>0.23072012900841579</v>
      </c>
      <c r="G186" s="367">
        <f>F186</f>
        <v>0.23072012900841579</v>
      </c>
      <c r="H186" s="367">
        <f>G186</f>
        <v>0.23072012900841579</v>
      </c>
      <c r="I186" s="367">
        <f>H186</f>
        <v>0.23072012900841579</v>
      </c>
      <c r="J186" s="367">
        <f>I186</f>
        <v>0.23072012900841579</v>
      </c>
      <c r="K186" s="367">
        <f>J186</f>
        <v>0.23072012900841579</v>
      </c>
      <c r="M186" s="386"/>
      <c r="O186" t="s">
        <v>268</v>
      </c>
    </row>
    <row r="187" spans="3:19">
      <c r="E187" s="62"/>
      <c r="F187" s="62"/>
    </row>
    <row r="188" spans="3:19">
      <c r="C188" s="7" t="s">
        <v>131</v>
      </c>
      <c r="D188" s="269"/>
      <c r="E188" s="269"/>
      <c r="F188" s="269"/>
      <c r="G188" s="269"/>
      <c r="H188" s="269"/>
      <c r="I188" s="269"/>
      <c r="J188" s="269"/>
      <c r="K188" s="269"/>
      <c r="M188" s="378"/>
      <c r="Q188" s="291"/>
      <c r="R188" s="291"/>
    </row>
    <row r="189" spans="3:19">
      <c r="C189" s="35" t="str">
        <f t="shared" ref="C189:K189" si="25">C15</f>
        <v xml:space="preserve">Fiscal year  </v>
      </c>
      <c r="D189" s="284">
        <f t="shared" si="25"/>
        <v>2016</v>
      </c>
      <c r="E189" s="284">
        <f t="shared" si="25"/>
        <v>2017</v>
      </c>
      <c r="F189" s="284">
        <f t="shared" si="25"/>
        <v>2018</v>
      </c>
      <c r="G189" s="285">
        <f t="shared" si="25"/>
        <v>2019</v>
      </c>
      <c r="H189" s="285">
        <f t="shared" si="25"/>
        <v>2020</v>
      </c>
      <c r="I189" s="285">
        <f t="shared" si="25"/>
        <v>2021</v>
      </c>
      <c r="J189" s="285">
        <f t="shared" si="25"/>
        <v>2022</v>
      </c>
      <c r="K189" s="285">
        <f t="shared" si="25"/>
        <v>2023</v>
      </c>
      <c r="M189" s="379"/>
      <c r="Q189" s="291"/>
      <c r="R189" s="291"/>
    </row>
    <row r="190" spans="3:19">
      <c r="C190" s="269" t="str">
        <f t="shared" ref="C190:K190" si="26">C16</f>
        <v>Fiscal year end date</v>
      </c>
      <c r="D190" s="32">
        <f t="shared" si="26"/>
        <v>42643</v>
      </c>
      <c r="E190" s="32">
        <f t="shared" si="26"/>
        <v>43008</v>
      </c>
      <c r="F190" s="32">
        <f t="shared" si="26"/>
        <v>43372</v>
      </c>
      <c r="G190" s="32">
        <f t="shared" si="26"/>
        <v>43738</v>
      </c>
      <c r="H190" s="32">
        <f t="shared" si="26"/>
        <v>44104</v>
      </c>
      <c r="I190" s="32">
        <f t="shared" si="26"/>
        <v>44469</v>
      </c>
      <c r="J190" s="32">
        <f t="shared" si="26"/>
        <v>44834</v>
      </c>
      <c r="K190" s="32">
        <f t="shared" si="26"/>
        <v>45199</v>
      </c>
      <c r="M190" s="380"/>
      <c r="Q190" s="291"/>
      <c r="R190" s="291"/>
    </row>
    <row r="191" spans="3:19">
      <c r="C191" s="24"/>
      <c r="Q191" s="291"/>
      <c r="R191" s="291"/>
    </row>
    <row r="192" spans="3:19">
      <c r="C192" s="25" t="s">
        <v>39</v>
      </c>
      <c r="Q192" s="291"/>
      <c r="R192" s="291"/>
      <c r="S192" s="291"/>
    </row>
    <row r="193" spans="3:21">
      <c r="C193" s="278" t="s">
        <v>45</v>
      </c>
      <c r="G193" s="153">
        <f>F46</f>
        <v>237100</v>
      </c>
      <c r="H193" s="153">
        <f ca="1">G46</f>
        <v>219677.39364754269</v>
      </c>
      <c r="I193" s="153">
        <f ca="1">H46</f>
        <v>184854.16646492865</v>
      </c>
      <c r="J193" s="153">
        <f ca="1">I46</f>
        <v>152314.21891102998</v>
      </c>
      <c r="K193" s="153">
        <f ca="1">J46</f>
        <v>122073.60603465598</v>
      </c>
      <c r="M193" s="193"/>
      <c r="O193" t="s">
        <v>172</v>
      </c>
      <c r="Q193" s="291"/>
      <c r="R193" s="291"/>
    </row>
    <row r="194" spans="3:21">
      <c r="C194" s="278" t="s">
        <v>69</v>
      </c>
      <c r="G194" s="3">
        <v>-50000</v>
      </c>
      <c r="H194" s="3">
        <v>-50000</v>
      </c>
      <c r="I194" s="3">
        <v>-50000</v>
      </c>
      <c r="J194" s="3">
        <v>-50000</v>
      </c>
      <c r="K194" s="3">
        <v>-50000</v>
      </c>
      <c r="M194" s="200"/>
      <c r="O194" t="s">
        <v>126</v>
      </c>
      <c r="Q194" s="291"/>
      <c r="R194" s="291"/>
    </row>
    <row r="195" spans="3:21">
      <c r="C195" s="294" t="s">
        <v>40</v>
      </c>
      <c r="D195" s="295"/>
      <c r="E195" s="295"/>
      <c r="F195" s="295"/>
      <c r="G195" s="289">
        <f ca="1">SUM(G81,G84,G86,G88,G89)</f>
        <v>-17458.606352457318</v>
      </c>
      <c r="H195" s="289">
        <f ca="1">SUM(H81,H84,H86,H88,H89)</f>
        <v>-34823.227182614035</v>
      </c>
      <c r="I195" s="289">
        <f ca="1">SUM(I81,I84,I86,I88,I89)</f>
        <v>-32539.947553898681</v>
      </c>
      <c r="J195" s="289">
        <f ca="1">SUM(J81,J84,J86,J88,J89)</f>
        <v>-30240.612876373994</v>
      </c>
      <c r="K195" s="289">
        <f ca="1">SUM(K81,K84,K86,K88,K89)</f>
        <v>-27560.045960669369</v>
      </c>
      <c r="M195" s="356"/>
      <c r="O195" t="s">
        <v>174</v>
      </c>
    </row>
    <row r="196" spans="3:21">
      <c r="C196" s="232" t="s">
        <v>102</v>
      </c>
      <c r="G196" s="52">
        <f ca="1">SUM(G193:G195)</f>
        <v>169641.39364754269</v>
      </c>
      <c r="H196" s="52">
        <f ca="1">SUM(H193:H195)</f>
        <v>134854.16646492865</v>
      </c>
      <c r="I196" s="52">
        <f ca="1">SUM(I193:I195)</f>
        <v>102314.21891102998</v>
      </c>
      <c r="J196" s="52">
        <f ca="1">SUM(J193:J195)</f>
        <v>72073.606034655983</v>
      </c>
      <c r="K196" s="52">
        <f ca="1">SUM(K193:K195)</f>
        <v>44513.560073986613</v>
      </c>
      <c r="M196" s="194"/>
    </row>
    <row r="198" spans="3:21">
      <c r="C198" s="24" t="s">
        <v>113</v>
      </c>
    </row>
    <row r="199" spans="3:21">
      <c r="C199" s="278" t="s">
        <v>27</v>
      </c>
      <c r="G199" s="153">
        <f>F202</f>
        <v>11964</v>
      </c>
      <c r="H199" s="153">
        <f ca="1">G202</f>
        <v>12000</v>
      </c>
      <c r="I199" s="153">
        <f ca="1">H202</f>
        <v>12000</v>
      </c>
      <c r="J199" s="153">
        <f ca="1">I202</f>
        <v>12000</v>
      </c>
      <c r="K199" s="153">
        <f ca="1">J202</f>
        <v>12000</v>
      </c>
      <c r="M199" s="193"/>
      <c r="O199" t="s">
        <v>167</v>
      </c>
    </row>
    <row r="200" spans="3:21">
      <c r="C200" s="287" t="s">
        <v>176</v>
      </c>
      <c r="G200" s="153">
        <f ca="1">-MIN(G196,G199)</f>
        <v>-11964</v>
      </c>
      <c r="H200" s="153">
        <f ca="1">-MIN(H196,H199)</f>
        <v>-12000</v>
      </c>
      <c r="I200" s="153">
        <f ca="1">-MIN(I196,I199)</f>
        <v>-12000</v>
      </c>
      <c r="J200" s="153">
        <f ca="1">-MIN(J196,J199)</f>
        <v>-12000</v>
      </c>
      <c r="K200" s="153">
        <f ca="1">-MIN(K196,K199)</f>
        <v>-12000</v>
      </c>
      <c r="M200" s="193"/>
      <c r="O200" t="s">
        <v>175</v>
      </c>
    </row>
    <row r="201" spans="3:21">
      <c r="C201" s="288" t="s">
        <v>128</v>
      </c>
      <c r="D201" s="295"/>
      <c r="E201" s="295"/>
      <c r="F201" s="295"/>
      <c r="G201" s="95">
        <v>12000</v>
      </c>
      <c r="H201" s="95">
        <v>12000</v>
      </c>
      <c r="I201" s="95">
        <v>12000</v>
      </c>
      <c r="J201" s="95">
        <v>12000</v>
      </c>
      <c r="K201" s="95">
        <v>12000</v>
      </c>
      <c r="M201" s="17"/>
      <c r="O201" t="s">
        <v>126</v>
      </c>
    </row>
    <row r="202" spans="3:21">
      <c r="C202" s="278" t="s">
        <v>28</v>
      </c>
      <c r="D202" s="289">
        <f>D58</f>
        <v>0</v>
      </c>
      <c r="E202" s="289">
        <f>E58</f>
        <v>11977</v>
      </c>
      <c r="F202" s="289">
        <f>F58</f>
        <v>11964</v>
      </c>
      <c r="G202" s="160">
        <f ca="1">SUM(G199:G201)</f>
        <v>12000</v>
      </c>
      <c r="H202" s="160">
        <f ca="1">SUM(H199:H201)</f>
        <v>12000</v>
      </c>
      <c r="I202" s="160">
        <f ca="1">SUM(I199:I201)</f>
        <v>12000</v>
      </c>
      <c r="J202" s="160">
        <f ca="1">SUM(J199:J201)</f>
        <v>12000</v>
      </c>
      <c r="K202" s="160">
        <f ca="1">SUM(K199:K201)</f>
        <v>12000</v>
      </c>
      <c r="M202" s="162"/>
    </row>
    <row r="203" spans="3:21">
      <c r="C203" s="117" t="s">
        <v>119</v>
      </c>
      <c r="D203" s="297"/>
      <c r="E203" s="297"/>
      <c r="F203" s="298"/>
      <c r="G203" s="118" t="str">
        <f ca="1">IF(G202&lt;0,"Negative Debt","OK")</f>
        <v>OK</v>
      </c>
      <c r="H203" s="118" t="str">
        <f ca="1">IF(H202&lt;0,"Negative Debt","OK")</f>
        <v>OK</v>
      </c>
      <c r="I203" s="118" t="str">
        <f ca="1">IF(I202&lt;0,"Negative Debt","OK")</f>
        <v>OK</v>
      </c>
      <c r="J203" s="118" t="str">
        <f ca="1">IF(J202&lt;0,"Negative Debt","OK")</f>
        <v>OK</v>
      </c>
      <c r="K203" s="119" t="str">
        <f ca="1">IF(K202&lt;0,"Negative Debt","OK")</f>
        <v>OK</v>
      </c>
      <c r="M203" s="205"/>
      <c r="U203" s="62"/>
    </row>
    <row r="204" spans="3:21">
      <c r="D204" s="153"/>
      <c r="E204" s="153"/>
      <c r="F204" s="299"/>
      <c r="G204" s="300"/>
      <c r="H204" s="300"/>
      <c r="I204" s="300"/>
      <c r="J204" s="300"/>
      <c r="K204" s="300"/>
      <c r="M204" s="387"/>
      <c r="U204" s="62"/>
    </row>
    <row r="205" spans="3:21">
      <c r="C205" s="7" t="s">
        <v>43</v>
      </c>
      <c r="D205" s="292"/>
      <c r="E205" s="292"/>
      <c r="F205" s="292"/>
      <c r="G205" s="49"/>
      <c r="H205" s="49"/>
      <c r="I205" s="49"/>
      <c r="J205" s="49"/>
      <c r="K205" s="49"/>
      <c r="M205" s="388"/>
      <c r="T205" s="99"/>
    </row>
    <row r="206" spans="3:21">
      <c r="C206" s="35" t="str">
        <f t="shared" ref="C206:K206" si="27">C15</f>
        <v xml:space="preserve">Fiscal year  </v>
      </c>
      <c r="D206" s="284">
        <f t="shared" si="27"/>
        <v>2016</v>
      </c>
      <c r="E206" s="284">
        <f t="shared" si="27"/>
        <v>2017</v>
      </c>
      <c r="F206" s="284">
        <f t="shared" si="27"/>
        <v>2018</v>
      </c>
      <c r="G206" s="285">
        <f t="shared" si="27"/>
        <v>2019</v>
      </c>
      <c r="H206" s="285">
        <f t="shared" si="27"/>
        <v>2020</v>
      </c>
      <c r="I206" s="285">
        <f t="shared" si="27"/>
        <v>2021</v>
      </c>
      <c r="J206" s="285">
        <f t="shared" si="27"/>
        <v>2022</v>
      </c>
      <c r="K206" s="285">
        <f t="shared" si="27"/>
        <v>2023</v>
      </c>
      <c r="M206" s="379"/>
      <c r="T206" s="99"/>
      <c r="U206" s="62"/>
    </row>
    <row r="207" spans="3:21">
      <c r="C207" s="269" t="str">
        <f t="shared" ref="C207:K207" si="28">C16</f>
        <v>Fiscal year end date</v>
      </c>
      <c r="D207" s="32">
        <f t="shared" si="28"/>
        <v>42643</v>
      </c>
      <c r="E207" s="32">
        <f t="shared" si="28"/>
        <v>43008</v>
      </c>
      <c r="F207" s="32">
        <f t="shared" si="28"/>
        <v>43372</v>
      </c>
      <c r="G207" s="32">
        <f t="shared" si="28"/>
        <v>43738</v>
      </c>
      <c r="H207" s="32">
        <f t="shared" si="28"/>
        <v>44104</v>
      </c>
      <c r="I207" s="32">
        <f t="shared" si="28"/>
        <v>44469</v>
      </c>
      <c r="J207" s="32">
        <f t="shared" si="28"/>
        <v>44834</v>
      </c>
      <c r="K207" s="32">
        <f t="shared" si="28"/>
        <v>45199</v>
      </c>
      <c r="M207" s="380"/>
      <c r="T207" s="99"/>
    </row>
    <row r="208" spans="3:21">
      <c r="C208" s="278"/>
      <c r="D208" s="153"/>
      <c r="E208" s="153"/>
      <c r="F208" s="153"/>
      <c r="G208" s="301"/>
      <c r="H208" s="301"/>
      <c r="I208" s="301"/>
      <c r="J208" s="301"/>
      <c r="K208" s="301"/>
      <c r="M208" s="356"/>
      <c r="T208" s="99"/>
    </row>
    <row r="209" spans="3:20">
      <c r="C209" s="279" t="s">
        <v>120</v>
      </c>
      <c r="D209" s="153">
        <f>-(D25)</f>
        <v>1456</v>
      </c>
      <c r="E209" s="153">
        <f>-(E25)</f>
        <v>2323</v>
      </c>
      <c r="F209" s="153">
        <f>-(F25)</f>
        <v>3240</v>
      </c>
      <c r="G209" s="153">
        <f>G214+G219</f>
        <v>3222.7544651501776</v>
      </c>
      <c r="H209" s="153">
        <f ca="1">H214+H219</f>
        <v>3223.5392651501775</v>
      </c>
      <c r="I209" s="153">
        <f ca="1">I214+I219</f>
        <v>3223.5392651501775</v>
      </c>
      <c r="J209" s="153">
        <f ca="1">J214+J219</f>
        <v>3223.5392651501775</v>
      </c>
      <c r="K209" s="153">
        <f ca="1">K214+K219</f>
        <v>3223.5392651501775</v>
      </c>
      <c r="M209" s="193"/>
      <c r="O209" t="s">
        <v>178</v>
      </c>
      <c r="T209" s="62"/>
    </row>
    <row r="210" spans="3:20">
      <c r="C210" s="302"/>
      <c r="T210" s="62"/>
    </row>
    <row r="211" spans="3:20">
      <c r="C211" s="303" t="s">
        <v>68</v>
      </c>
      <c r="T211" s="62"/>
    </row>
    <row r="212" spans="3:20">
      <c r="C212" s="278" t="s">
        <v>111</v>
      </c>
      <c r="E212" s="56">
        <v>1.2E-2</v>
      </c>
      <c r="F212" s="56">
        <v>2.18E-2</v>
      </c>
      <c r="G212" s="304">
        <f>F212</f>
        <v>2.18E-2</v>
      </c>
      <c r="H212" s="304">
        <f>G212</f>
        <v>2.18E-2</v>
      </c>
      <c r="I212" s="304">
        <f>H212</f>
        <v>2.18E-2</v>
      </c>
      <c r="J212" s="304">
        <f>I212</f>
        <v>2.18E-2</v>
      </c>
      <c r="K212" s="304">
        <f>J212</f>
        <v>2.18E-2</v>
      </c>
      <c r="M212" s="389"/>
      <c r="O212" t="s">
        <v>132</v>
      </c>
    </row>
    <row r="213" spans="3:20">
      <c r="C213" s="278" t="s">
        <v>112</v>
      </c>
      <c r="D213" s="289"/>
      <c r="E213" s="289">
        <f t="shared" ref="E213:K213" si="29">E58</f>
        <v>11977</v>
      </c>
      <c r="F213" s="289">
        <f t="shared" si="29"/>
        <v>11964</v>
      </c>
      <c r="G213" s="153">
        <f t="shared" ca="1" si="29"/>
        <v>12000</v>
      </c>
      <c r="H213" s="153">
        <f t="shared" ca="1" si="29"/>
        <v>12000</v>
      </c>
      <c r="I213" s="153">
        <f t="shared" ca="1" si="29"/>
        <v>12000</v>
      </c>
      <c r="J213" s="153">
        <f t="shared" ca="1" si="29"/>
        <v>12000</v>
      </c>
      <c r="K213" s="153">
        <f t="shared" ca="1" si="29"/>
        <v>12000</v>
      </c>
      <c r="M213" s="193"/>
      <c r="O213" t="s">
        <v>181</v>
      </c>
    </row>
    <row r="214" spans="3:20">
      <c r="C214" s="305" t="s">
        <v>41</v>
      </c>
      <c r="D214" s="153"/>
      <c r="E214" s="52">
        <f>AVERAGE(D213:E213)*E212</f>
        <v>143.72399999999999</v>
      </c>
      <c r="F214" s="52">
        <f>AVERAGE(E213:F213)*F212</f>
        <v>260.95690000000002</v>
      </c>
      <c r="G214" s="306">
        <f>F213*G212</f>
        <v>260.8152</v>
      </c>
      <c r="H214" s="306">
        <f ca="1">G213*H212</f>
        <v>261.60000000000002</v>
      </c>
      <c r="I214" s="306">
        <f ca="1">H213*I212</f>
        <v>261.60000000000002</v>
      </c>
      <c r="J214" s="306">
        <f ca="1">I213*J212</f>
        <v>261.60000000000002</v>
      </c>
      <c r="K214" s="306">
        <f ca="1">J213*K212</f>
        <v>261.60000000000002</v>
      </c>
      <c r="M214" s="20"/>
      <c r="O214" t="s">
        <v>180</v>
      </c>
    </row>
    <row r="215" spans="3:20">
      <c r="C215" s="307"/>
      <c r="D215" s="153"/>
      <c r="E215" s="153"/>
      <c r="F215" s="153"/>
    </row>
    <row r="216" spans="3:20">
      <c r="C216" s="303" t="s">
        <v>67</v>
      </c>
      <c r="D216" s="153"/>
      <c r="E216" s="153"/>
      <c r="F216" s="153"/>
    </row>
    <row r="217" spans="3:20">
      <c r="C217" s="278" t="s">
        <v>112</v>
      </c>
      <c r="D217" s="153"/>
      <c r="E217" s="153">
        <f t="shared" ref="E217:K217" si="30">E59</f>
        <v>103703</v>
      </c>
      <c r="F217" s="153">
        <f t="shared" si="30"/>
        <v>102519</v>
      </c>
      <c r="G217" s="153">
        <f t="shared" si="30"/>
        <v>102519</v>
      </c>
      <c r="H217" s="153">
        <f t="shared" si="30"/>
        <v>102519</v>
      </c>
      <c r="I217" s="153">
        <f t="shared" si="30"/>
        <v>102519</v>
      </c>
      <c r="J217" s="153">
        <f t="shared" si="30"/>
        <v>102519</v>
      </c>
      <c r="K217" s="153">
        <f t="shared" si="30"/>
        <v>102519</v>
      </c>
      <c r="M217" s="193"/>
      <c r="O217" t="s">
        <v>183</v>
      </c>
    </row>
    <row r="218" spans="3:20">
      <c r="C218" s="278" t="s">
        <v>111</v>
      </c>
      <c r="E218" s="93">
        <f t="shared" ref="E218" si="31">E219/AVERAGE(D217:E217)</f>
        <v>2.101458974185896E-2</v>
      </c>
      <c r="F218" s="100">
        <f>F219/AVERAGE(E217:F217)</f>
        <v>2.8891612921996681E-2</v>
      </c>
      <c r="G218" s="304">
        <f>F218</f>
        <v>2.8891612921996681E-2</v>
      </c>
      <c r="H218" s="304">
        <f>G218</f>
        <v>2.8891612921996681E-2</v>
      </c>
      <c r="I218" s="304">
        <f>H218</f>
        <v>2.8891612921996681E-2</v>
      </c>
      <c r="J218" s="304">
        <f>I218</f>
        <v>2.8891612921996681E-2</v>
      </c>
      <c r="K218" s="304">
        <f>J218</f>
        <v>2.8891612921996681E-2</v>
      </c>
      <c r="M218" s="389"/>
      <c r="O218" t="s">
        <v>132</v>
      </c>
      <c r="T218" s="99"/>
    </row>
    <row r="219" spans="3:20">
      <c r="C219" s="232" t="s">
        <v>186</v>
      </c>
      <c r="D219" s="52"/>
      <c r="E219" s="52">
        <f>E209-E214</f>
        <v>2179.2759999999998</v>
      </c>
      <c r="F219" s="52">
        <f>F209-F214</f>
        <v>2979.0430999999999</v>
      </c>
      <c r="G219" s="69">
        <f>G218*AVERAGE(F217:G217)</f>
        <v>2961.9392651501776</v>
      </c>
      <c r="H219" s="69">
        <f>H218*AVERAGE(G217:H217)</f>
        <v>2961.9392651501776</v>
      </c>
      <c r="I219" s="69">
        <f>I218*AVERAGE(H217:I217)</f>
        <v>2961.9392651501776</v>
      </c>
      <c r="J219" s="69">
        <f>J218*AVERAGE(I217:J217)</f>
        <v>2961.9392651501776</v>
      </c>
      <c r="K219" s="69">
        <f>K218*AVERAGE(J217:K217)</f>
        <v>2961.9392651501776</v>
      </c>
      <c r="M219" s="186"/>
      <c r="O219" t="s">
        <v>114</v>
      </c>
    </row>
    <row r="220" spans="3:20">
      <c r="E220" s="153"/>
    </row>
    <row r="221" spans="3:20">
      <c r="C221" s="302" t="s">
        <v>42</v>
      </c>
      <c r="E221" s="153"/>
      <c r="F221" s="153"/>
    </row>
    <row r="222" spans="3:20" ht="15" customHeight="1">
      <c r="C222" s="278" t="s">
        <v>115</v>
      </c>
      <c r="D222" s="55">
        <v>1.7299999999999999E-2</v>
      </c>
      <c r="E222" s="56">
        <v>1.9900000000000001E-2</v>
      </c>
      <c r="F222" s="56">
        <v>2.1600000000000001E-2</v>
      </c>
      <c r="G222" s="308">
        <f>F222</f>
        <v>2.1600000000000001E-2</v>
      </c>
      <c r="H222" s="308">
        <f>G222</f>
        <v>2.1600000000000001E-2</v>
      </c>
      <c r="I222" s="308">
        <f>H222</f>
        <v>2.1600000000000001E-2</v>
      </c>
      <c r="J222" s="308">
        <f>I222</f>
        <v>2.1600000000000001E-2</v>
      </c>
      <c r="K222" s="308">
        <f>J222</f>
        <v>2.1600000000000001E-2</v>
      </c>
      <c r="M222" s="390"/>
      <c r="O222" t="s">
        <v>132</v>
      </c>
    </row>
    <row r="223" spans="3:20" ht="15" customHeight="1">
      <c r="C223" s="278" t="s">
        <v>4</v>
      </c>
      <c r="D223" s="153">
        <f>D24</f>
        <v>3999</v>
      </c>
      <c r="E223" s="153">
        <f>E24</f>
        <v>5201</v>
      </c>
      <c r="F223" s="153">
        <f>F24</f>
        <v>5686</v>
      </c>
      <c r="G223" s="33">
        <f>G222*F46</f>
        <v>5121.3600000000006</v>
      </c>
      <c r="H223" s="33">
        <f ca="1">H222*G46</f>
        <v>4745.0317027869223</v>
      </c>
      <c r="I223" s="33">
        <f ca="1">I222*H46</f>
        <v>3992.8499956424594</v>
      </c>
      <c r="J223" s="33">
        <f ca="1">J222*I46</f>
        <v>3289.9871284782475</v>
      </c>
      <c r="K223" s="33">
        <f ca="1">K222*J46</f>
        <v>2636.7898903485693</v>
      </c>
      <c r="M223" s="384"/>
      <c r="O223" t="s">
        <v>184</v>
      </c>
    </row>
    <row r="224" spans="3:20">
      <c r="C224" s="309"/>
      <c r="D224" s="224"/>
      <c r="E224" s="224"/>
      <c r="F224" s="224"/>
      <c r="G224" s="224"/>
      <c r="H224" s="224"/>
    </row>
    <row r="225" spans="3:13">
      <c r="C225" s="7" t="s">
        <v>76</v>
      </c>
      <c r="D225" s="7"/>
      <c r="E225" s="7"/>
      <c r="F225" s="7"/>
      <c r="G225" s="7"/>
      <c r="H225" s="7"/>
      <c r="I225" s="7"/>
      <c r="J225" s="7"/>
      <c r="K225" s="7"/>
      <c r="M225" s="176"/>
    </row>
    <row r="226" spans="3:13">
      <c r="C226" s="24"/>
    </row>
    <row r="227" spans="3:13" ht="15.75" thickBot="1">
      <c r="C227" s="75" t="s">
        <v>188</v>
      </c>
      <c r="D227" s="310"/>
      <c r="E227" s="310"/>
      <c r="F227" s="310"/>
      <c r="G227" s="310"/>
      <c r="H227" s="310"/>
      <c r="I227" s="310"/>
    </row>
    <row r="228" spans="3:13">
      <c r="D228" s="24"/>
      <c r="E228" s="311" t="s">
        <v>77</v>
      </c>
      <c r="F228" s="312"/>
      <c r="G228" s="312"/>
      <c r="H228" s="312"/>
      <c r="I228" s="312"/>
    </row>
    <row r="229" spans="3:13" ht="15.75" customHeight="1" thickBot="1">
      <c r="D229" s="313">
        <f ca="1">G29</f>
        <v>52213.524654506109</v>
      </c>
      <c r="E229" s="314">
        <v>-0.05</v>
      </c>
      <c r="F229" s="314">
        <v>-2.5000000000000001E-2</v>
      </c>
      <c r="G229" s="314">
        <v>0</v>
      </c>
      <c r="H229" s="314">
        <v>2.5000000000000001E-2</v>
      </c>
      <c r="I229" s="314">
        <v>0.05</v>
      </c>
    </row>
    <row r="230" spans="3:13">
      <c r="C230" s="315"/>
      <c r="D230" s="316">
        <v>0.39</v>
      </c>
      <c r="E230" s="317">
        <f t="dataTable" ref="E230:I235" dt2D="1" dtr="1" r1="G37" r2="G38" ca="1"/>
        <v>54599.550636029897</v>
      </c>
      <c r="F230" s="317">
        <v>56004.428668279899</v>
      </c>
      <c r="G230" s="317">
        <v>57409.306700529902</v>
      </c>
      <c r="H230" s="317">
        <v>58814.184732779904</v>
      </c>
      <c r="I230" s="317">
        <v>60219.062765029907</v>
      </c>
    </row>
    <row r="231" spans="3:13">
      <c r="C231" s="259" t="s">
        <v>78</v>
      </c>
      <c r="D231" s="316">
        <v>0.38500000000000001</v>
      </c>
      <c r="E231" s="317">
        <v>53548.657619779886</v>
      </c>
      <c r="F231" s="317">
        <v>54925.880572654904</v>
      </c>
      <c r="G231" s="317">
        <v>56303.103525529899</v>
      </c>
      <c r="H231" s="317">
        <v>57680.326478404902</v>
      </c>
      <c r="I231" s="317">
        <v>59057.549431279913</v>
      </c>
    </row>
    <row r="232" spans="3:13">
      <c r="C232" s="259" t="s">
        <v>79</v>
      </c>
      <c r="D232" s="316">
        <v>0.38</v>
      </c>
      <c r="E232" s="317">
        <v>52497.764603529897</v>
      </c>
      <c r="F232" s="317">
        <v>53847.332477029893</v>
      </c>
      <c r="G232" s="317">
        <v>55196.900350529904</v>
      </c>
      <c r="H232" s="317">
        <v>56546.468224029901</v>
      </c>
      <c r="I232" s="317">
        <v>57896.036097529912</v>
      </c>
    </row>
    <row r="233" spans="3:13">
      <c r="C233" s="259" t="s">
        <v>80</v>
      </c>
      <c r="D233" s="316">
        <v>0.375</v>
      </c>
      <c r="E233" s="317">
        <v>51446.871587279893</v>
      </c>
      <c r="F233" s="317">
        <v>52768.784381404897</v>
      </c>
      <c r="G233" s="317">
        <v>54090.697175529902</v>
      </c>
      <c r="H233" s="317">
        <v>55412.609969654899</v>
      </c>
      <c r="I233" s="317">
        <v>56734.522763779911</v>
      </c>
    </row>
    <row r="234" spans="3:13">
      <c r="D234" s="316">
        <v>0.37</v>
      </c>
      <c r="E234" s="317">
        <v>50395.978571029904</v>
      </c>
      <c r="F234" s="317">
        <v>51690.236285779902</v>
      </c>
      <c r="G234" s="317">
        <v>52984.494000529899</v>
      </c>
      <c r="H234" s="317">
        <v>54278.751715279897</v>
      </c>
      <c r="I234" s="317">
        <v>55573.00943002991</v>
      </c>
    </row>
    <row r="235" spans="3:13">
      <c r="D235" s="316">
        <v>0.36499999999999999</v>
      </c>
      <c r="E235" s="317">
        <v>49345.085554779893</v>
      </c>
      <c r="F235" s="317">
        <v>50611.688190154899</v>
      </c>
      <c r="G235" s="317">
        <v>51878.290825529904</v>
      </c>
      <c r="H235" s="317">
        <v>53144.893460904896</v>
      </c>
      <c r="I235" s="317">
        <v>54411.496096279909</v>
      </c>
    </row>
    <row r="237" spans="3:13">
      <c r="C237" s="7" t="s">
        <v>81</v>
      </c>
      <c r="D237" s="7"/>
      <c r="E237" s="7"/>
      <c r="F237" s="7"/>
      <c r="G237" s="7"/>
      <c r="H237" s="7"/>
      <c r="I237" s="7"/>
      <c r="J237" s="7"/>
      <c r="K237" s="7"/>
      <c r="M237" s="176"/>
    </row>
    <row r="238" spans="3:13" ht="15.75" thickBot="1"/>
    <row r="239" spans="3:13" ht="15.75" thickBot="1">
      <c r="C239" t="s">
        <v>193</v>
      </c>
      <c r="D239" s="185" t="str">
        <f>D12</f>
        <v>Base case</v>
      </c>
      <c r="F239" s="183" t="s">
        <v>191</v>
      </c>
      <c r="G239" s="285">
        <f t="shared" ref="G239:K240" si="32">G15</f>
        <v>2019</v>
      </c>
      <c r="H239" s="285">
        <f t="shared" si="32"/>
        <v>2020</v>
      </c>
      <c r="I239" s="285">
        <f t="shared" si="32"/>
        <v>2021</v>
      </c>
      <c r="J239" s="285">
        <f t="shared" si="32"/>
        <v>2022</v>
      </c>
      <c r="K239" s="285">
        <f t="shared" si="32"/>
        <v>2023</v>
      </c>
      <c r="M239" s="379"/>
    </row>
    <row r="240" spans="3:13">
      <c r="E240" s="318"/>
      <c r="F240" s="178" t="s">
        <v>190</v>
      </c>
      <c r="G240" s="32">
        <f t="shared" si="32"/>
        <v>43738</v>
      </c>
      <c r="H240" s="32">
        <f t="shared" si="32"/>
        <v>44104</v>
      </c>
      <c r="I240" s="32">
        <f t="shared" si="32"/>
        <v>44469</v>
      </c>
      <c r="J240" s="32">
        <f t="shared" si="32"/>
        <v>44834</v>
      </c>
      <c r="K240" s="32">
        <f t="shared" si="32"/>
        <v>45199</v>
      </c>
      <c r="M240" s="380"/>
    </row>
    <row r="241" spans="3:21">
      <c r="C241" s="278" t="s">
        <v>239</v>
      </c>
      <c r="F241" s="319" t="str">
        <f t="shared" ref="F241:K241" ca="1" si="33">OFFSET(F$247,MATCH($C241,$C$247:$C$266,0)+MATCH($D$239,$C$248:$C$250,0)-1,0)</f>
        <v>NM</v>
      </c>
      <c r="G241" s="320">
        <f t="shared" ca="1" si="33"/>
        <v>792</v>
      </c>
      <c r="H241" s="320">
        <f t="shared" ca="1" si="33"/>
        <v>725</v>
      </c>
      <c r="I241" s="320">
        <f t="shared" ca="1" si="33"/>
        <v>725</v>
      </c>
      <c r="J241" s="320">
        <f t="shared" ca="1" si="33"/>
        <v>725</v>
      </c>
      <c r="K241" s="320">
        <f t="shared" ca="1" si="33"/>
        <v>725</v>
      </c>
      <c r="M241" s="391"/>
      <c r="O241" s="321"/>
      <c r="P241" s="321"/>
      <c r="Q241" s="321"/>
      <c r="R241" s="321"/>
    </row>
    <row r="242" spans="3:21">
      <c r="C242" s="278" t="s">
        <v>240</v>
      </c>
      <c r="F242" s="319" t="str">
        <f t="shared" ref="F242:K245" ca="1" si="34">OFFSET(F$247,MATCH($C242,$C$247:$C$266,0)+MATCH($D$239,$C$248:$C$250,0)-1,0)</f>
        <v>NM</v>
      </c>
      <c r="G242" s="320">
        <f t="shared" ca="1" si="34"/>
        <v>45603</v>
      </c>
      <c r="H242" s="320">
        <f t="shared" ca="1" si="34"/>
        <v>53592</v>
      </c>
      <c r="I242" s="320">
        <f t="shared" ca="1" si="34"/>
        <v>63000</v>
      </c>
      <c r="J242" s="320">
        <f t="shared" ca="1" si="34"/>
        <v>74000</v>
      </c>
      <c r="K242" s="320">
        <f t="shared" ca="1" si="34"/>
        <v>87000</v>
      </c>
      <c r="M242" s="391"/>
      <c r="O242" s="321"/>
      <c r="P242" s="321"/>
      <c r="Q242" s="321"/>
      <c r="R242" s="321"/>
    </row>
    <row r="243" spans="3:21">
      <c r="C243" s="278" t="s">
        <v>231</v>
      </c>
      <c r="F243" s="322" t="str">
        <f t="shared" ca="1" si="34"/>
        <v>NM</v>
      </c>
      <c r="G243" s="290">
        <f t="shared" ca="1" si="34"/>
        <v>0.378</v>
      </c>
      <c r="H243" s="290">
        <f t="shared" ca="1" si="34"/>
        <v>0.38100000000000001</v>
      </c>
      <c r="I243" s="290">
        <f t="shared" ca="1" si="34"/>
        <v>0.38200000000000001</v>
      </c>
      <c r="J243" s="290">
        <f t="shared" ca="1" si="34"/>
        <v>0.38200000000000001</v>
      </c>
      <c r="K243" s="290">
        <f t="shared" ca="1" si="34"/>
        <v>0.38200000000000001</v>
      </c>
      <c r="M243" s="392"/>
      <c r="O243" s="321"/>
      <c r="P243" s="321"/>
      <c r="Q243" s="321"/>
      <c r="R243" s="321"/>
    </row>
    <row r="244" spans="3:21">
      <c r="C244" s="278" t="s">
        <v>232</v>
      </c>
      <c r="F244" s="322" t="str">
        <f t="shared" ca="1" si="34"/>
        <v>NM</v>
      </c>
      <c r="G244" s="290">
        <f t="shared" ca="1" si="34"/>
        <v>6.2E-2</v>
      </c>
      <c r="H244" s="290">
        <f t="shared" ca="1" si="34"/>
        <v>6.3E-2</v>
      </c>
      <c r="I244" s="290">
        <f t="shared" ca="1" si="34"/>
        <v>6.3E-2</v>
      </c>
      <c r="J244" s="290">
        <f t="shared" ca="1" si="34"/>
        <v>6.3E-2</v>
      </c>
      <c r="K244" s="290">
        <f t="shared" ca="1" si="34"/>
        <v>6.3E-2</v>
      </c>
      <c r="M244" s="392"/>
      <c r="O244" s="321"/>
      <c r="P244" s="321"/>
      <c r="Q244" s="321"/>
      <c r="R244" s="321"/>
    </row>
    <row r="245" spans="3:21">
      <c r="C245" s="278" t="s">
        <v>234</v>
      </c>
      <c r="F245" s="322" t="str">
        <f t="shared" ca="1" si="34"/>
        <v>NM</v>
      </c>
      <c r="G245" s="290">
        <f t="shared" ca="1" si="34"/>
        <v>7.3999999999999996E-2</v>
      </c>
      <c r="H245" s="290">
        <f t="shared" ca="1" si="34"/>
        <v>6.9000000000000006E-2</v>
      </c>
      <c r="I245" s="290">
        <f t="shared" ca="1" si="34"/>
        <v>6.9000000000000006E-2</v>
      </c>
      <c r="J245" s="290">
        <f t="shared" ca="1" si="34"/>
        <v>6.9000000000000006E-2</v>
      </c>
      <c r="K245" s="290">
        <f t="shared" ca="1" si="34"/>
        <v>6.9000000000000006E-2</v>
      </c>
      <c r="M245" s="392"/>
      <c r="O245" s="321"/>
      <c r="P245" s="321"/>
      <c r="Q245" s="321"/>
      <c r="R245" s="321"/>
    </row>
    <row r="246" spans="3:21">
      <c r="F246" s="323"/>
    </row>
    <row r="247" spans="3:21">
      <c r="C247" s="232" t="s">
        <v>239</v>
      </c>
      <c r="F247" s="323"/>
    </row>
    <row r="248" spans="3:21">
      <c r="C248" s="307" t="s">
        <v>84</v>
      </c>
      <c r="F248" s="324">
        <v>100</v>
      </c>
      <c r="G248" s="325">
        <f>G249+$F$248</f>
        <v>892</v>
      </c>
      <c r="H248" s="325">
        <f>H249+$F$248</f>
        <v>825</v>
      </c>
      <c r="I248" s="325">
        <f>I249+$F$248</f>
        <v>825</v>
      </c>
      <c r="J248" s="325">
        <f>J249+$F$248</f>
        <v>825</v>
      </c>
      <c r="K248" s="325">
        <f>K249+$F$248</f>
        <v>825</v>
      </c>
      <c r="M248" s="393"/>
    </row>
    <row r="249" spans="3:21">
      <c r="C249" s="307" t="s">
        <v>83</v>
      </c>
      <c r="F249" s="326" t="s">
        <v>189</v>
      </c>
      <c r="G249" s="221">
        <v>792</v>
      </c>
      <c r="H249" s="221">
        <v>725</v>
      </c>
      <c r="I249" s="221">
        <v>725</v>
      </c>
      <c r="J249" s="221">
        <v>725</v>
      </c>
      <c r="K249" s="221">
        <v>725</v>
      </c>
      <c r="M249" s="394"/>
      <c r="O249" t="s">
        <v>151</v>
      </c>
      <c r="Q249" s="283"/>
      <c r="R249" s="283"/>
      <c r="S249" s="283"/>
      <c r="T249" s="283"/>
      <c r="U249" s="283"/>
    </row>
    <row r="250" spans="3:21">
      <c r="C250" s="307" t="s">
        <v>85</v>
      </c>
      <c r="F250" s="324">
        <v>-100</v>
      </c>
      <c r="G250" s="325">
        <f>G249+$F$250</f>
        <v>692</v>
      </c>
      <c r="H250" s="325">
        <f>H249+$F$250</f>
        <v>625</v>
      </c>
      <c r="I250" s="325">
        <f>I249+$F$250</f>
        <v>625</v>
      </c>
      <c r="J250" s="325">
        <f>J249+$F$250</f>
        <v>625</v>
      </c>
      <c r="K250" s="325">
        <f>K249+$F$250</f>
        <v>625</v>
      </c>
      <c r="M250" s="393"/>
      <c r="Q250" s="283"/>
      <c r="R250" s="283"/>
      <c r="S250" s="283"/>
      <c r="T250" s="283"/>
      <c r="U250" s="283"/>
    </row>
    <row r="251" spans="3:21">
      <c r="C251" s="280" t="s">
        <v>240</v>
      </c>
      <c r="F251" s="180"/>
      <c r="G251" s="67"/>
      <c r="H251" s="67"/>
      <c r="I251" s="67"/>
      <c r="J251" s="67"/>
      <c r="K251" s="67"/>
      <c r="M251" s="383"/>
      <c r="Q251" s="283"/>
      <c r="R251" s="283"/>
      <c r="S251" s="283"/>
      <c r="T251" s="283"/>
      <c r="U251" s="283"/>
    </row>
    <row r="252" spans="3:21">
      <c r="C252" s="307" t="s">
        <v>84</v>
      </c>
      <c r="F252" s="324">
        <v>10000</v>
      </c>
      <c r="G252" s="325">
        <f>G253+$F$252</f>
        <v>55603</v>
      </c>
      <c r="H252" s="325">
        <f>H253+$F$252</f>
        <v>63592</v>
      </c>
      <c r="I252" s="325">
        <f>I253+$F$252</f>
        <v>73000</v>
      </c>
      <c r="J252" s="325">
        <f>J253+$F$252</f>
        <v>84000</v>
      </c>
      <c r="K252" s="325">
        <f>K253+$F$252</f>
        <v>97000</v>
      </c>
      <c r="M252" s="393"/>
      <c r="Q252" s="283"/>
      <c r="R252" s="283"/>
      <c r="S252" s="283"/>
      <c r="T252" s="283"/>
      <c r="U252" s="283"/>
    </row>
    <row r="253" spans="3:21">
      <c r="C253" s="307" t="s">
        <v>83</v>
      </c>
      <c r="F253" s="326" t="s">
        <v>189</v>
      </c>
      <c r="G253" s="3">
        <v>45603</v>
      </c>
      <c r="H253" s="3">
        <v>53592</v>
      </c>
      <c r="I253" s="3">
        <v>63000</v>
      </c>
      <c r="J253" s="3">
        <v>74000</v>
      </c>
      <c r="K253" s="3">
        <v>87000</v>
      </c>
      <c r="M253" s="200"/>
      <c r="Q253" s="283"/>
      <c r="R253" s="283"/>
      <c r="S253" s="283"/>
      <c r="T253" s="283"/>
      <c r="U253" s="283"/>
    </row>
    <row r="254" spans="3:21">
      <c r="C254" s="307" t="s">
        <v>85</v>
      </c>
      <c r="F254" s="324">
        <v>-10000</v>
      </c>
      <c r="G254" s="325">
        <f>G253+$F$254</f>
        <v>35603</v>
      </c>
      <c r="H254" s="325">
        <f>H253+$F$254</f>
        <v>43592</v>
      </c>
      <c r="I254" s="325">
        <f>I253+$F$254</f>
        <v>53000</v>
      </c>
      <c r="J254" s="325">
        <f>J253+$F$254</f>
        <v>64000</v>
      </c>
      <c r="K254" s="325">
        <f>K253+$F$254</f>
        <v>77000</v>
      </c>
      <c r="M254" s="393"/>
      <c r="Q254" s="283"/>
      <c r="R254" s="283"/>
      <c r="S254" s="283"/>
      <c r="T254" s="283"/>
      <c r="U254" s="283"/>
    </row>
    <row r="255" spans="3:21">
      <c r="C255" s="232" t="s">
        <v>231</v>
      </c>
      <c r="F255" s="326"/>
      <c r="G255" s="283"/>
      <c r="H255" s="283"/>
      <c r="I255" s="283"/>
      <c r="J255" s="283"/>
      <c r="K255" s="283"/>
      <c r="M255" s="395"/>
      <c r="Q255" s="283"/>
      <c r="R255" s="283"/>
      <c r="S255" s="283"/>
      <c r="T255" s="283"/>
      <c r="U255" s="283"/>
    </row>
    <row r="256" spans="3:21">
      <c r="C256" s="307" t="s">
        <v>84</v>
      </c>
      <c r="F256" s="180">
        <v>0.01</v>
      </c>
      <c r="G256" s="67">
        <f>G257+$F$256</f>
        <v>0.38800000000000001</v>
      </c>
      <c r="H256" s="67">
        <f>H257+$F$256</f>
        <v>0.39100000000000001</v>
      </c>
      <c r="I256" s="67">
        <f>I257+$F$256</f>
        <v>0.39200000000000002</v>
      </c>
      <c r="J256" s="67">
        <f>J257+$F$256</f>
        <v>0.39200000000000002</v>
      </c>
      <c r="K256" s="67">
        <f>K257+$F$256</f>
        <v>0.39200000000000002</v>
      </c>
      <c r="M256" s="383"/>
    </row>
    <row r="257" spans="3:15">
      <c r="C257" s="307" t="s">
        <v>83</v>
      </c>
      <c r="F257" s="326" t="s">
        <v>189</v>
      </c>
      <c r="G257" s="283">
        <v>0.378</v>
      </c>
      <c r="H257" s="283">
        <v>0.38100000000000001</v>
      </c>
      <c r="I257" s="283">
        <v>0.38200000000000001</v>
      </c>
      <c r="J257" s="67">
        <f>I257</f>
        <v>0.38200000000000001</v>
      </c>
      <c r="K257" s="67">
        <f>J257</f>
        <v>0.38200000000000001</v>
      </c>
      <c r="M257" s="383"/>
      <c r="O257" t="s">
        <v>152</v>
      </c>
    </row>
    <row r="258" spans="3:15">
      <c r="C258" s="307" t="s">
        <v>85</v>
      </c>
      <c r="F258" s="180">
        <v>-0.01</v>
      </c>
      <c r="G258" s="67">
        <f>G257+$F$258</f>
        <v>0.36799999999999999</v>
      </c>
      <c r="H258" s="67">
        <f>H257+$F$258</f>
        <v>0.371</v>
      </c>
      <c r="I258" s="67">
        <f>I257+$F$258</f>
        <v>0.372</v>
      </c>
      <c r="J258" s="67">
        <f>J257+$F$258</f>
        <v>0.372</v>
      </c>
      <c r="K258" s="67">
        <f>K257+$F$258</f>
        <v>0.372</v>
      </c>
      <c r="M258" s="383"/>
    </row>
    <row r="259" spans="3:15">
      <c r="C259" s="232" t="s">
        <v>232</v>
      </c>
      <c r="F259" s="326"/>
      <c r="G259" s="327"/>
      <c r="H259" s="327"/>
      <c r="I259" s="327"/>
      <c r="J259" s="327"/>
      <c r="K259" s="327"/>
      <c r="M259" s="396"/>
    </row>
    <row r="260" spans="3:15">
      <c r="C260" s="307" t="s">
        <v>84</v>
      </c>
      <c r="F260" s="180">
        <v>-0.01</v>
      </c>
      <c r="G260" s="67">
        <f>G261+$F$260</f>
        <v>5.1999999999999998E-2</v>
      </c>
      <c r="H260" s="67">
        <f>H261+$F$260</f>
        <v>5.2999999999999999E-2</v>
      </c>
      <c r="I260" s="67">
        <f>I261+$F$260</f>
        <v>5.2999999999999999E-2</v>
      </c>
      <c r="J260" s="67">
        <f>J261+$F$260</f>
        <v>5.2999999999999999E-2</v>
      </c>
      <c r="K260" s="67">
        <f>K261+$F$260</f>
        <v>5.2999999999999999E-2</v>
      </c>
      <c r="M260" s="383"/>
    </row>
    <row r="261" spans="3:15">
      <c r="C261" s="307" t="s">
        <v>83</v>
      </c>
      <c r="F261" s="326" t="s">
        <v>189</v>
      </c>
      <c r="G261" s="283">
        <v>6.2E-2</v>
      </c>
      <c r="H261" s="283">
        <v>6.3E-2</v>
      </c>
      <c r="I261" s="283">
        <v>6.3E-2</v>
      </c>
      <c r="J261" s="67">
        <f>I261</f>
        <v>6.3E-2</v>
      </c>
      <c r="K261" s="67">
        <f>J261</f>
        <v>6.3E-2</v>
      </c>
      <c r="M261" s="383"/>
      <c r="O261" t="s">
        <v>153</v>
      </c>
    </row>
    <row r="262" spans="3:15">
      <c r="C262" s="307" t="s">
        <v>85</v>
      </c>
      <c r="F262" s="180">
        <v>0.01</v>
      </c>
      <c r="G262" s="67">
        <f>G261+$F$262</f>
        <v>7.1999999999999995E-2</v>
      </c>
      <c r="H262" s="67">
        <f>H261+$F$262</f>
        <v>7.2999999999999995E-2</v>
      </c>
      <c r="I262" s="67">
        <f>I261+$F$262</f>
        <v>7.2999999999999995E-2</v>
      </c>
      <c r="J262" s="67">
        <f>J261+$F$262</f>
        <v>7.2999999999999995E-2</v>
      </c>
      <c r="K262" s="67">
        <f>K261+$F$262</f>
        <v>7.2999999999999995E-2</v>
      </c>
      <c r="M262" s="383"/>
    </row>
    <row r="263" spans="3:15">
      <c r="C263" s="232" t="s">
        <v>234</v>
      </c>
      <c r="F263" s="326"/>
      <c r="G263" s="327"/>
      <c r="H263" s="327"/>
      <c r="I263" s="327"/>
      <c r="J263" s="327"/>
      <c r="K263" s="327"/>
      <c r="M263" s="396"/>
    </row>
    <row r="264" spans="3:15">
      <c r="C264" s="307" t="s">
        <v>84</v>
      </c>
      <c r="F264" s="180">
        <v>-0.01</v>
      </c>
      <c r="G264" s="67">
        <f>G265+$F$264</f>
        <v>6.4000000000000001E-2</v>
      </c>
      <c r="H264" s="67">
        <f>H265+$F$264</f>
        <v>5.9000000000000004E-2</v>
      </c>
      <c r="I264" s="67">
        <f>I265+$F$264</f>
        <v>5.9000000000000004E-2</v>
      </c>
      <c r="J264" s="67">
        <f>J265+$F$264</f>
        <v>5.9000000000000004E-2</v>
      </c>
      <c r="K264" s="67">
        <f>K265+$F$264</f>
        <v>5.9000000000000004E-2</v>
      </c>
      <c r="M264" s="383"/>
    </row>
    <row r="265" spans="3:15">
      <c r="C265" s="307" t="s">
        <v>83</v>
      </c>
      <c r="F265" s="326" t="s">
        <v>189</v>
      </c>
      <c r="G265" s="283">
        <v>7.3999999999999996E-2</v>
      </c>
      <c r="H265" s="283">
        <v>6.9000000000000006E-2</v>
      </c>
      <c r="I265" s="283">
        <v>6.9000000000000006E-2</v>
      </c>
      <c r="J265" s="67">
        <f>I265</f>
        <v>6.9000000000000006E-2</v>
      </c>
      <c r="K265" s="67">
        <f>J265</f>
        <v>6.9000000000000006E-2</v>
      </c>
      <c r="M265" s="383"/>
      <c r="O265" t="s">
        <v>153</v>
      </c>
    </row>
    <row r="266" spans="3:15" ht="15.75" thickBot="1">
      <c r="C266" s="307" t="s">
        <v>85</v>
      </c>
      <c r="F266" s="182">
        <v>0.01</v>
      </c>
      <c r="G266" s="67">
        <f>G265+$F$266</f>
        <v>8.3999999999999991E-2</v>
      </c>
      <c r="H266" s="67">
        <f>H265+$F$266</f>
        <v>7.9000000000000001E-2</v>
      </c>
      <c r="I266" s="67">
        <f>I265+$F$266</f>
        <v>7.9000000000000001E-2</v>
      </c>
      <c r="J266" s="67">
        <f>J265+$F$266</f>
        <v>7.9000000000000001E-2</v>
      </c>
      <c r="K266" s="67">
        <f>K265+$F$266</f>
        <v>7.9000000000000001E-2</v>
      </c>
      <c r="M266" s="383"/>
    </row>
    <row r="268" spans="3:15">
      <c r="C268" s="7" t="s">
        <v>214</v>
      </c>
      <c r="D268" s="7"/>
      <c r="E268" s="7"/>
      <c r="F268" s="7"/>
      <c r="G268" s="7"/>
      <c r="H268" s="7"/>
      <c r="I268" s="7"/>
      <c r="J268" s="7"/>
      <c r="K268" s="7"/>
      <c r="M268" s="176"/>
    </row>
    <row r="269" spans="3:15">
      <c r="C269" s="35" t="str">
        <f t="shared" ref="C269:K269" si="35">C15</f>
        <v xml:space="preserve">Fiscal year  </v>
      </c>
      <c r="D269" s="284">
        <f t="shared" si="35"/>
        <v>2016</v>
      </c>
      <c r="E269" s="284">
        <f t="shared" si="35"/>
        <v>2017</v>
      </c>
      <c r="F269" s="284">
        <f t="shared" si="35"/>
        <v>2018</v>
      </c>
      <c r="G269" s="285">
        <f t="shared" si="35"/>
        <v>2019</v>
      </c>
      <c r="H269" s="285">
        <f t="shared" si="35"/>
        <v>2020</v>
      </c>
      <c r="I269" s="285">
        <f t="shared" si="35"/>
        <v>2021</v>
      </c>
      <c r="J269" s="285">
        <f t="shared" si="35"/>
        <v>2022</v>
      </c>
      <c r="K269" s="285">
        <f t="shared" si="35"/>
        <v>2023</v>
      </c>
      <c r="M269" s="379"/>
    </row>
    <row r="270" spans="3:15">
      <c r="C270" s="269" t="str">
        <f t="shared" ref="C270:K270" si="36">C16</f>
        <v>Fiscal year end date</v>
      </c>
      <c r="D270" s="32">
        <f t="shared" si="36"/>
        <v>42643</v>
      </c>
      <c r="E270" s="32">
        <f t="shared" si="36"/>
        <v>43008</v>
      </c>
      <c r="F270" s="32">
        <f t="shared" si="36"/>
        <v>43372</v>
      </c>
      <c r="G270" s="32">
        <f t="shared" si="36"/>
        <v>43738</v>
      </c>
      <c r="H270" s="32">
        <f t="shared" si="36"/>
        <v>44104</v>
      </c>
      <c r="I270" s="32">
        <f t="shared" si="36"/>
        <v>44469</v>
      </c>
      <c r="J270" s="32">
        <f t="shared" si="36"/>
        <v>44834</v>
      </c>
      <c r="K270" s="32">
        <f t="shared" si="36"/>
        <v>45199</v>
      </c>
      <c r="M270" s="380"/>
    </row>
    <row r="271" spans="3:15">
      <c r="G271" s="283"/>
      <c r="H271" s="283"/>
      <c r="I271" s="283"/>
      <c r="J271" s="67"/>
      <c r="K271" s="67"/>
      <c r="M271" s="383"/>
    </row>
    <row r="272" spans="3:15">
      <c r="C272" t="s">
        <v>2</v>
      </c>
      <c r="D272" s="151">
        <f t="shared" ref="D272:K272" si="37">D29</f>
        <v>45687</v>
      </c>
      <c r="E272" s="151">
        <f t="shared" si="37"/>
        <v>48351</v>
      </c>
      <c r="F272" s="151">
        <f t="shared" si="37"/>
        <v>59531</v>
      </c>
      <c r="G272" s="151">
        <f t="shared" ca="1" si="37"/>
        <v>52213.524654506109</v>
      </c>
      <c r="H272" s="151">
        <f t="shared" ca="1" si="37"/>
        <v>55742.228713852484</v>
      </c>
      <c r="I272" s="151">
        <f t="shared" ca="1" si="37"/>
        <v>58112.038364497494</v>
      </c>
      <c r="J272" s="151">
        <f t="shared" ca="1" si="37"/>
        <v>60681.728350489873</v>
      </c>
      <c r="K272" s="151">
        <f t="shared" ca="1" si="37"/>
        <v>63813.673137135847</v>
      </c>
      <c r="M272" s="193"/>
      <c r="O272" t="s">
        <v>223</v>
      </c>
    </row>
    <row r="273" spans="3:15">
      <c r="C273" t="s">
        <v>215</v>
      </c>
      <c r="D273" s="91">
        <v>5470.82</v>
      </c>
      <c r="E273" s="91">
        <v>5217.2420000000002</v>
      </c>
      <c r="F273" s="91">
        <v>4955.3770000000004</v>
      </c>
      <c r="G273" s="151">
        <f ca="1">F273-(G279+G280)/G281</f>
        <v>4577.7690892979917</v>
      </c>
      <c r="H273" s="151">
        <f ca="1">G273-(H279+H280)/H281</f>
        <v>4250.617459330495</v>
      </c>
      <c r="I273" s="151">
        <f ca="1">H273-(I279+I280)/I281</f>
        <v>3967.2383826369164</v>
      </c>
      <c r="J273" s="151">
        <f ca="1">I273-(J279+J280)/J281</f>
        <v>3721.9367154432744</v>
      </c>
      <c r="K273" s="151">
        <f ca="1">J273-(K279+K280)/K281</f>
        <v>3509.7605693271717</v>
      </c>
      <c r="M273" s="193"/>
      <c r="O273" t="s">
        <v>230</v>
      </c>
    </row>
    <row r="274" spans="3:15">
      <c r="C274" s="24" t="s">
        <v>216</v>
      </c>
      <c r="D274" s="245">
        <f>D272/D273</f>
        <v>8.3510333003096431</v>
      </c>
      <c r="E274" s="245">
        <f t="shared" ref="E274:K274" si="38">E272/E273</f>
        <v>9.2675402061088974</v>
      </c>
      <c r="F274" s="245">
        <f t="shared" si="38"/>
        <v>12.0134149228202</v>
      </c>
      <c r="G274" s="245">
        <f t="shared" ca="1" si="38"/>
        <v>11.405888684200351</v>
      </c>
      <c r="H274" s="245">
        <f t="shared" ca="1" si="38"/>
        <v>13.113913271939628</v>
      </c>
      <c r="I274" s="245">
        <f t="shared" ca="1" si="38"/>
        <v>14.647982490498086</v>
      </c>
      <c r="J274" s="245">
        <f t="shared" ca="1" si="38"/>
        <v>16.303804441033549</v>
      </c>
      <c r="K274" s="245">
        <f t="shared" ca="1" si="38"/>
        <v>18.181773906408967</v>
      </c>
      <c r="M274" s="397"/>
      <c r="O274" t="s">
        <v>226</v>
      </c>
    </row>
    <row r="275" spans="3:15">
      <c r="D275" s="3"/>
      <c r="E275" s="3"/>
      <c r="F275" s="3"/>
      <c r="G275" s="153"/>
    </row>
    <row r="276" spans="3:15">
      <c r="C276" t="s">
        <v>217</v>
      </c>
      <c r="D276" s="91">
        <v>5500.2809999999999</v>
      </c>
      <c r="E276" s="91">
        <v>5251.692</v>
      </c>
      <c r="F276" s="91">
        <v>5000.1090000000004</v>
      </c>
      <c r="G276" s="151">
        <f ca="1">(F276-F273)+G273</f>
        <v>4622.5010892979917</v>
      </c>
      <c r="H276" s="151">
        <f ca="1">(G276-G273)+H273</f>
        <v>4295.3494593304949</v>
      </c>
      <c r="I276" s="151">
        <f ca="1">(H276-H273)+I273</f>
        <v>4011.9703826369164</v>
      </c>
      <c r="J276" s="151">
        <f ca="1">(I276-I273)+J273</f>
        <v>3766.6687154432743</v>
      </c>
      <c r="K276" s="151">
        <f ca="1">(J276-J273)+K273</f>
        <v>3554.4925693271716</v>
      </c>
      <c r="M276" s="193"/>
      <c r="O276" t="s">
        <v>227</v>
      </c>
    </row>
    <row r="277" spans="3:15">
      <c r="C277" s="24" t="s">
        <v>218</v>
      </c>
      <c r="D277" s="245">
        <f t="shared" ref="D277:K277" si="39">D272/D276</f>
        <v>8.3063028961611227</v>
      </c>
      <c r="E277" s="245">
        <f t="shared" si="39"/>
        <v>9.2067470826545037</v>
      </c>
      <c r="F277" s="245">
        <f t="shared" si="39"/>
        <v>11.905940450498179</v>
      </c>
      <c r="G277" s="245">
        <f t="shared" ca="1" si="39"/>
        <v>11.295513758858984</v>
      </c>
      <c r="H277" s="245">
        <f t="shared" ca="1" si="39"/>
        <v>12.97734427469398</v>
      </c>
      <c r="I277" s="245">
        <f t="shared" ca="1" si="39"/>
        <v>14.484662851948237</v>
      </c>
      <c r="J277" s="245">
        <f t="shared" ca="1" si="39"/>
        <v>16.110184604686861</v>
      </c>
      <c r="K277" s="245">
        <f t="shared" ca="1" si="39"/>
        <v>17.952962875152419</v>
      </c>
      <c r="M277" s="397"/>
      <c r="O277" t="s">
        <v>228</v>
      </c>
    </row>
    <row r="278" spans="3:15">
      <c r="G278" s="328"/>
    </row>
    <row r="279" spans="3:15">
      <c r="C279" t="s">
        <v>224</v>
      </c>
      <c r="G279" s="151">
        <f>-(G183)</f>
        <v>73056</v>
      </c>
      <c r="H279" s="151">
        <f>-(H183)</f>
        <v>73056</v>
      </c>
      <c r="I279" s="151">
        <f>-(I183)</f>
        <v>73056</v>
      </c>
      <c r="J279" s="151">
        <f>-(J183)</f>
        <v>73056</v>
      </c>
      <c r="K279" s="151">
        <f>-(K183)</f>
        <v>73056</v>
      </c>
      <c r="M279" s="193"/>
      <c r="O279" t="s">
        <v>221</v>
      </c>
    </row>
    <row r="280" spans="3:15">
      <c r="C280" t="s">
        <v>225</v>
      </c>
      <c r="G280" s="151">
        <f ca="1">-(G33)</f>
        <v>-5086.5760736384345</v>
      </c>
      <c r="H280" s="151">
        <f ca="1">-(H33)</f>
        <v>-5335.6125967281014</v>
      </c>
      <c r="I280" s="151">
        <f ca="1">-(I33)</f>
        <v>-5597.6107930936605</v>
      </c>
      <c r="J280" s="151">
        <f ca="1">-(J33)</f>
        <v>-5902.8288432365589</v>
      </c>
      <c r="K280" s="151">
        <f ca="1">-(K33)</f>
        <v>-6258.4669815641573</v>
      </c>
      <c r="M280" s="193"/>
      <c r="O280" t="s">
        <v>222</v>
      </c>
    </row>
    <row r="281" spans="3:15">
      <c r="C281" t="s">
        <v>220</v>
      </c>
      <c r="G281" s="246">
        <v>180</v>
      </c>
      <c r="H281" s="329">
        <f>G281*(1+H282)</f>
        <v>206.99999999999997</v>
      </c>
      <c r="I281" s="329">
        <f>H281*(1+I282)</f>
        <v>238.04999999999995</v>
      </c>
      <c r="J281" s="329">
        <f>I281*(1+J282)</f>
        <v>273.75749999999994</v>
      </c>
      <c r="K281" s="329">
        <f>J281*(1+K282)</f>
        <v>314.82112499999988</v>
      </c>
      <c r="M281" s="398"/>
      <c r="O281" t="s">
        <v>229</v>
      </c>
    </row>
    <row r="282" spans="3:15">
      <c r="C282" t="s">
        <v>219</v>
      </c>
      <c r="H282" s="244">
        <v>0.15</v>
      </c>
      <c r="I282" s="244">
        <v>0.15</v>
      </c>
      <c r="J282" s="244">
        <v>0.15</v>
      </c>
      <c r="K282" s="244">
        <v>0.15</v>
      </c>
      <c r="M282" s="399"/>
      <c r="O282" t="s">
        <v>126</v>
      </c>
    </row>
  </sheetData>
  <conditionalFormatting sqref="C40">
    <cfRule type="expression" dxfId="9" priority="3">
      <formula>#REF!=$C40</formula>
    </cfRule>
  </conditionalFormatting>
  <conditionalFormatting sqref="C263">
    <cfRule type="expression" dxfId="8" priority="2">
      <formula>#REF!=$C263</formula>
    </cfRule>
  </conditionalFormatting>
  <conditionalFormatting sqref="C245">
    <cfRule type="expression" dxfId="7" priority="1">
      <formula>#REF!=$C245</formula>
    </cfRule>
  </conditionalFormatting>
  <dataValidations count="5">
    <dataValidation type="list" allowBlank="1" showInputMessage="1" showErrorMessage="1" sqref="G105 G115" xr:uid="{9B6360A9-A867-4ABA-B40A-0653AF402FEA}">
      <formula1>"1,2"</formula1>
    </dataValidation>
    <dataValidation type="list" allowBlank="1" showInputMessage="1" showErrorMessage="1" sqref="D7" xr:uid="{2F8448CE-99C7-4DE4-850D-B8CED95D7023}">
      <formula1>"0,1"</formula1>
    </dataValidation>
    <dataValidation type="list" allowBlank="1" showInputMessage="1" showErrorMessage="1" sqref="D12" xr:uid="{A9264AFE-8279-44B2-818D-5379F6656112}">
      <formula1>$C$248:$C$250</formula1>
    </dataValidation>
    <dataValidation type="list" allowBlank="1" showInputMessage="1" showErrorMessage="1" sqref="C3" xr:uid="{40CD7611-E276-47D1-B487-6844AB6F17E7}">
      <formula1>"$ bns except per share, $ mm except per share,$ in thousands except per share"</formula1>
    </dataValidation>
    <dataValidation type="list" allowBlank="1" showInputMessage="1" showErrorMessage="1" sqref="E161" xr:uid="{0417CEC9-076C-45F2-8BBA-7E61EFEADA2E}">
      <formula1>"1,.5"</formula1>
    </dataValidation>
  </dataValidations>
  <pageMargins left="0.7" right="0.7" top="0.75" bottom="0.75" header="0.3" footer="0.3"/>
  <pageSetup scale="16"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06250-A547-497C-861D-61ADCFC25AA5}">
  <sheetPr>
    <pageSetUpPr fitToPage="1"/>
  </sheetPr>
  <dimension ref="B1:V287"/>
  <sheetViews>
    <sheetView topLeftCell="A142" zoomScaleNormal="100" workbookViewId="0">
      <selection activeCell="M177" sqref="M177"/>
    </sheetView>
  </sheetViews>
  <sheetFormatPr defaultColWidth="8.85546875" defaultRowHeight="15"/>
  <cols>
    <col min="1" max="2" width="1.7109375" customWidth="1"/>
    <col min="3" max="3" width="58.28515625" customWidth="1"/>
    <col min="4" max="4" width="13.28515625" bestFit="1" customWidth="1"/>
    <col min="5" max="11" width="11.42578125" customWidth="1"/>
    <col min="12" max="12" width="2.5703125" customWidth="1"/>
    <col min="13" max="13" width="11.42578125" style="382" customWidth="1"/>
    <col min="14" max="14" width="2.28515625" customWidth="1"/>
    <col min="15" max="15" width="11.42578125" customWidth="1"/>
    <col min="16" max="16" width="11.85546875" customWidth="1"/>
    <col min="17" max="19" width="10.28515625" bestFit="1" customWidth="1"/>
    <col min="20" max="21" width="9.42578125" bestFit="1" customWidth="1"/>
  </cols>
  <sheetData>
    <row r="1" spans="3:21" ht="15.75" thickBot="1">
      <c r="M1"/>
    </row>
    <row r="2" spans="3:21" ht="15.75" thickBot="1">
      <c r="C2" s="96" t="str">
        <f>"Financial Statement Model for "&amp;D5</f>
        <v>Financial Statement Model for Apple</v>
      </c>
      <c r="D2" s="263"/>
      <c r="E2" s="263"/>
      <c r="F2" s="263"/>
      <c r="G2" s="263"/>
      <c r="H2" s="263"/>
      <c r="I2" s="263"/>
      <c r="J2" s="263"/>
      <c r="K2" s="263"/>
      <c r="L2" s="217"/>
      <c r="M2" s="217"/>
    </row>
    <row r="3" spans="3:21">
      <c r="C3" s="264" t="s">
        <v>46</v>
      </c>
      <c r="D3" s="265"/>
      <c r="E3" s="265"/>
      <c r="F3" s="265"/>
      <c r="G3" s="265"/>
      <c r="H3" s="265"/>
      <c r="M3"/>
    </row>
    <row r="4" spans="3:21">
      <c r="M4"/>
    </row>
    <row r="5" spans="3:21">
      <c r="C5" s="266" t="s">
        <v>5</v>
      </c>
      <c r="D5" s="267" t="s">
        <v>50</v>
      </c>
      <c r="M5"/>
    </row>
    <row r="6" spans="3:21">
      <c r="C6" s="266" t="s">
        <v>6</v>
      </c>
      <c r="D6" s="267" t="s">
        <v>51</v>
      </c>
      <c r="M6"/>
    </row>
    <row r="7" spans="3:21">
      <c r="C7" t="s">
        <v>109</v>
      </c>
      <c r="D7" s="113">
        <v>1</v>
      </c>
      <c r="M7"/>
    </row>
    <row r="8" spans="3:21">
      <c r="C8" t="s">
        <v>73</v>
      </c>
      <c r="D8" s="114">
        <v>171.25</v>
      </c>
      <c r="M8"/>
    </row>
    <row r="9" spans="3:21">
      <c r="C9" t="s">
        <v>9</v>
      </c>
      <c r="D9" s="115">
        <v>43500</v>
      </c>
      <c r="M9"/>
    </row>
    <row r="10" spans="3:21">
      <c r="C10" s="266" t="s">
        <v>8</v>
      </c>
      <c r="D10" s="116">
        <v>43372</v>
      </c>
      <c r="M10"/>
    </row>
    <row r="11" spans="3:21" ht="15" customHeight="1">
      <c r="C11" t="s">
        <v>292</v>
      </c>
      <c r="D11" s="268">
        <v>4745.3980000000001</v>
      </c>
      <c r="M11"/>
    </row>
    <row r="12" spans="3:21">
      <c r="C12" t="s">
        <v>82</v>
      </c>
      <c r="D12" s="113" t="s">
        <v>83</v>
      </c>
      <c r="M12"/>
    </row>
    <row r="13" spans="3:21">
      <c r="C13" s="24"/>
      <c r="D13" s="24"/>
      <c r="M13"/>
      <c r="U13" s="342"/>
    </row>
    <row r="14" spans="3:21">
      <c r="C14" s="7" t="s">
        <v>19</v>
      </c>
      <c r="D14" s="269"/>
      <c r="E14" s="269"/>
      <c r="F14" s="269"/>
      <c r="G14" s="269"/>
      <c r="H14" s="269"/>
      <c r="I14" s="269"/>
      <c r="J14" s="269"/>
      <c r="K14" s="269"/>
      <c r="L14" s="217"/>
      <c r="M14" s="269"/>
    </row>
    <row r="15" spans="3:21">
      <c r="C15" t="s">
        <v>10</v>
      </c>
      <c r="D15" s="270">
        <f>E15-1</f>
        <v>2016</v>
      </c>
      <c r="E15" s="270">
        <f>F15-1</f>
        <v>2017</v>
      </c>
      <c r="F15" s="270">
        <f>YEAR(D10)</f>
        <v>2018</v>
      </c>
      <c r="G15" s="271">
        <f>F15+1</f>
        <v>2019</v>
      </c>
      <c r="H15" s="271">
        <f>G15+1</f>
        <v>2020</v>
      </c>
      <c r="I15" s="271">
        <f>H15+1</f>
        <v>2021</v>
      </c>
      <c r="J15" s="271">
        <f>I15+1</f>
        <v>2022</v>
      </c>
      <c r="K15" s="271">
        <f>J15+1</f>
        <v>2023</v>
      </c>
      <c r="L15" s="271"/>
      <c r="M15" s="374" t="s">
        <v>272</v>
      </c>
    </row>
    <row r="16" spans="3:21">
      <c r="C16" s="12" t="s">
        <v>7</v>
      </c>
      <c r="D16" s="89">
        <f>EOMONTH(E16,-12)</f>
        <v>42643</v>
      </c>
      <c r="E16" s="89">
        <f>EOMONTH(F16,-12)</f>
        <v>43008</v>
      </c>
      <c r="F16" s="89">
        <f>D10</f>
        <v>43372</v>
      </c>
      <c r="G16" s="89">
        <f>EOMONTH(F16,12)</f>
        <v>43738</v>
      </c>
      <c r="H16" s="89">
        <f>EOMONTH(G16,12)</f>
        <v>44104</v>
      </c>
      <c r="I16" s="89">
        <f>EOMONTH(H16,12)</f>
        <v>44469</v>
      </c>
      <c r="J16" s="89">
        <f>EOMONTH(I16,12)</f>
        <v>44834</v>
      </c>
      <c r="K16" s="89">
        <f>EOMONTH(J16,12)</f>
        <v>45199</v>
      </c>
      <c r="L16" s="16"/>
      <c r="M16" s="375" t="s">
        <v>273</v>
      </c>
      <c r="O16" s="84" t="s">
        <v>86</v>
      </c>
      <c r="P16" s="272"/>
      <c r="Q16" s="272"/>
      <c r="R16" s="272"/>
      <c r="S16" s="272"/>
      <c r="T16" s="272"/>
      <c r="U16" s="272"/>
    </row>
    <row r="17" spans="3:16">
      <c r="C17" s="273"/>
      <c r="D17" s="274"/>
      <c r="E17" s="275"/>
      <c r="F17" s="275"/>
      <c r="G17" s="276"/>
      <c r="H17" s="277"/>
      <c r="I17" s="277"/>
      <c r="J17" s="275"/>
      <c r="K17" s="275"/>
      <c r="L17" s="275"/>
      <c r="M17" s="370"/>
    </row>
    <row r="18" spans="3:16" ht="15" customHeight="1">
      <c r="C18" t="s">
        <v>11</v>
      </c>
      <c r="D18" s="3">
        <v>215639</v>
      </c>
      <c r="E18" s="3">
        <v>229234</v>
      </c>
      <c r="F18" s="3">
        <v>265595</v>
      </c>
      <c r="G18" s="33">
        <f ca="1">F18*(1+G37)</f>
        <v>252990.4817</v>
      </c>
      <c r="H18" s="33">
        <f ca="1">G18*(1+H37)</f>
        <v>265376.78419999999</v>
      </c>
      <c r="I18" s="33">
        <f ca="1">H18*(1+I37)</f>
        <v>278407.76003590086</v>
      </c>
      <c r="J18" s="33">
        <f ca="1">I18*(1+J37)</f>
        <v>293588.357044834</v>
      </c>
      <c r="K18" s="33">
        <f ca="1">J18*(1+K37)</f>
        <v>311276.6925034704</v>
      </c>
      <c r="L18" s="33"/>
      <c r="M18" s="376">
        <f ca="1">(K18/F18)^(1/COUNT(G18:K18))-1</f>
        <v>3.2251069846116476E-2</v>
      </c>
      <c r="O18" t="s">
        <v>87</v>
      </c>
    </row>
    <row r="19" spans="3:16">
      <c r="C19" t="s">
        <v>14</v>
      </c>
      <c r="D19" s="3">
        <v>-131376</v>
      </c>
      <c r="E19" s="3">
        <v>-141048</v>
      </c>
      <c r="F19" s="3">
        <v>-163756</v>
      </c>
      <c r="G19" s="33">
        <f ca="1">G20-G18</f>
        <v>-157360.07961740001</v>
      </c>
      <c r="H19" s="33">
        <f ca="1">H20-H18</f>
        <v>-164268.22941979999</v>
      </c>
      <c r="I19" s="33">
        <f ca="1">I20-I18</f>
        <v>-172055.99570218672</v>
      </c>
      <c r="J19" s="33">
        <f ca="1">J20-J18</f>
        <v>-181437.60465370741</v>
      </c>
      <c r="K19" s="33">
        <f ca="1">K20-K18</f>
        <v>-192368.99596714473</v>
      </c>
      <c r="L19" s="33"/>
      <c r="M19" s="371"/>
      <c r="O19" t="s">
        <v>88</v>
      </c>
    </row>
    <row r="20" spans="3:16">
      <c r="C20" s="24" t="s">
        <v>13</v>
      </c>
      <c r="D20" s="69">
        <f>SUM(D18:D19)</f>
        <v>84263</v>
      </c>
      <c r="E20" s="69">
        <f>SUM(E18:E19)</f>
        <v>88186</v>
      </c>
      <c r="F20" s="69">
        <f>SUM(F18:F19)</f>
        <v>101839</v>
      </c>
      <c r="G20" s="69">
        <f ca="1">G18*G38</f>
        <v>95630.402082600005</v>
      </c>
      <c r="H20" s="69">
        <f ca="1">H18*H38</f>
        <v>101108.55478019999</v>
      </c>
      <c r="I20" s="69">
        <f ca="1">I18*I38</f>
        <v>106351.76433371413</v>
      </c>
      <c r="J20" s="69">
        <f ca="1">J18*J38</f>
        <v>112150.75239112659</v>
      </c>
      <c r="K20" s="69">
        <f ca="1">K18*K38</f>
        <v>118907.69653632569</v>
      </c>
      <c r="L20" s="69"/>
      <c r="M20" s="372"/>
      <c r="O20" s="140" t="s">
        <v>89</v>
      </c>
    </row>
    <row r="21" spans="3:16">
      <c r="C21" t="s">
        <v>52</v>
      </c>
      <c r="D21" s="3">
        <v>-10045</v>
      </c>
      <c r="E21" s="3">
        <v>-11581</v>
      </c>
      <c r="F21" s="3">
        <v>-14236</v>
      </c>
      <c r="G21" s="33">
        <f ca="1">-G39*G18</f>
        <v>-15685.409865400001</v>
      </c>
      <c r="H21" s="33">
        <f ca="1">-H39*H18</f>
        <v>-16718.7374046</v>
      </c>
      <c r="I21" s="33">
        <f ca="1">-I39*I18</f>
        <v>-17539.688882261755</v>
      </c>
      <c r="J21" s="33">
        <f ca="1">-J39*J18</f>
        <v>-18496.066493824543</v>
      </c>
      <c r="K21" s="33">
        <f ca="1">-K39*K18</f>
        <v>-19610.431627718637</v>
      </c>
      <c r="L21" s="33"/>
      <c r="M21" s="371"/>
      <c r="O21" s="140" t="s">
        <v>233</v>
      </c>
    </row>
    <row r="22" spans="3:16">
      <c r="C22" t="s">
        <v>16</v>
      </c>
      <c r="D22" s="3">
        <v>-14194</v>
      </c>
      <c r="E22" s="3">
        <v>-15261</v>
      </c>
      <c r="F22" s="3">
        <v>-16705</v>
      </c>
      <c r="G22" s="33">
        <f ca="1">-G18*G40</f>
        <v>-18721.295645800001</v>
      </c>
      <c r="H22" s="33">
        <f ca="1">-H18*H40</f>
        <v>-18310.998109800003</v>
      </c>
      <c r="I22" s="33">
        <f ca="1">-I18*I40</f>
        <v>-19210.13544247716</v>
      </c>
      <c r="J22" s="33">
        <f ca="1">-J18*J40</f>
        <v>-20257.596636093549</v>
      </c>
      <c r="K22" s="33">
        <f ca="1">-K18*K40</f>
        <v>-21478.091782739459</v>
      </c>
      <c r="L22" s="33"/>
      <c r="M22" s="371"/>
      <c r="O22" s="140" t="s">
        <v>235</v>
      </c>
    </row>
    <row r="23" spans="3:16">
      <c r="C23" s="24" t="s">
        <v>3</v>
      </c>
      <c r="D23" s="69">
        <f t="shared" ref="D23:K23" si="0">D20+D21+D22</f>
        <v>60024</v>
      </c>
      <c r="E23" s="69">
        <f t="shared" si="0"/>
        <v>61344</v>
      </c>
      <c r="F23" s="69">
        <f t="shared" si="0"/>
        <v>70898</v>
      </c>
      <c r="G23" s="69">
        <f t="shared" ca="1" si="0"/>
        <v>61223.696571400011</v>
      </c>
      <c r="H23" s="69">
        <f t="shared" ca="1" si="0"/>
        <v>66078.81926579999</v>
      </c>
      <c r="I23" s="69">
        <f t="shared" ca="1" si="0"/>
        <v>69601.940008975216</v>
      </c>
      <c r="J23" s="69">
        <f t="shared" ca="1" si="0"/>
        <v>73397.089261208486</v>
      </c>
      <c r="K23" s="69">
        <f t="shared" ca="1" si="0"/>
        <v>77819.173125867601</v>
      </c>
      <c r="L23" s="69"/>
      <c r="M23" s="376">
        <f ca="1">(K23/F23)^(1/COUNT(G23:K23))-1</f>
        <v>1.8803728207189341E-2</v>
      </c>
      <c r="O23" s="24" t="s">
        <v>90</v>
      </c>
    </row>
    <row r="24" spans="3:16">
      <c r="C24" t="s">
        <v>4</v>
      </c>
      <c r="D24" s="3">
        <v>3999</v>
      </c>
      <c r="E24" s="3">
        <v>5201</v>
      </c>
      <c r="F24" s="3">
        <v>5686</v>
      </c>
      <c r="G24" s="153">
        <f>G223</f>
        <v>5121.3600000000006</v>
      </c>
      <c r="H24" s="153">
        <f ca="1">H223</f>
        <v>4350.9680067630825</v>
      </c>
      <c r="I24" s="153">
        <f ca="1">I223</f>
        <v>3737.6397640746773</v>
      </c>
      <c r="J24" s="153">
        <f ca="1">J223</f>
        <v>3229.0833655320835</v>
      </c>
      <c r="K24" s="153">
        <f ca="1">K223</f>
        <v>2742.7960462028482</v>
      </c>
      <c r="L24" s="153"/>
      <c r="M24" s="373"/>
      <c r="O24" t="s">
        <v>95</v>
      </c>
    </row>
    <row r="25" spans="3:16">
      <c r="C25" t="s">
        <v>17</v>
      </c>
      <c r="D25" s="3">
        <v>-1456</v>
      </c>
      <c r="E25" s="3">
        <v>-2323</v>
      </c>
      <c r="F25" s="3">
        <v>-3240</v>
      </c>
      <c r="G25" s="153">
        <f>-G209</f>
        <v>-3222.7544651501776</v>
      </c>
      <c r="H25" s="153">
        <f ca="1">-H209</f>
        <v>-3223.5392651501775</v>
      </c>
      <c r="I25" s="153">
        <f ca="1">-I209</f>
        <v>-3223.5392651501775</v>
      </c>
      <c r="J25" s="153">
        <f ca="1">-J209</f>
        <v>-3223.5392651501775</v>
      </c>
      <c r="K25" s="153">
        <f ca="1">-K209</f>
        <v>-3223.5392651501775</v>
      </c>
      <c r="L25" s="153"/>
      <c r="M25" s="373"/>
      <c r="O25" t="s">
        <v>94</v>
      </c>
    </row>
    <row r="26" spans="3:16">
      <c r="C26" t="s">
        <v>53</v>
      </c>
      <c r="D26" s="3">
        <v>-1195</v>
      </c>
      <c r="E26" s="3">
        <v>-133</v>
      </c>
      <c r="F26" s="3">
        <v>-441</v>
      </c>
      <c r="G26" s="153">
        <f>F26</f>
        <v>-441</v>
      </c>
      <c r="H26" s="153">
        <f>G26</f>
        <v>-441</v>
      </c>
      <c r="I26" s="153">
        <f>H26</f>
        <v>-441</v>
      </c>
      <c r="J26" s="153">
        <f>I26</f>
        <v>-441</v>
      </c>
      <c r="K26" s="153">
        <f>J26</f>
        <v>-441</v>
      </c>
      <c r="L26" s="153"/>
      <c r="M26" s="373"/>
      <c r="O26" t="s">
        <v>91</v>
      </c>
    </row>
    <row r="27" spans="3:16">
      <c r="C27" s="24" t="s">
        <v>12</v>
      </c>
      <c r="D27" s="69">
        <f t="shared" ref="D27:K27" si="1">SUM(D23:D26)</f>
        <v>61372</v>
      </c>
      <c r="E27" s="69">
        <f t="shared" si="1"/>
        <v>64089</v>
      </c>
      <c r="F27" s="69">
        <f t="shared" si="1"/>
        <v>72903</v>
      </c>
      <c r="G27" s="69">
        <f ca="1">SUM(G23:G26)</f>
        <v>62681.30210624983</v>
      </c>
      <c r="H27" s="69">
        <f ca="1">SUM(H23:H26)</f>
        <v>66765.248007412898</v>
      </c>
      <c r="I27" s="69">
        <f t="shared" ca="1" si="1"/>
        <v>69675.040507899714</v>
      </c>
      <c r="J27" s="69">
        <f t="shared" ca="1" si="1"/>
        <v>72961.6333615904</v>
      </c>
      <c r="K27" s="69">
        <f t="shared" ca="1" si="1"/>
        <v>76897.429906920268</v>
      </c>
      <c r="L27" s="69"/>
      <c r="M27" s="372"/>
      <c r="O27" s="24" t="s">
        <v>96</v>
      </c>
      <c r="P27" s="24"/>
    </row>
    <row r="28" spans="3:16">
      <c r="C28" t="s">
        <v>15</v>
      </c>
      <c r="D28" s="3">
        <v>-15685</v>
      </c>
      <c r="E28" s="3">
        <v>-15738</v>
      </c>
      <c r="F28" s="3">
        <v>-13372</v>
      </c>
      <c r="G28" s="33">
        <f ca="1">-G41*G27</f>
        <v>-10467.777451743723</v>
      </c>
      <c r="H28" s="33">
        <f ca="1">-H41*H27</f>
        <v>-11350.092161260194</v>
      </c>
      <c r="I28" s="33">
        <f ca="1">-I41*I27</f>
        <v>-11775.081845835053</v>
      </c>
      <c r="J28" s="33">
        <f ca="1">-J41*J27</f>
        <v>-12330.516038108779</v>
      </c>
      <c r="K28" s="33">
        <f ca="1">-K41*K27</f>
        <v>-12995.665654269525</v>
      </c>
      <c r="L28" s="33"/>
      <c r="M28" s="371"/>
      <c r="O28" t="s">
        <v>92</v>
      </c>
    </row>
    <row r="29" spans="3:16">
      <c r="C29" s="24" t="s">
        <v>2</v>
      </c>
      <c r="D29" s="69">
        <f t="shared" ref="D29:K29" si="2">SUM(D27:D28)</f>
        <v>45687</v>
      </c>
      <c r="E29" s="69">
        <f t="shared" si="2"/>
        <v>48351</v>
      </c>
      <c r="F29" s="69">
        <f t="shared" si="2"/>
        <v>59531</v>
      </c>
      <c r="G29" s="69">
        <f ca="1">SUM(G27:G28)</f>
        <v>52213.524654506109</v>
      </c>
      <c r="H29" s="69">
        <f ca="1">SUM(H27:H28)</f>
        <v>55415.155846152702</v>
      </c>
      <c r="I29" s="69">
        <f t="shared" ca="1" si="2"/>
        <v>57899.958662064659</v>
      </c>
      <c r="J29" s="69">
        <f t="shared" ca="1" si="2"/>
        <v>60631.117323481623</v>
      </c>
      <c r="K29" s="69">
        <f t="shared" ca="1" si="2"/>
        <v>63901.764252650741</v>
      </c>
      <c r="L29" s="69"/>
      <c r="M29" s="376">
        <f ca="1">(K29/F29)^(1/COUNT(G29:K29))-1</f>
        <v>1.4270826780873103E-2</v>
      </c>
      <c r="O29" s="24" t="s">
        <v>93</v>
      </c>
    </row>
    <row r="30" spans="3:16">
      <c r="C30" s="278"/>
      <c r="D30" s="153"/>
      <c r="E30" s="153"/>
      <c r="F30" s="153"/>
      <c r="G30" s="153"/>
      <c r="H30" s="153"/>
      <c r="I30" s="153"/>
      <c r="J30" s="153"/>
      <c r="K30" s="153"/>
      <c r="L30" s="153"/>
      <c r="M30" s="373"/>
    </row>
    <row r="31" spans="3:16">
      <c r="C31" s="279" t="s">
        <v>49</v>
      </c>
      <c r="D31" s="3">
        <v>10505</v>
      </c>
      <c r="E31" s="3">
        <v>10157</v>
      </c>
      <c r="F31" s="3">
        <v>10903</v>
      </c>
      <c r="G31" s="153">
        <f ca="1">G171</f>
        <v>10592.782507284561</v>
      </c>
      <c r="H31" s="153">
        <f ca="1">H171</f>
        <v>10569.397243121617</v>
      </c>
      <c r="I31" s="153">
        <f ca="1">I171</f>
        <v>11159.331479649651</v>
      </c>
      <c r="J31" s="153">
        <f ca="1">J171</f>
        <v>12287.842023721507</v>
      </c>
      <c r="K31" s="153">
        <f ca="1">K171</f>
        <v>13855.455338274283</v>
      </c>
      <c r="L31" s="153"/>
      <c r="M31" s="373"/>
      <c r="O31" t="s">
        <v>159</v>
      </c>
    </row>
    <row r="32" spans="3:16">
      <c r="C32" s="280" t="s">
        <v>47</v>
      </c>
      <c r="D32" s="69">
        <f t="shared" ref="D32:K32" si="3">D23+D31</f>
        <v>70529</v>
      </c>
      <c r="E32" s="69">
        <f t="shared" si="3"/>
        <v>71501</v>
      </c>
      <c r="F32" s="69">
        <f t="shared" si="3"/>
        <v>81801</v>
      </c>
      <c r="G32" s="69">
        <f t="shared" ca="1" si="3"/>
        <v>71816.47907868457</v>
      </c>
      <c r="H32" s="69">
        <f t="shared" ca="1" si="3"/>
        <v>76648.216508921614</v>
      </c>
      <c r="I32" s="69">
        <f t="shared" ca="1" si="3"/>
        <v>80761.271488624872</v>
      </c>
      <c r="J32" s="69">
        <f t="shared" ca="1" si="3"/>
        <v>85684.931284929989</v>
      </c>
      <c r="K32" s="69">
        <f t="shared" ca="1" si="3"/>
        <v>91674.62846414189</v>
      </c>
      <c r="L32" s="69"/>
      <c r="M32" s="376">
        <f ca="1">(K32/F32)^(1/COUNT(G32:K32))-1</f>
        <v>2.3052943231950174E-2</v>
      </c>
      <c r="O32" s="24" t="s">
        <v>97</v>
      </c>
    </row>
    <row r="33" spans="3:22">
      <c r="C33" s="279" t="s">
        <v>74</v>
      </c>
      <c r="D33" s="3">
        <v>4210</v>
      </c>
      <c r="E33" s="3">
        <v>4840</v>
      </c>
      <c r="F33" s="3">
        <v>5340</v>
      </c>
      <c r="G33" s="153">
        <f ca="1">F33*(1+G37)</f>
        <v>5086.5760736384345</v>
      </c>
      <c r="H33" s="153">
        <f ca="1">G33*(1+H37)</f>
        <v>5335.6125967281014</v>
      </c>
      <c r="I33" s="153">
        <f ca="1">H33*(1+I37)</f>
        <v>5597.6107930936605</v>
      </c>
      <c r="J33" s="153">
        <f ca="1">I33*(1+J37)</f>
        <v>5902.8288432365589</v>
      </c>
      <c r="K33" s="153">
        <f ca="1">J33*(1+K37)</f>
        <v>6258.4669815641573</v>
      </c>
      <c r="L33" s="153"/>
      <c r="M33" s="373"/>
      <c r="O33" t="s">
        <v>99</v>
      </c>
    </row>
    <row r="34" spans="3:22">
      <c r="C34" s="280" t="s">
        <v>72</v>
      </c>
      <c r="D34" s="69">
        <f t="shared" ref="D34:K34" si="4">SUM(D32:D33)</f>
        <v>74739</v>
      </c>
      <c r="E34" s="69">
        <f t="shared" si="4"/>
        <v>76341</v>
      </c>
      <c r="F34" s="69">
        <f>SUM(F32:F33)</f>
        <v>87141</v>
      </c>
      <c r="G34" s="69">
        <f t="shared" ca="1" si="4"/>
        <v>76903.05515232301</v>
      </c>
      <c r="H34" s="69">
        <f t="shared" ca="1" si="4"/>
        <v>81983.829105649711</v>
      </c>
      <c r="I34" s="69">
        <f t="shared" ca="1" si="4"/>
        <v>86358.882281718528</v>
      </c>
      <c r="J34" s="69">
        <f t="shared" ca="1" si="4"/>
        <v>91587.760128166556</v>
      </c>
      <c r="K34" s="69">
        <f t="shared" ca="1" si="4"/>
        <v>97933.095445706043</v>
      </c>
      <c r="L34" s="69"/>
      <c r="M34" s="372"/>
      <c r="O34" s="24" t="s">
        <v>98</v>
      </c>
    </row>
    <row r="35" spans="3:22">
      <c r="C35" s="278"/>
      <c r="G35" s="281"/>
      <c r="M35"/>
    </row>
    <row r="36" spans="3:22">
      <c r="C36" s="25" t="s">
        <v>18</v>
      </c>
    </row>
    <row r="37" spans="3:22">
      <c r="C37" s="278" t="s">
        <v>1</v>
      </c>
      <c r="D37" s="67"/>
      <c r="E37" s="67">
        <f>E18/D18-1</f>
        <v>6.304518199398057E-2</v>
      </c>
      <c r="F37" s="67">
        <f>F18/E18-1</f>
        <v>0.15861957650261305</v>
      </c>
      <c r="G37" s="282">
        <f ca="1">'Rev Build'!G14</f>
        <v>-4.7457664112652731E-2</v>
      </c>
      <c r="H37" s="282">
        <f ca="1">'Rev Build'!H14</f>
        <v>4.8959559335073566E-2</v>
      </c>
      <c r="I37" s="282">
        <f ca="1">'Rev Build'!I14</f>
        <v>4.9103676778599281E-2</v>
      </c>
      <c r="J37" s="282">
        <f ca="1">'Rev Build'!J14</f>
        <v>5.452648664310078E-2</v>
      </c>
      <c r="K37" s="282">
        <f ca="1">'Rev Build'!K14</f>
        <v>6.0248763393349503E-2</v>
      </c>
      <c r="L37" s="282"/>
      <c r="M37" s="400"/>
      <c r="O37" t="s">
        <v>192</v>
      </c>
      <c r="Q37" s="283"/>
      <c r="R37" s="283"/>
      <c r="S37" s="283"/>
      <c r="T37" s="283"/>
      <c r="U37" s="283"/>
      <c r="V37" s="283"/>
    </row>
    <row r="38" spans="3:22">
      <c r="C38" s="278" t="s">
        <v>231</v>
      </c>
      <c r="D38" s="67">
        <f>D20/D18</f>
        <v>0.39075955648097049</v>
      </c>
      <c r="E38" s="67">
        <f>E20/E18</f>
        <v>0.38469860491899105</v>
      </c>
      <c r="F38" s="67">
        <f>F20/F18</f>
        <v>0.38343718820007905</v>
      </c>
      <c r="G38" s="67">
        <f t="shared" ref="G38:K40" ca="1" si="5">G243</f>
        <v>0.378</v>
      </c>
      <c r="H38" s="67">
        <f t="shared" ca="1" si="5"/>
        <v>0.38100000000000001</v>
      </c>
      <c r="I38" s="67">
        <f t="shared" ca="1" si="5"/>
        <v>0.38200000000000001</v>
      </c>
      <c r="J38" s="67">
        <f t="shared" ca="1" si="5"/>
        <v>0.38200000000000001</v>
      </c>
      <c r="K38" s="67">
        <f t="shared" ca="1" si="5"/>
        <v>0.38200000000000001</v>
      </c>
      <c r="L38" s="67"/>
      <c r="M38" s="383"/>
      <c r="O38" t="s">
        <v>192</v>
      </c>
      <c r="Q38" s="283"/>
      <c r="R38" s="283"/>
      <c r="S38" s="283"/>
      <c r="T38" s="283"/>
      <c r="U38" s="283"/>
      <c r="V38" s="283"/>
    </row>
    <row r="39" spans="3:22">
      <c r="C39" s="278" t="s">
        <v>232</v>
      </c>
      <c r="D39" s="67">
        <f>-D21/D18</f>
        <v>4.6582482760539605E-2</v>
      </c>
      <c r="E39" s="67">
        <f>-E21/E18</f>
        <v>5.0520428906706681E-2</v>
      </c>
      <c r="F39" s="67">
        <f>-F21/F18</f>
        <v>5.3600406634161032E-2</v>
      </c>
      <c r="G39" s="67">
        <f t="shared" ca="1" si="5"/>
        <v>6.2E-2</v>
      </c>
      <c r="H39" s="67">
        <f t="shared" ca="1" si="5"/>
        <v>6.3E-2</v>
      </c>
      <c r="I39" s="67">
        <f t="shared" ca="1" si="5"/>
        <v>6.3E-2</v>
      </c>
      <c r="J39" s="67">
        <f t="shared" ca="1" si="5"/>
        <v>6.3E-2</v>
      </c>
      <c r="K39" s="67">
        <f t="shared" ca="1" si="5"/>
        <v>6.3E-2</v>
      </c>
      <c r="L39" s="67"/>
      <c r="M39" s="383"/>
      <c r="O39" t="s">
        <v>192</v>
      </c>
      <c r="Q39" s="283"/>
      <c r="R39" s="283"/>
      <c r="S39" s="283"/>
      <c r="T39" s="283"/>
      <c r="U39" s="283"/>
      <c r="V39" s="283"/>
    </row>
    <row r="40" spans="3:22">
      <c r="C40" s="278" t="s">
        <v>234</v>
      </c>
      <c r="D40" s="67">
        <f>-D22/D18</f>
        <v>6.5822972653369755E-2</v>
      </c>
      <c r="E40" s="67">
        <f>-E22/E18</f>
        <v>6.6573893924984945E-2</v>
      </c>
      <c r="F40" s="67">
        <f>-F22/F18</f>
        <v>6.2896515371147807E-2</v>
      </c>
      <c r="G40" s="67">
        <f t="shared" ca="1" si="5"/>
        <v>7.3999999999999996E-2</v>
      </c>
      <c r="H40" s="67">
        <f t="shared" ca="1" si="5"/>
        <v>6.9000000000000006E-2</v>
      </c>
      <c r="I40" s="67">
        <f t="shared" ca="1" si="5"/>
        <v>6.9000000000000006E-2</v>
      </c>
      <c r="J40" s="67">
        <f t="shared" ca="1" si="5"/>
        <v>6.9000000000000006E-2</v>
      </c>
      <c r="K40" s="67">
        <f t="shared" ca="1" si="5"/>
        <v>6.9000000000000006E-2</v>
      </c>
      <c r="L40" s="67"/>
      <c r="M40" s="383"/>
      <c r="O40" t="s">
        <v>192</v>
      </c>
      <c r="Q40" s="283"/>
      <c r="R40" s="283"/>
      <c r="S40" s="283"/>
      <c r="T40" s="283"/>
      <c r="U40" s="283"/>
      <c r="V40" s="283"/>
    </row>
    <row r="41" spans="3:22">
      <c r="C41" s="278" t="s">
        <v>0</v>
      </c>
      <c r="D41" s="67">
        <f>-(D28/D27)</f>
        <v>0.25557257381216192</v>
      </c>
      <c r="E41" s="67">
        <f>-(E28/E27)</f>
        <v>0.24556476150353415</v>
      </c>
      <c r="F41" s="67">
        <f>-(F28/F27)</f>
        <v>0.18342180705869443</v>
      </c>
      <c r="G41" s="283">
        <v>0.16700000000000001</v>
      </c>
      <c r="H41" s="283">
        <v>0.17</v>
      </c>
      <c r="I41" s="283">
        <v>0.16900000000000001</v>
      </c>
      <c r="J41" s="67">
        <f>I41</f>
        <v>0.16900000000000001</v>
      </c>
      <c r="K41" s="67">
        <f>J41</f>
        <v>0.16900000000000001</v>
      </c>
      <c r="L41" s="67"/>
      <c r="M41" s="383"/>
      <c r="O41" t="s">
        <v>153</v>
      </c>
      <c r="Q41" s="283"/>
      <c r="R41" s="283"/>
      <c r="S41" s="283"/>
      <c r="T41" s="283"/>
      <c r="U41" s="283"/>
      <c r="V41" s="283"/>
    </row>
    <row r="42" spans="3:22">
      <c r="C42" s="278"/>
      <c r="G42" s="281"/>
    </row>
    <row r="43" spans="3:22">
      <c r="C43" s="7" t="s">
        <v>20</v>
      </c>
      <c r="D43" s="13"/>
      <c r="E43" s="13"/>
      <c r="F43" s="13"/>
      <c r="G43" s="269"/>
      <c r="H43" s="269"/>
      <c r="I43" s="269"/>
      <c r="J43" s="269"/>
      <c r="K43" s="269"/>
      <c r="L43" s="217"/>
      <c r="M43" s="378"/>
    </row>
    <row r="44" spans="3:22">
      <c r="C44" s="35" t="str">
        <f>C15</f>
        <v xml:space="preserve">Fiscal year  </v>
      </c>
      <c r="D44" s="284"/>
      <c r="E44" s="284">
        <f t="shared" ref="E44:K45" si="6">E15</f>
        <v>2017</v>
      </c>
      <c r="F44" s="284">
        <f t="shared" si="6"/>
        <v>2018</v>
      </c>
      <c r="G44" s="285">
        <f t="shared" si="6"/>
        <v>2019</v>
      </c>
      <c r="H44" s="285">
        <f t="shared" si="6"/>
        <v>2020</v>
      </c>
      <c r="I44" s="285">
        <f t="shared" si="6"/>
        <v>2021</v>
      </c>
      <c r="J44" s="285">
        <f t="shared" si="6"/>
        <v>2022</v>
      </c>
      <c r="K44" s="285">
        <f t="shared" si="6"/>
        <v>2023</v>
      </c>
      <c r="L44" s="285"/>
      <c r="M44" s="379"/>
    </row>
    <row r="45" spans="3:22">
      <c r="C45" s="269" t="str">
        <f>C16</f>
        <v>Fiscal year end date</v>
      </c>
      <c r="D45" s="32"/>
      <c r="E45" s="32">
        <f t="shared" si="6"/>
        <v>43008</v>
      </c>
      <c r="F45" s="32">
        <f t="shared" si="6"/>
        <v>43372</v>
      </c>
      <c r="G45" s="32">
        <f t="shared" si="6"/>
        <v>43738</v>
      </c>
      <c r="H45" s="32">
        <f t="shared" si="6"/>
        <v>44104</v>
      </c>
      <c r="I45" s="32">
        <f t="shared" si="6"/>
        <v>44469</v>
      </c>
      <c r="J45" s="32">
        <f t="shared" si="6"/>
        <v>44834</v>
      </c>
      <c r="K45" s="32">
        <f t="shared" si="6"/>
        <v>45199</v>
      </c>
      <c r="L45" s="236"/>
      <c r="M45" s="380"/>
    </row>
    <row r="46" spans="3:22">
      <c r="C46" t="s">
        <v>138</v>
      </c>
      <c r="D46" s="3"/>
      <c r="E46" s="3">
        <f>20289+53892+E133</f>
        <v>268895</v>
      </c>
      <c r="F46" s="3">
        <f>25913+40388+F133</f>
        <v>237100</v>
      </c>
      <c r="G46" s="153">
        <f ca="1">G92+F46</f>
        <v>201433.70401680938</v>
      </c>
      <c r="H46" s="153">
        <f ca="1">H92+G46</f>
        <v>173038.87796642023</v>
      </c>
      <c r="I46" s="153">
        <f ca="1">I92+H46</f>
        <v>149494.60025611497</v>
      </c>
      <c r="J46" s="153">
        <f ca="1">J92+I46</f>
        <v>126981.29843531705</v>
      </c>
      <c r="K46" s="153">
        <f ca="1">K92+J46</f>
        <v>110622.72097319274</v>
      </c>
      <c r="L46" s="153"/>
      <c r="M46" s="193"/>
      <c r="O46" t="s">
        <v>118</v>
      </c>
    </row>
    <row r="47" spans="3:22">
      <c r="C47" t="s">
        <v>54</v>
      </c>
      <c r="D47" s="3"/>
      <c r="E47" s="3">
        <v>17874</v>
      </c>
      <c r="F47" s="3">
        <v>23186</v>
      </c>
      <c r="G47" s="153">
        <f ca="1">G101</f>
        <v>23946.473303013707</v>
      </c>
      <c r="H47" s="153">
        <f ca="1">H101</f>
        <v>25493.585123287659</v>
      </c>
      <c r="I47" s="153">
        <f ca="1">I101</f>
        <v>26374.161951893868</v>
      </c>
      <c r="J47" s="153">
        <f ca="1">J101</f>
        <v>28321.751141390268</v>
      </c>
      <c r="K47" s="153">
        <f ca="1">K101</f>
        <v>29669.523078434351</v>
      </c>
      <c r="L47" s="153"/>
      <c r="M47" s="193"/>
      <c r="O47" t="s">
        <v>250</v>
      </c>
    </row>
    <row r="48" spans="3:22">
      <c r="C48" t="s">
        <v>55</v>
      </c>
      <c r="D48" s="3"/>
      <c r="E48" s="3">
        <v>4855</v>
      </c>
      <c r="F48" s="3">
        <v>3956</v>
      </c>
      <c r="G48" s="153">
        <f ca="1">G113</f>
        <v>3363.0734705767445</v>
      </c>
      <c r="H48" s="153">
        <f ca="1">H113</f>
        <v>4103.6642303232547</v>
      </c>
      <c r="I48" s="153">
        <f ca="1">I113</f>
        <v>3543.2689119961551</v>
      </c>
      <c r="J48" s="153">
        <f ca="1">J113</f>
        <v>4345.322594686776</v>
      </c>
      <c r="K48" s="153">
        <f ca="1">K113</f>
        <v>3840.5921273193826</v>
      </c>
      <c r="L48" s="153"/>
      <c r="M48" s="193"/>
      <c r="O48" t="s">
        <v>251</v>
      </c>
    </row>
    <row r="49" spans="3:15">
      <c r="C49" t="s">
        <v>280</v>
      </c>
      <c r="D49" s="3"/>
      <c r="E49" s="3">
        <f>17799</f>
        <v>17799</v>
      </c>
      <c r="F49" s="3">
        <f>25809</f>
        <v>25809</v>
      </c>
      <c r="G49" s="153">
        <f ca="1">F49*(1+G37)</f>
        <v>24584.165146916544</v>
      </c>
      <c r="H49" s="153">
        <f ca="1">G49*(1+H37)</f>
        <v>25787.795039130251</v>
      </c>
      <c r="I49" s="153">
        <f ca="1">H49*(1+I37)</f>
        <v>27054.070591564468</v>
      </c>
      <c r="J49" s="153">
        <f ca="1">I49*(1+J37)</f>
        <v>28529.234010316915</v>
      </c>
      <c r="K49" s="153">
        <f ca="1">J49*(1+K37)</f>
        <v>30248.085079998</v>
      </c>
      <c r="L49" s="153"/>
      <c r="M49" s="193"/>
      <c r="O49" t="s">
        <v>103</v>
      </c>
    </row>
    <row r="50" spans="3:15">
      <c r="C50" t="s">
        <v>56</v>
      </c>
      <c r="D50" s="3"/>
      <c r="E50" s="3">
        <v>13936</v>
      </c>
      <c r="F50" s="3">
        <v>12087</v>
      </c>
      <c r="G50" s="153">
        <f ca="1">F50*(1+G37)</f>
        <v>11513.379213870367</v>
      </c>
      <c r="H50" s="153">
        <f ca="1">G50*(1+H37)</f>
        <v>12077.069186639055</v>
      </c>
      <c r="I50" s="153">
        <f ca="1">H50*(1+I37)</f>
        <v>12670.097688412561</v>
      </c>
      <c r="J50" s="153">
        <f ca="1">I50*(1+J37)</f>
        <v>13360.95360078657</v>
      </c>
      <c r="K50" s="153">
        <f ca="1">J50*(1+K37)</f>
        <v>14165.934532989881</v>
      </c>
      <c r="L50" s="153"/>
      <c r="M50" s="193"/>
      <c r="O50" t="s">
        <v>103</v>
      </c>
    </row>
    <row r="51" spans="3:15">
      <c r="C51" t="s">
        <v>21</v>
      </c>
      <c r="D51" s="3"/>
      <c r="E51" s="3">
        <v>33783</v>
      </c>
      <c r="F51" s="3">
        <v>41304</v>
      </c>
      <c r="G51" s="153">
        <f>G146</f>
        <v>45523.142857142855</v>
      </c>
      <c r="H51" s="153">
        <f>H146</f>
        <v>50204.428571428565</v>
      </c>
      <c r="I51" s="153">
        <f>I146</f>
        <v>54544.428571428565</v>
      </c>
      <c r="J51" s="153">
        <f ca="1">J146</f>
        <v>58601.042118258818</v>
      </c>
      <c r="K51" s="153">
        <f ca="1">K146</f>
        <v>62074.775586999589</v>
      </c>
      <c r="L51" s="153"/>
      <c r="M51" s="193"/>
      <c r="O51" t="s">
        <v>105</v>
      </c>
    </row>
    <row r="52" spans="3:15">
      <c r="C52" t="s">
        <v>56</v>
      </c>
      <c r="D52" s="3"/>
      <c r="E52" s="3">
        <v>18177</v>
      </c>
      <c r="F52" s="3">
        <v>22283</v>
      </c>
      <c r="G52" s="153">
        <f ca="1">F52*(1+G37)</f>
        <v>21225.500870577758</v>
      </c>
      <c r="H52" s="153">
        <f ca="1">G52*(1+H37)</f>
        <v>22264.692039867467</v>
      </c>
      <c r="I52" s="153">
        <f ca="1">H52*(1+I37)</f>
        <v>23357.970281368172</v>
      </c>
      <c r="J52" s="153">
        <f ca="1">I52*(1+J37)</f>
        <v>24631.59833592514</v>
      </c>
      <c r="K52" s="153">
        <f ca="1">J52*(1+K37)</f>
        <v>26115.621676066316</v>
      </c>
      <c r="L52" s="153"/>
      <c r="M52" s="193"/>
      <c r="O52" t="s">
        <v>103</v>
      </c>
    </row>
    <row r="53" spans="3:15">
      <c r="C53" s="280" t="s">
        <v>22</v>
      </c>
      <c r="D53" s="69"/>
      <c r="E53" s="69">
        <f t="shared" ref="E53:K53" si="7">SUM(E46:E52)</f>
        <v>375319</v>
      </c>
      <c r="F53" s="69">
        <f t="shared" si="7"/>
        <v>365725</v>
      </c>
      <c r="G53" s="52">
        <f t="shared" ca="1" si="7"/>
        <v>331589.43887890736</v>
      </c>
      <c r="H53" s="52">
        <f t="shared" ca="1" si="7"/>
        <v>312970.1121570965</v>
      </c>
      <c r="I53" s="52">
        <f t="shared" ca="1" si="7"/>
        <v>297038.59825277876</v>
      </c>
      <c r="J53" s="52">
        <f t="shared" ca="1" si="7"/>
        <v>284771.20023668156</v>
      </c>
      <c r="K53" s="52">
        <f t="shared" ca="1" si="7"/>
        <v>276737.25305500027</v>
      </c>
      <c r="L53" s="52"/>
      <c r="M53" s="194"/>
    </row>
    <row r="54" spans="3:15">
      <c r="C54" s="279"/>
      <c r="D54" s="153"/>
      <c r="E54" s="153"/>
      <c r="F54" s="153"/>
      <c r="G54" s="153"/>
      <c r="H54" s="153"/>
      <c r="I54" s="153"/>
      <c r="J54" s="153"/>
      <c r="K54" s="153"/>
      <c r="L54" s="153"/>
      <c r="M54" s="193"/>
    </row>
    <row r="55" spans="3:15">
      <c r="C55" s="279" t="s">
        <v>57</v>
      </c>
      <c r="D55" s="3"/>
      <c r="E55" s="3">
        <v>44242</v>
      </c>
      <c r="F55" s="3">
        <v>55888</v>
      </c>
      <c r="G55" s="153">
        <f ca="1">F55*G19/F19</f>
        <v>53705.147473419303</v>
      </c>
      <c r="H55" s="153">
        <f ca="1">G55*H19/G19</f>
        <v>56062.817886451681</v>
      </c>
      <c r="I55" s="153">
        <f ca="1">H55*I19/H19</f>
        <v>58720.691075770112</v>
      </c>
      <c r="J55" s="153">
        <f ca="1">I55*J19/I19</f>
        <v>61922.524053386733</v>
      </c>
      <c r="K55" s="153">
        <f ca="1">J55*K19/J19</f>
        <v>65653.279553798231</v>
      </c>
      <c r="L55" s="153"/>
      <c r="M55" s="193"/>
      <c r="O55" t="s">
        <v>104</v>
      </c>
    </row>
    <row r="56" spans="3:15">
      <c r="C56" s="279" t="s">
        <v>117</v>
      </c>
      <c r="D56" s="3"/>
      <c r="E56" s="3">
        <v>30551</v>
      </c>
      <c r="F56" s="3">
        <v>32687</v>
      </c>
      <c r="G56" s="153">
        <f ca="1">F56*(1+G37)</f>
        <v>31135.751333149721</v>
      </c>
      <c r="H56" s="153">
        <f ca="1">G56*(1+H37)</f>
        <v>32660.143997987161</v>
      </c>
      <c r="I56" s="153">
        <f ca="1">H56*(1+I37)</f>
        <v>34263.877152406829</v>
      </c>
      <c r="J56" s="153">
        <f ca="1">I56*(1+J37)</f>
        <v>36132.165992298389</v>
      </c>
      <c r="K56" s="153">
        <f ca="1">J56*(1+K37)</f>
        <v>38309.084312057603</v>
      </c>
      <c r="L56" s="153"/>
      <c r="M56" s="193"/>
      <c r="O56" t="s">
        <v>103</v>
      </c>
    </row>
    <row r="57" spans="3:15">
      <c r="C57" s="279" t="s">
        <v>58</v>
      </c>
      <c r="D57" s="3"/>
      <c r="E57" s="3">
        <f>7548+E134</f>
        <v>10384</v>
      </c>
      <c r="F57" s="3">
        <f>7543+F134</f>
        <v>10340</v>
      </c>
      <c r="G57" s="153">
        <f ca="1">F57*(1+G37)</f>
        <v>9849.2877530751703</v>
      </c>
      <c r="H57" s="153">
        <f ca="1">G57*(1+H37)</f>
        <v>10331.504541230068</v>
      </c>
      <c r="I57" s="153">
        <f ca="1">H57*(1+I37)</f>
        <v>10838.81940085926</v>
      </c>
      <c r="J57" s="153">
        <f ca="1">I57*(1+J37)</f>
        <v>11429.822142147194</v>
      </c>
      <c r="K57" s="153">
        <f ca="1">J57*(1+K37)</f>
        <v>12118.454792017486</v>
      </c>
      <c r="L57" s="153"/>
      <c r="M57" s="193"/>
      <c r="O57" t="s">
        <v>103</v>
      </c>
    </row>
    <row r="58" spans="3:15">
      <c r="C58" s="279" t="s">
        <v>60</v>
      </c>
      <c r="D58" s="3"/>
      <c r="E58" s="3">
        <v>11977</v>
      </c>
      <c r="F58" s="3">
        <v>11964</v>
      </c>
      <c r="G58" s="153">
        <f ca="1">G202</f>
        <v>12000</v>
      </c>
      <c r="H58" s="153">
        <f ca="1">H202</f>
        <v>12000</v>
      </c>
      <c r="I58" s="153">
        <f ca="1">I202</f>
        <v>12000</v>
      </c>
      <c r="J58" s="153">
        <f ca="1">J202</f>
        <v>12000</v>
      </c>
      <c r="K58" s="153">
        <f ca="1">K202</f>
        <v>12000</v>
      </c>
      <c r="L58" s="153"/>
      <c r="M58" s="193"/>
      <c r="O58" t="s">
        <v>187</v>
      </c>
    </row>
    <row r="59" spans="3:15">
      <c r="C59" s="279" t="s">
        <v>122</v>
      </c>
      <c r="D59" s="3"/>
      <c r="E59" s="3">
        <f>6496+E135</f>
        <v>103703</v>
      </c>
      <c r="F59" s="3">
        <f>8784+F135</f>
        <v>102519</v>
      </c>
      <c r="G59" s="153">
        <f>F59</f>
        <v>102519</v>
      </c>
      <c r="H59" s="153">
        <f t="shared" ref="H59:K59" si="8">G59</f>
        <v>102519</v>
      </c>
      <c r="I59" s="153">
        <f t="shared" si="8"/>
        <v>102519</v>
      </c>
      <c r="J59" s="153">
        <f t="shared" si="8"/>
        <v>102519</v>
      </c>
      <c r="K59" s="153">
        <f t="shared" si="8"/>
        <v>102519</v>
      </c>
      <c r="L59" s="153"/>
      <c r="M59" s="193"/>
      <c r="O59" t="s">
        <v>100</v>
      </c>
    </row>
    <row r="60" spans="3:15" ht="15.75" customHeight="1">
      <c r="C60" s="279" t="s">
        <v>59</v>
      </c>
      <c r="D60" s="3"/>
      <c r="E60" s="3">
        <v>40415</v>
      </c>
      <c r="F60" s="3">
        <v>45180</v>
      </c>
      <c r="G60" s="153">
        <f ca="1">F60*(1+G37)</f>
        <v>43035.86273539035</v>
      </c>
      <c r="H60" s="153">
        <f t="shared" ref="H60:K60" ca="1" si="9">G60*(1+H37)</f>
        <v>45142.879610519776</v>
      </c>
      <c r="I60" s="153">
        <f t="shared" ca="1" si="9"/>
        <v>47359.560979769958</v>
      </c>
      <c r="J60" s="153">
        <f t="shared" ca="1" si="9"/>
        <v>49941.911448956504</v>
      </c>
      <c r="K60" s="153">
        <f t="shared" ca="1" si="9"/>
        <v>52950.849855256296</v>
      </c>
      <c r="L60" s="153"/>
      <c r="M60" s="193"/>
      <c r="O60" t="s">
        <v>103</v>
      </c>
    </row>
    <row r="61" spans="3:15">
      <c r="C61" s="280" t="s">
        <v>24</v>
      </c>
      <c r="D61" s="69"/>
      <c r="E61" s="69">
        <f t="shared" ref="E61:K61" si="10">SUM(E55:E60)</f>
        <v>241272</v>
      </c>
      <c r="F61" s="69">
        <f t="shared" si="10"/>
        <v>258578</v>
      </c>
      <c r="G61" s="52">
        <f t="shared" ca="1" si="10"/>
        <v>252245.04929503452</v>
      </c>
      <c r="H61" s="52">
        <f t="shared" ca="1" si="10"/>
        <v>258716.34603618868</v>
      </c>
      <c r="I61" s="52">
        <f t="shared" ca="1" si="10"/>
        <v>265701.94860880618</v>
      </c>
      <c r="J61" s="52">
        <f t="shared" ca="1" si="10"/>
        <v>273945.42363678885</v>
      </c>
      <c r="K61" s="52">
        <f t="shared" ca="1" si="10"/>
        <v>283550.66851312958</v>
      </c>
      <c r="L61" s="52"/>
      <c r="M61" s="194"/>
    </row>
    <row r="62" spans="3:15">
      <c r="C62" s="280"/>
      <c r="D62" s="69"/>
      <c r="E62" s="69"/>
      <c r="F62" s="69"/>
      <c r="G62" s="153"/>
      <c r="H62" s="153"/>
      <c r="I62" s="153"/>
      <c r="J62" s="153"/>
      <c r="K62" s="153"/>
      <c r="L62" s="153"/>
      <c r="M62" s="193"/>
    </row>
    <row r="63" spans="3:15">
      <c r="C63" s="279" t="s">
        <v>61</v>
      </c>
      <c r="D63" s="3"/>
      <c r="E63" s="3">
        <v>35867</v>
      </c>
      <c r="F63" s="3">
        <v>40201</v>
      </c>
      <c r="G63" s="153">
        <f ca="1">F63+G33</f>
        <v>45287.576073638433</v>
      </c>
      <c r="H63" s="153">
        <f ca="1">G63+H33</f>
        <v>50623.188670366537</v>
      </c>
      <c r="I63" s="153">
        <f ca="1">H63+I33</f>
        <v>56220.7994634602</v>
      </c>
      <c r="J63" s="153">
        <f ca="1">I63+J33</f>
        <v>62123.628306696759</v>
      </c>
      <c r="K63" s="153">
        <f ca="1">J63+K33</f>
        <v>68382.095288260913</v>
      </c>
      <c r="L63" s="153"/>
      <c r="M63" s="193"/>
      <c r="O63" t="s">
        <v>155</v>
      </c>
    </row>
    <row r="64" spans="3:15" ht="15.75" customHeight="1">
      <c r="C64" s="279" t="s">
        <v>44</v>
      </c>
      <c r="D64" s="33"/>
      <c r="E64" s="33">
        <f>98330</f>
        <v>98330</v>
      </c>
      <c r="F64" s="3">
        <v>70400</v>
      </c>
      <c r="G64" s="153">
        <f ca="1">G184</f>
        <v>37510.813510234366</v>
      </c>
      <c r="H64" s="153">
        <f ca="1">H184</f>
        <v>7084.5774505412555</v>
      </c>
      <c r="I64" s="153">
        <f ca="1">I184</f>
        <v>-21430.149819487589</v>
      </c>
      <c r="J64" s="153">
        <f ca="1">J184</f>
        <v>-47843.851706804038</v>
      </c>
      <c r="K64" s="153">
        <f ca="1">K184</f>
        <v>-71741.510746390253</v>
      </c>
      <c r="L64" s="153"/>
      <c r="M64" s="193"/>
      <c r="O64" t="s">
        <v>107</v>
      </c>
    </row>
    <row r="65" spans="3:15" ht="15.75" customHeight="1">
      <c r="C65" s="279" t="s">
        <v>121</v>
      </c>
      <c r="D65" s="3"/>
      <c r="E65" s="3">
        <v>-150</v>
      </c>
      <c r="F65" s="3">
        <v>-3454</v>
      </c>
      <c r="G65" s="153">
        <f>F65</f>
        <v>-3454</v>
      </c>
      <c r="H65" s="153">
        <f>G65</f>
        <v>-3454</v>
      </c>
      <c r="I65" s="153">
        <f>H65</f>
        <v>-3454</v>
      </c>
      <c r="J65" s="153">
        <f>I65</f>
        <v>-3454</v>
      </c>
      <c r="K65" s="153">
        <f>J65</f>
        <v>-3454</v>
      </c>
      <c r="L65" s="153"/>
      <c r="M65" s="193"/>
      <c r="O65" t="s">
        <v>100</v>
      </c>
    </row>
    <row r="66" spans="3:15">
      <c r="C66" s="280" t="s">
        <v>25</v>
      </c>
      <c r="D66" s="52"/>
      <c r="E66" s="52">
        <f t="shared" ref="E66:K66" si="11">SUM(E63:E65)</f>
        <v>134047</v>
      </c>
      <c r="F66" s="52">
        <f t="shared" si="11"/>
        <v>107147</v>
      </c>
      <c r="G66" s="52">
        <f t="shared" ca="1" si="11"/>
        <v>79344.389583872806</v>
      </c>
      <c r="H66" s="52">
        <f t="shared" ca="1" si="11"/>
        <v>54253.766120907792</v>
      </c>
      <c r="I66" s="52">
        <f t="shared" ca="1" si="11"/>
        <v>31336.649643972611</v>
      </c>
      <c r="J66" s="52">
        <f t="shared" ca="1" si="11"/>
        <v>10825.776599892721</v>
      </c>
      <c r="K66" s="52">
        <f t="shared" ca="1" si="11"/>
        <v>-6813.4154581293405</v>
      </c>
      <c r="L66" s="52"/>
      <c r="M66" s="194"/>
    </row>
    <row r="67" spans="3:15">
      <c r="D67" s="153"/>
      <c r="E67" s="153"/>
      <c r="F67" s="153"/>
    </row>
    <row r="68" spans="3:15">
      <c r="C68" s="273" t="s">
        <v>26</v>
      </c>
      <c r="D68" s="286"/>
      <c r="E68" s="286">
        <f t="shared" ref="E68:K68" si="12">ROUND(E53-E61-E66,3)</f>
        <v>0</v>
      </c>
      <c r="F68" s="286">
        <f t="shared" si="12"/>
        <v>0</v>
      </c>
      <c r="G68" s="286">
        <f t="shared" ca="1" si="12"/>
        <v>0</v>
      </c>
      <c r="H68" s="286">
        <f t="shared" ca="1" si="12"/>
        <v>0</v>
      </c>
      <c r="I68" s="286">
        <f t="shared" ca="1" si="12"/>
        <v>0</v>
      </c>
      <c r="J68" s="286">
        <f t="shared" ca="1" si="12"/>
        <v>0</v>
      </c>
      <c r="K68" s="286">
        <f t="shared" ca="1" si="12"/>
        <v>0</v>
      </c>
      <c r="L68" s="286"/>
      <c r="M68" s="401"/>
    </row>
    <row r="69" spans="3:15">
      <c r="E69" s="153"/>
      <c r="F69" s="153"/>
      <c r="H69" s="153"/>
      <c r="I69" s="153"/>
      <c r="J69" s="153"/>
      <c r="K69" s="153"/>
      <c r="L69" s="153"/>
      <c r="M69" s="193"/>
    </row>
    <row r="70" spans="3:15">
      <c r="C70" s="7" t="s">
        <v>32</v>
      </c>
      <c r="D70" s="13"/>
      <c r="E70" s="13"/>
      <c r="F70" s="13"/>
      <c r="G70" s="13"/>
      <c r="H70" s="13"/>
      <c r="I70" s="13"/>
      <c r="J70" s="13"/>
      <c r="K70" s="13"/>
      <c r="L70" s="16"/>
      <c r="M70" s="402"/>
    </row>
    <row r="71" spans="3:15">
      <c r="C71" s="35" t="str">
        <f>C15</f>
        <v xml:space="preserve">Fiscal year  </v>
      </c>
      <c r="D71" s="284"/>
      <c r="E71" s="284"/>
      <c r="F71" s="284"/>
      <c r="G71" s="285">
        <f t="shared" ref="G71:K72" si="13">G15</f>
        <v>2019</v>
      </c>
      <c r="H71" s="285">
        <f t="shared" si="13"/>
        <v>2020</v>
      </c>
      <c r="I71" s="285">
        <f t="shared" si="13"/>
        <v>2021</v>
      </c>
      <c r="J71" s="285">
        <f t="shared" si="13"/>
        <v>2022</v>
      </c>
      <c r="K71" s="285">
        <f t="shared" si="13"/>
        <v>2023</v>
      </c>
      <c r="L71" s="285"/>
      <c r="M71" s="379"/>
    </row>
    <row r="72" spans="3:15">
      <c r="C72" s="269" t="str">
        <f>C16</f>
        <v>Fiscal year end date</v>
      </c>
      <c r="D72" s="32"/>
      <c r="E72" s="32"/>
      <c r="F72" s="32"/>
      <c r="G72" s="32">
        <f t="shared" si="13"/>
        <v>43738</v>
      </c>
      <c r="H72" s="32">
        <f t="shared" si="13"/>
        <v>44104</v>
      </c>
      <c r="I72" s="32">
        <f t="shared" si="13"/>
        <v>44469</v>
      </c>
      <c r="J72" s="32">
        <f t="shared" si="13"/>
        <v>44834</v>
      </c>
      <c r="K72" s="32">
        <f t="shared" si="13"/>
        <v>45199</v>
      </c>
      <c r="L72" s="236"/>
      <c r="M72" s="380"/>
    </row>
    <row r="74" spans="3:15">
      <c r="C74" t="s">
        <v>2</v>
      </c>
      <c r="D74" s="62"/>
      <c r="E74" s="62"/>
      <c r="F74" s="62"/>
      <c r="G74" s="153">
        <f ca="1">G29</f>
        <v>52213.524654506109</v>
      </c>
      <c r="H74" s="153">
        <f ca="1">H29</f>
        <v>55415.155846152702</v>
      </c>
      <c r="I74" s="153">
        <f ca="1">I29</f>
        <v>57899.958662064659</v>
      </c>
      <c r="J74" s="153">
        <f ca="1">J29</f>
        <v>60631.117323481623</v>
      </c>
      <c r="K74" s="153">
        <f ca="1">K29</f>
        <v>63901.764252650741</v>
      </c>
      <c r="L74" s="153"/>
      <c r="M74" s="193"/>
      <c r="O74" s="24"/>
    </row>
    <row r="75" spans="3:15">
      <c r="C75" t="s">
        <v>33</v>
      </c>
      <c r="D75" s="62"/>
      <c r="E75" s="62"/>
      <c r="F75" s="62"/>
      <c r="G75" s="153">
        <f ca="1">G31</f>
        <v>10592.782507284561</v>
      </c>
      <c r="H75" s="153">
        <f ca="1">H31</f>
        <v>10569.397243121617</v>
      </c>
      <c r="I75" s="153">
        <f ca="1">I31</f>
        <v>11159.331479649651</v>
      </c>
      <c r="J75" s="153">
        <f ca="1">J31</f>
        <v>12287.842023721507</v>
      </c>
      <c r="K75" s="153">
        <f ca="1">K31</f>
        <v>13855.455338274283</v>
      </c>
      <c r="L75" s="153"/>
      <c r="M75" s="193"/>
      <c r="O75" t="s">
        <v>170</v>
      </c>
    </row>
    <row r="76" spans="3:15">
      <c r="C76" t="s">
        <v>74</v>
      </c>
      <c r="D76" s="62"/>
      <c r="E76" s="62"/>
      <c r="F76" s="62"/>
      <c r="G76" s="153">
        <f ca="1">G33</f>
        <v>5086.5760736384345</v>
      </c>
      <c r="H76" s="153">
        <f ca="1">H33</f>
        <v>5335.6125967281014</v>
      </c>
      <c r="I76" s="153">
        <f ca="1">I33</f>
        <v>5597.6107930936605</v>
      </c>
      <c r="J76" s="153">
        <f ca="1">J33</f>
        <v>5902.8288432365589</v>
      </c>
      <c r="K76" s="153">
        <f ca="1">K33</f>
        <v>6258.4669815641573</v>
      </c>
      <c r="L76" s="153"/>
      <c r="M76" s="193"/>
    </row>
    <row r="77" spans="3:15">
      <c r="C77" t="s">
        <v>65</v>
      </c>
      <c r="D77" s="153"/>
      <c r="E77" s="153"/>
      <c r="F77" s="153"/>
      <c r="G77" s="153">
        <f ca="1">-1*(SUM(G47:G50)-SUM(F47:F50))</f>
        <v>1630.9088656226377</v>
      </c>
      <c r="H77" s="153">
        <f ca="1">-1*(SUM(H47:H50)-SUM(G47:G50))</f>
        <v>-4055.0224450028618</v>
      </c>
      <c r="I77" s="153">
        <f ca="1">-1*(SUM(I47:I50)-SUM(H47:H50))</f>
        <v>-2179.4855644868221</v>
      </c>
      <c r="J77" s="153">
        <f ca="1">-1*(SUM(J47:J50)-SUM(I47:I50))</f>
        <v>-4915.6622033134772</v>
      </c>
      <c r="K77" s="153">
        <f ca="1">-1*(SUM(K47:K50)-SUM(J47:J50))</f>
        <v>-3366.8734715610917</v>
      </c>
      <c r="L77" s="153"/>
      <c r="M77" s="193"/>
    </row>
    <row r="78" spans="3:15">
      <c r="C78" t="s">
        <v>66</v>
      </c>
      <c r="D78" s="153"/>
      <c r="E78" s="153"/>
      <c r="F78" s="153"/>
      <c r="G78" s="153">
        <f ca="1">SUM(G55:G57)-SUM(F55:F57)</f>
        <v>-4224.813440355807</v>
      </c>
      <c r="H78" s="153">
        <f ca="1">SUM(H55:H57)-SUM(G55:G57)</f>
        <v>4364.2798660247208</v>
      </c>
      <c r="I78" s="153">
        <f ca="1">SUM(I55:I57)-SUM(H55:H57)</f>
        <v>4768.9212033672811</v>
      </c>
      <c r="J78" s="153">
        <f ca="1">SUM(J55:J57)-SUM(I55:I57)</f>
        <v>5661.1245587961312</v>
      </c>
      <c r="K78" s="153">
        <f ca="1">SUM(K55:K57)-SUM(J55:J57)</f>
        <v>6596.3064700409886</v>
      </c>
      <c r="L78" s="153"/>
      <c r="M78" s="193"/>
    </row>
    <row r="79" spans="3:15">
      <c r="C79" t="s">
        <v>56</v>
      </c>
      <c r="G79" s="153">
        <f ca="1">-(G176)</f>
        <v>-469.42623500517584</v>
      </c>
      <c r="H79" s="153">
        <f ca="1">-(H176)</f>
        <v>-2640.8741266970392</v>
      </c>
      <c r="I79" s="153">
        <f ca="1">-(I176)</f>
        <v>-2773.6097211503584</v>
      </c>
      <c r="J79" s="153">
        <f ca="1">-(J176)</f>
        <v>-3045.5821061877177</v>
      </c>
      <c r="K79" s="153">
        <f ca="1">-(K176)</f>
        <v>-3362.7354321725143</v>
      </c>
      <c r="L79" s="153"/>
      <c r="M79" s="193"/>
      <c r="O79" t="s">
        <v>171</v>
      </c>
    </row>
    <row r="80" spans="3:15">
      <c r="C80" t="s">
        <v>59</v>
      </c>
      <c r="G80" s="153">
        <f ca="1">G60-F60</f>
        <v>-2144.1372646096497</v>
      </c>
      <c r="H80" s="153">
        <f ca="1">H60-G60</f>
        <v>2107.0168751294259</v>
      </c>
      <c r="I80" s="153">
        <f ca="1">I60-H60</f>
        <v>2216.6813692501819</v>
      </c>
      <c r="J80" s="153">
        <f ca="1">J60-I60</f>
        <v>2582.3504691865455</v>
      </c>
      <c r="K80" s="153">
        <f ca="1">K60-J60</f>
        <v>3008.9384062997924</v>
      </c>
      <c r="L80" s="153"/>
      <c r="M80" s="193"/>
      <c r="O80" s="24"/>
    </row>
    <row r="81" spans="3:15">
      <c r="C81" s="24" t="s">
        <v>34</v>
      </c>
      <c r="G81" s="52">
        <f ca="1">SUM(G74:G80)</f>
        <v>62685.415161081117</v>
      </c>
      <c r="H81" s="52">
        <f ca="1">SUM(H74:H80)</f>
        <v>71095.565855456662</v>
      </c>
      <c r="I81" s="52">
        <f ca="1">SUM(I74:I80)</f>
        <v>76689.408221788239</v>
      </c>
      <c r="J81" s="52">
        <f ca="1">SUM(J74:J80)</f>
        <v>79104.018908921164</v>
      </c>
      <c r="K81" s="52">
        <f ca="1">SUM(K74:K80)</f>
        <v>86891.322545096366</v>
      </c>
      <c r="L81" s="52"/>
      <c r="M81" s="194"/>
    </row>
    <row r="82" spans="3:15">
      <c r="G82" s="153"/>
      <c r="H82" s="153"/>
      <c r="I82" s="153"/>
      <c r="J82" s="153"/>
      <c r="K82" s="153"/>
      <c r="L82" s="153"/>
      <c r="M82" s="193"/>
    </row>
    <row r="83" spans="3:15">
      <c r="C83" t="s">
        <v>35</v>
      </c>
      <c r="G83" s="153">
        <f>-(G144)</f>
        <v>-13285</v>
      </c>
      <c r="H83" s="153">
        <f>-(H144)</f>
        <v>-13649</v>
      </c>
      <c r="I83" s="153">
        <f>-(I144)</f>
        <v>-13819</v>
      </c>
      <c r="J83" s="153">
        <f ca="1">-(J144)</f>
        <v>-14572.50151892101</v>
      </c>
      <c r="K83" s="153">
        <f ca="1">-(K144)</f>
        <v>-15450.476714983708</v>
      </c>
      <c r="L83" s="153"/>
      <c r="M83" s="193"/>
      <c r="O83" t="s">
        <v>105</v>
      </c>
    </row>
    <row r="84" spans="3:15">
      <c r="C84" s="24" t="s">
        <v>36</v>
      </c>
      <c r="G84" s="52">
        <f>IFERROR(G83,"NA")</f>
        <v>-13285</v>
      </c>
      <c r="H84" s="52">
        <f>IFERROR(H83,"NA")</f>
        <v>-13649</v>
      </c>
      <c r="I84" s="52">
        <f>IFERROR(I83,"NA")</f>
        <v>-13819</v>
      </c>
      <c r="J84" s="52">
        <f ca="1">IFERROR(J83,"NA")</f>
        <v>-14572.50151892101</v>
      </c>
      <c r="K84" s="52">
        <f ca="1">IFERROR(K83,"NA")</f>
        <v>-15450.476714983708</v>
      </c>
      <c r="L84" s="52"/>
      <c r="M84" s="194"/>
    </row>
    <row r="85" spans="3:15">
      <c r="G85" s="153"/>
      <c r="H85" s="153"/>
      <c r="I85" s="153"/>
      <c r="J85" s="153"/>
      <c r="K85" s="153"/>
      <c r="L85" s="153"/>
      <c r="M85" s="193"/>
    </row>
    <row r="86" spans="3:15">
      <c r="C86" t="s">
        <v>67</v>
      </c>
      <c r="G86" s="153">
        <f>G59-F59</f>
        <v>0</v>
      </c>
      <c r="H86" s="153">
        <f>H59-G59</f>
        <v>0</v>
      </c>
      <c r="I86" s="153">
        <f>I59-H59</f>
        <v>0</v>
      </c>
      <c r="J86" s="153">
        <f>J59-I59</f>
        <v>0</v>
      </c>
      <c r="K86" s="153">
        <f>K59-J59</f>
        <v>0</v>
      </c>
      <c r="L86" s="153"/>
      <c r="M86" s="193"/>
    </row>
    <row r="87" spans="3:15">
      <c r="C87" t="s">
        <v>23</v>
      </c>
      <c r="G87" s="153">
        <f ca="1">G58-F58</f>
        <v>36</v>
      </c>
      <c r="H87" s="153">
        <f ca="1">H58-G58</f>
        <v>0</v>
      </c>
      <c r="I87" s="153">
        <f ca="1">I58-H58</f>
        <v>0</v>
      </c>
      <c r="J87" s="153">
        <f ca="1">J58-I58</f>
        <v>0</v>
      </c>
      <c r="K87" s="153">
        <f ca="1">K58-J58</f>
        <v>0</v>
      </c>
      <c r="L87" s="153"/>
      <c r="M87" s="193"/>
      <c r="O87" t="s">
        <v>183</v>
      </c>
    </row>
    <row r="88" spans="3:15">
      <c r="C88" t="s">
        <v>70</v>
      </c>
      <c r="G88" s="153">
        <f>G183</f>
        <v>-73056</v>
      </c>
      <c r="H88" s="153">
        <f>H183</f>
        <v>-73056</v>
      </c>
      <c r="I88" s="153">
        <f>I183</f>
        <v>-73056</v>
      </c>
      <c r="J88" s="153">
        <f>J183</f>
        <v>-73056</v>
      </c>
      <c r="K88" s="153">
        <f>K183</f>
        <v>-73056</v>
      </c>
      <c r="L88" s="153"/>
      <c r="M88" s="193"/>
      <c r="O88" t="s">
        <v>107</v>
      </c>
    </row>
    <row r="89" spans="3:15">
      <c r="C89" t="s">
        <v>71</v>
      </c>
      <c r="G89" s="153">
        <f ca="1">G182</f>
        <v>-12046.711144271749</v>
      </c>
      <c r="H89" s="153">
        <f ca="1">H182</f>
        <v>-12785.391905845818</v>
      </c>
      <c r="I89" s="153">
        <f ca="1">I182</f>
        <v>-13358.6859320935</v>
      </c>
      <c r="J89" s="153">
        <f ca="1">J182</f>
        <v>-13988.819210798074</v>
      </c>
      <c r="K89" s="153">
        <f ca="1">K182</f>
        <v>-14743.423292236952</v>
      </c>
      <c r="L89" s="153"/>
      <c r="M89" s="193"/>
      <c r="O89" t="s">
        <v>107</v>
      </c>
    </row>
    <row r="90" spans="3:15">
      <c r="C90" s="24" t="s">
        <v>37</v>
      </c>
      <c r="G90" s="52">
        <f ca="1">SUM(G86:G89)</f>
        <v>-85066.711144271743</v>
      </c>
      <c r="H90" s="52">
        <f ca="1">SUM(H86:H89)</f>
        <v>-85841.391905845812</v>
      </c>
      <c r="I90" s="52">
        <f ca="1">SUM(I86:I89)</f>
        <v>-86414.685932093504</v>
      </c>
      <c r="J90" s="52">
        <f ca="1">SUM(J86:J89)</f>
        <v>-87044.819210798072</v>
      </c>
      <c r="K90" s="52">
        <f ca="1">SUM(K86:K89)</f>
        <v>-87799.423292236956</v>
      </c>
      <c r="L90" s="52"/>
      <c r="M90" s="194"/>
    </row>
    <row r="91" spans="3:15">
      <c r="G91" s="153"/>
      <c r="H91" s="153"/>
      <c r="I91" s="153"/>
      <c r="J91" s="153"/>
      <c r="K91" s="153"/>
      <c r="L91" s="153"/>
      <c r="M91" s="193"/>
    </row>
    <row r="92" spans="3:15">
      <c r="C92" s="24" t="s">
        <v>38</v>
      </c>
      <c r="G92" s="52">
        <f ca="1">G81+G84+G90</f>
        <v>-35666.295983190626</v>
      </c>
      <c r="H92" s="52">
        <f ca="1">H81+H84+H90</f>
        <v>-28394.826050389151</v>
      </c>
      <c r="I92" s="52">
        <f ca="1">I81+I84+I90</f>
        <v>-23544.277710305265</v>
      </c>
      <c r="J92" s="52">
        <f ca="1">J81+J84+J90</f>
        <v>-22513.301820797918</v>
      </c>
      <c r="K92" s="52">
        <f ca="1">K81+K84+K90</f>
        <v>-16358.577462124304</v>
      </c>
      <c r="L92" s="52"/>
      <c r="M92" s="194"/>
    </row>
    <row r="93" spans="3:15">
      <c r="C93" s="24"/>
      <c r="G93" s="52"/>
      <c r="H93" s="52"/>
      <c r="I93" s="52"/>
      <c r="J93" s="52"/>
      <c r="K93" s="52"/>
      <c r="L93" s="52"/>
      <c r="M93" s="194"/>
    </row>
    <row r="94" spans="3:15">
      <c r="C94" s="7" t="s">
        <v>243</v>
      </c>
      <c r="D94" s="269"/>
      <c r="E94" s="269"/>
      <c r="F94" s="269"/>
      <c r="G94" s="269"/>
      <c r="H94" s="269"/>
      <c r="I94" s="269"/>
      <c r="J94" s="269"/>
      <c r="K94" s="269"/>
      <c r="L94" s="217"/>
      <c r="M94" s="378"/>
    </row>
    <row r="95" spans="3:15">
      <c r="C95" s="35" t="str">
        <f>C15</f>
        <v xml:space="preserve">Fiscal year  </v>
      </c>
      <c r="D95" s="30">
        <f>D$15</f>
        <v>2016</v>
      </c>
      <c r="E95" s="30">
        <f t="shared" ref="E95:K95" si="14">E$15</f>
        <v>2017</v>
      </c>
      <c r="F95" s="30">
        <f t="shared" si="14"/>
        <v>2018</v>
      </c>
      <c r="G95" s="30">
        <f t="shared" si="14"/>
        <v>2019</v>
      </c>
      <c r="H95" s="30">
        <f t="shared" si="14"/>
        <v>2020</v>
      </c>
      <c r="I95" s="30">
        <f t="shared" si="14"/>
        <v>2021</v>
      </c>
      <c r="J95" s="30">
        <f t="shared" si="14"/>
        <v>2022</v>
      </c>
      <c r="K95" s="30">
        <f t="shared" si="14"/>
        <v>2023</v>
      </c>
      <c r="L95" s="30"/>
      <c r="M95" s="403"/>
    </row>
    <row r="96" spans="3:15">
      <c r="C96" s="269" t="str">
        <f>C16</f>
        <v>Fiscal year end date</v>
      </c>
      <c r="D96" s="32">
        <f>D$16</f>
        <v>42643</v>
      </c>
      <c r="E96" s="32">
        <f t="shared" ref="E96:K96" si="15">E$16</f>
        <v>43008</v>
      </c>
      <c r="F96" s="32">
        <f t="shared" si="15"/>
        <v>43372</v>
      </c>
      <c r="G96" s="32">
        <f t="shared" si="15"/>
        <v>43738</v>
      </c>
      <c r="H96" s="32">
        <f t="shared" si="15"/>
        <v>44104</v>
      </c>
      <c r="I96" s="32">
        <f t="shared" si="15"/>
        <v>44469</v>
      </c>
      <c r="J96" s="32">
        <f t="shared" si="15"/>
        <v>44834</v>
      </c>
      <c r="K96" s="32">
        <f t="shared" si="15"/>
        <v>45199</v>
      </c>
      <c r="L96" s="236"/>
      <c r="M96" s="380"/>
    </row>
    <row r="97" spans="2:14">
      <c r="E97" s="346"/>
      <c r="F97" s="346"/>
      <c r="L97" s="236"/>
    </row>
    <row r="98" spans="2:14">
      <c r="C98" s="24" t="s">
        <v>241</v>
      </c>
      <c r="D98" s="217"/>
      <c r="E98" s="350" t="s">
        <v>244</v>
      </c>
      <c r="F98" s="351"/>
      <c r="G98" s="350" t="s">
        <v>116</v>
      </c>
      <c r="H98" s="350"/>
      <c r="I98" s="350"/>
      <c r="J98" s="350"/>
      <c r="K98" s="350"/>
      <c r="L98" s="236"/>
      <c r="M98" s="377"/>
    </row>
    <row r="99" spans="2:14">
      <c r="C99" s="278" t="s">
        <v>27</v>
      </c>
      <c r="D99" s="217"/>
      <c r="E99" s="217"/>
      <c r="F99" s="217"/>
      <c r="G99" s="344">
        <f>F101</f>
        <v>23186</v>
      </c>
      <c r="H99" s="344">
        <f ca="1">G101</f>
        <v>23946.473303013707</v>
      </c>
      <c r="I99" s="344">
        <f ca="1">H101</f>
        <v>25493.585123287659</v>
      </c>
      <c r="J99" s="344">
        <f ca="1">I101</f>
        <v>26374.161951893868</v>
      </c>
      <c r="K99" s="344">
        <f ca="1">J101</f>
        <v>28321.751141390268</v>
      </c>
      <c r="L99" s="236"/>
      <c r="M99" s="356"/>
      <c r="N99" s="217"/>
    </row>
    <row r="100" spans="2:14">
      <c r="C100" s="287" t="s">
        <v>242</v>
      </c>
      <c r="D100" s="217"/>
      <c r="E100" s="217"/>
      <c r="F100" s="217"/>
      <c r="G100" s="344">
        <f ca="1">G101-G99</f>
        <v>760.47330301370675</v>
      </c>
      <c r="H100" s="344">
        <f ca="1">H101-H99</f>
        <v>1547.1118202739526</v>
      </c>
      <c r="I100" s="344">
        <f ca="1">I101-I99</f>
        <v>880.57682860620844</v>
      </c>
      <c r="J100" s="344">
        <f ca="1">J101-J99</f>
        <v>1947.5891894964006</v>
      </c>
      <c r="K100" s="344">
        <f ca="1">K101-K99</f>
        <v>1347.7719370440827</v>
      </c>
      <c r="L100" s="236"/>
      <c r="M100" s="356"/>
      <c r="N100" s="217"/>
    </row>
    <row r="101" spans="2:14">
      <c r="C101" s="278" t="s">
        <v>28</v>
      </c>
      <c r="D101" s="217"/>
      <c r="E101" s="344">
        <f>E47</f>
        <v>17874</v>
      </c>
      <c r="F101" s="344">
        <f>F47</f>
        <v>23186</v>
      </c>
      <c r="G101" s="344">
        <f ca="1">IF($G$105=1,F101*(1+G107),2*G18*G108/365-G99)</f>
        <v>23946.473303013707</v>
      </c>
      <c r="H101" s="344">
        <f ca="1">IF($G$105=1,G101*(1+H107),2*H18*H108/365-H99)</f>
        <v>25493.585123287659</v>
      </c>
      <c r="I101" s="344">
        <f ca="1">IF($G$105=1,H101*(1+I107),2*I18*I108/365-I99)</f>
        <v>26374.161951893868</v>
      </c>
      <c r="J101" s="344">
        <f ca="1">IF($G$105=1,I101*(1+J107),2*J18*J108/365-J99)</f>
        <v>28321.751141390268</v>
      </c>
      <c r="K101" s="344">
        <f ca="1">IF($G$105=1,J101*(1+K107),2*K18*K108/365-K99)</f>
        <v>29669.523078434351</v>
      </c>
      <c r="L101" s="344"/>
      <c r="M101" s="356"/>
      <c r="N101" s="217"/>
    </row>
    <row r="102" spans="2:14" ht="14.45" customHeight="1">
      <c r="D102" s="217"/>
      <c r="E102" s="217"/>
      <c r="F102" s="217"/>
      <c r="G102" s="407"/>
      <c r="H102" s="217"/>
      <c r="I102" s="217"/>
      <c r="J102" s="217"/>
      <c r="K102" s="217"/>
      <c r="L102" s="217"/>
      <c r="M102" s="378"/>
      <c r="N102" s="217"/>
    </row>
    <row r="103" spans="2:14">
      <c r="C103" s="278" t="s">
        <v>274</v>
      </c>
      <c r="D103" s="217"/>
      <c r="E103" s="225"/>
      <c r="F103" s="225">
        <f t="shared" ref="F103:K103" si="16">AVERAGE(E101:F101)/F18</f>
        <v>7.729814190779194E-2</v>
      </c>
      <c r="G103" s="225">
        <f t="shared" ca="1" si="16"/>
        <v>9.3150684931506869E-2</v>
      </c>
      <c r="H103" s="225">
        <f t="shared" ca="1" si="16"/>
        <v>9.3150684931506841E-2</v>
      </c>
      <c r="I103" s="225">
        <f t="shared" ca="1" si="16"/>
        <v>9.3150684931506841E-2</v>
      </c>
      <c r="J103" s="225">
        <f t="shared" ca="1" si="16"/>
        <v>9.3150684931506841E-2</v>
      </c>
      <c r="K103" s="225">
        <f t="shared" ca="1" si="16"/>
        <v>9.3150684931506841E-2</v>
      </c>
      <c r="L103" s="225"/>
      <c r="M103" s="404"/>
      <c r="N103" s="217"/>
    </row>
    <row r="104" spans="2:14">
      <c r="B104" s="217"/>
      <c r="C104" s="217"/>
      <c r="D104" s="217"/>
      <c r="E104" s="225"/>
      <c r="F104" s="225"/>
      <c r="G104" s="225"/>
      <c r="H104" s="225"/>
      <c r="I104" s="225"/>
      <c r="J104" s="225"/>
      <c r="K104" s="225"/>
      <c r="L104" s="225"/>
      <c r="M104" s="404"/>
      <c r="N104" s="217"/>
    </row>
    <row r="105" spans="2:14">
      <c r="B105" s="217"/>
      <c r="C105" s="26" t="s">
        <v>275</v>
      </c>
      <c r="E105" s="225"/>
      <c r="F105" s="225"/>
      <c r="G105" s="353">
        <v>2</v>
      </c>
      <c r="H105" s="225"/>
      <c r="I105" s="225"/>
      <c r="J105" s="225"/>
      <c r="K105" s="225"/>
      <c r="L105" s="225"/>
      <c r="M105" s="404"/>
      <c r="N105" s="217"/>
    </row>
    <row r="106" spans="2:14">
      <c r="B106" s="217"/>
      <c r="C106" s="19"/>
      <c r="D106" s="19"/>
      <c r="E106" s="225"/>
      <c r="F106" s="225"/>
      <c r="G106" s="225"/>
      <c r="H106" s="225"/>
      <c r="I106" s="225"/>
      <c r="J106" s="225"/>
      <c r="K106" s="225"/>
      <c r="L106" s="225"/>
      <c r="M106" s="404"/>
      <c r="N106" s="217"/>
    </row>
    <row r="107" spans="2:14">
      <c r="C107" s="348" t="s">
        <v>247</v>
      </c>
      <c r="D107" s="217"/>
      <c r="E107" s="225"/>
      <c r="F107" s="225"/>
      <c r="G107" s="347">
        <f ca="1">G37</f>
        <v>-4.7457664112652731E-2</v>
      </c>
      <c r="H107" s="347">
        <f ca="1">H37</f>
        <v>4.8959559335073566E-2</v>
      </c>
      <c r="I107" s="347">
        <f ca="1">I37</f>
        <v>4.9103676778599281E-2</v>
      </c>
      <c r="J107" s="347">
        <f ca="1">J37</f>
        <v>5.452648664310078E-2</v>
      </c>
      <c r="K107" s="347">
        <f ca="1">K37</f>
        <v>6.0248763393349503E-2</v>
      </c>
      <c r="L107" s="225"/>
      <c r="M107" s="404"/>
      <c r="N107" s="217"/>
    </row>
    <row r="108" spans="2:14">
      <c r="C108" s="278" t="s">
        <v>246</v>
      </c>
      <c r="D108" s="217"/>
      <c r="E108" s="345"/>
      <c r="F108" s="345">
        <f>F103*365</f>
        <v>28.213821796344057</v>
      </c>
      <c r="G108" s="352">
        <v>34</v>
      </c>
      <c r="H108" s="352">
        <v>34</v>
      </c>
      <c r="I108" s="352">
        <v>34</v>
      </c>
      <c r="J108" s="352">
        <v>34</v>
      </c>
      <c r="K108" s="352">
        <v>34</v>
      </c>
      <c r="L108" s="225"/>
      <c r="M108" s="405"/>
      <c r="N108" s="217"/>
    </row>
    <row r="109" spans="2:14">
      <c r="E109" s="217"/>
      <c r="F109" s="217"/>
      <c r="G109" s="217"/>
      <c r="H109" s="217"/>
      <c r="I109" s="217"/>
      <c r="J109" s="217"/>
      <c r="K109" s="217"/>
      <c r="L109" s="225"/>
      <c r="M109" s="378"/>
    </row>
    <row r="110" spans="2:14">
      <c r="C110" s="343" t="s">
        <v>245</v>
      </c>
      <c r="E110" s="350" t="s">
        <v>244</v>
      </c>
      <c r="F110" s="351"/>
      <c r="G110" s="350" t="s">
        <v>116</v>
      </c>
      <c r="H110" s="350"/>
      <c r="I110" s="350"/>
      <c r="J110" s="350"/>
      <c r="K110" s="350"/>
      <c r="L110" s="225"/>
      <c r="M110" s="377"/>
    </row>
    <row r="111" spans="2:14">
      <c r="C111" s="278" t="s">
        <v>27</v>
      </c>
      <c r="E111" s="217"/>
      <c r="F111" s="217"/>
      <c r="G111" s="344">
        <f>F113</f>
        <v>3956</v>
      </c>
      <c r="H111" s="344">
        <f ca="1">G113</f>
        <v>3363.0734705767445</v>
      </c>
      <c r="I111" s="344">
        <f ca="1">H113</f>
        <v>4103.6642303232547</v>
      </c>
      <c r="J111" s="344">
        <f ca="1">I113</f>
        <v>3543.2689119961551</v>
      </c>
      <c r="K111" s="344">
        <f ca="1">J113</f>
        <v>4345.322594686776</v>
      </c>
      <c r="L111" s="225"/>
      <c r="M111" s="356"/>
    </row>
    <row r="112" spans="2:14">
      <c r="C112" s="287" t="s">
        <v>242</v>
      </c>
      <c r="E112" s="217"/>
      <c r="F112" s="217"/>
      <c r="G112" s="344">
        <f ca="1">G113-G111</f>
        <v>-592.92652942325549</v>
      </c>
      <c r="H112" s="344">
        <f ca="1">H113-H111</f>
        <v>740.59075974651023</v>
      </c>
      <c r="I112" s="344">
        <f ca="1">I113-I111</f>
        <v>-560.39531832709963</v>
      </c>
      <c r="J112" s="344">
        <f ca="1">J113-J111</f>
        <v>802.05368269062092</v>
      </c>
      <c r="K112" s="344">
        <f ca="1">K113-K111</f>
        <v>-504.73046736739343</v>
      </c>
      <c r="L112" s="225"/>
      <c r="M112" s="356"/>
    </row>
    <row r="113" spans="3:15">
      <c r="C113" s="278" t="s">
        <v>28</v>
      </c>
      <c r="E113" s="344">
        <f>E48</f>
        <v>4855</v>
      </c>
      <c r="F113" s="344">
        <f>F48</f>
        <v>3956</v>
      </c>
      <c r="G113" s="344">
        <f ca="1">IF($G$115=1,-G117*G19,2*(-G19/G118)-G111)</f>
        <v>3363.0734705767445</v>
      </c>
      <c r="H113" s="344">
        <f ca="1">IF($G$115=1,-H117*H19,2*(-H19/H118)-H111)</f>
        <v>4103.6642303232547</v>
      </c>
      <c r="I113" s="344">
        <f ca="1">IF($G$115=1,-I117*I19,2*(-I19/I118)-I111)</f>
        <v>3543.2689119961551</v>
      </c>
      <c r="J113" s="344">
        <f ca="1">IF($G$115=1,-J117*J19,2*(-J19/J118)-J111)</f>
        <v>4345.322594686776</v>
      </c>
      <c r="K113" s="344">
        <f ca="1">IF($G$115=1,-K117*K19,2*(-K19/K118)-K111)</f>
        <v>3840.5921273193826</v>
      </c>
      <c r="L113" s="225"/>
      <c r="M113" s="356"/>
      <c r="O113" s="356"/>
    </row>
    <row r="114" spans="3:15">
      <c r="E114" s="217"/>
      <c r="F114" s="217"/>
      <c r="G114" s="217"/>
      <c r="H114" s="217"/>
      <c r="I114" s="217"/>
      <c r="J114" s="217"/>
      <c r="K114" s="217"/>
      <c r="L114" s="225"/>
      <c r="M114" s="378"/>
    </row>
    <row r="115" spans="3:15">
      <c r="C115" s="26" t="s">
        <v>248</v>
      </c>
      <c r="E115" s="225"/>
      <c r="F115" s="225"/>
      <c r="G115" s="353">
        <v>2</v>
      </c>
      <c r="H115" s="217"/>
      <c r="I115" s="217"/>
      <c r="J115" s="217"/>
      <c r="K115" s="217"/>
      <c r="L115" s="225"/>
      <c r="M115" s="378"/>
    </row>
    <row r="116" spans="3:15">
      <c r="E116" s="217"/>
      <c r="F116" s="217"/>
      <c r="G116" s="217"/>
      <c r="H116" s="217"/>
      <c r="I116" s="217"/>
      <c r="J116" s="217"/>
      <c r="K116" s="217"/>
      <c r="L116" s="225"/>
      <c r="M116" s="378"/>
    </row>
    <row r="117" spans="3:15">
      <c r="C117" s="278" t="s">
        <v>277</v>
      </c>
      <c r="E117" s="225"/>
      <c r="F117" s="225">
        <f>-(AVERAGE(E113:F113)/F19)</f>
        <v>2.6902831041305357E-2</v>
      </c>
      <c r="G117" s="347">
        <f>F117</f>
        <v>2.6902831041305357E-2</v>
      </c>
      <c r="H117" s="347">
        <f>G117</f>
        <v>2.6902831041305357E-2</v>
      </c>
      <c r="I117" s="347">
        <f>H117</f>
        <v>2.6902831041305357E-2</v>
      </c>
      <c r="J117" s="347">
        <f>I117</f>
        <v>2.6902831041305357E-2</v>
      </c>
      <c r="K117" s="347">
        <f>J117</f>
        <v>2.6902831041305357E-2</v>
      </c>
      <c r="L117" s="225"/>
      <c r="M117" s="404"/>
    </row>
    <row r="118" spans="3:15">
      <c r="C118" s="278" t="s">
        <v>249</v>
      </c>
      <c r="E118" s="354"/>
      <c r="F118" s="354">
        <f>-(F19/AVERAGE(E113:F113))</f>
        <v>37.170809215753039</v>
      </c>
      <c r="G118" s="355">
        <v>43</v>
      </c>
      <c r="H118" s="355">
        <v>44</v>
      </c>
      <c r="I118" s="355">
        <v>45</v>
      </c>
      <c r="J118" s="355">
        <v>46</v>
      </c>
      <c r="K118" s="355">
        <v>47</v>
      </c>
      <c r="L118" s="225"/>
      <c r="M118" s="406"/>
    </row>
    <row r="119" spans="3:15">
      <c r="L119" s="225"/>
    </row>
    <row r="120" spans="3:15">
      <c r="C120" s="233" t="s">
        <v>271</v>
      </c>
      <c r="D120" s="295"/>
      <c r="E120" s="295"/>
      <c r="F120" s="295"/>
      <c r="G120" s="295"/>
      <c r="H120" s="295"/>
      <c r="I120" s="295"/>
      <c r="J120" s="295"/>
      <c r="K120" s="295"/>
    </row>
    <row r="121" spans="3:15">
      <c r="C121" s="217" t="s">
        <v>278</v>
      </c>
      <c r="D121" s="217"/>
      <c r="E121" s="217"/>
      <c r="F121" s="345">
        <f t="shared" ref="F121:K121" si="17">365*AVERAGE(E47:F47)/F18</f>
        <v>28.213821796344057</v>
      </c>
      <c r="G121" s="345">
        <f t="shared" ca="1" si="17"/>
        <v>34</v>
      </c>
      <c r="H121" s="345">
        <f t="shared" ca="1" si="17"/>
        <v>34</v>
      </c>
      <c r="I121" s="345">
        <f t="shared" ca="1" si="17"/>
        <v>34</v>
      </c>
      <c r="J121" s="345">
        <f t="shared" ca="1" si="17"/>
        <v>34</v>
      </c>
      <c r="K121" s="345">
        <f t="shared" ca="1" si="17"/>
        <v>34</v>
      </c>
    </row>
    <row r="122" spans="3:15">
      <c r="C122" t="s">
        <v>279</v>
      </c>
      <c r="F122" s="345">
        <f t="shared" ref="F122:K122" si="18">365*AVERAGE(E49:F49)/F18+F121</f>
        <v>58.178467215120762</v>
      </c>
      <c r="G122" s="345">
        <f t="shared" ca="1" si="18"/>
        <v>70.352168577701349</v>
      </c>
      <c r="H122" s="345">
        <f t="shared" ca="1" si="18"/>
        <v>68.640870193925352</v>
      </c>
      <c r="I122" s="345">
        <f t="shared" ca="1" si="18"/>
        <v>68.638547705560484</v>
      </c>
      <c r="J122" s="345">
        <f t="shared" ca="1" si="18"/>
        <v>68.551619117151375</v>
      </c>
      <c r="K122" s="345">
        <f t="shared" ca="1" si="18"/>
        <v>68.460854257062238</v>
      </c>
    </row>
    <row r="123" spans="3:15">
      <c r="C123" t="s">
        <v>269</v>
      </c>
      <c r="F123" s="345">
        <f t="shared" ref="F123:K123" si="19">365*-(AVERAGE(E48:F48)/F19)</f>
        <v>9.8195333300764549</v>
      </c>
      <c r="G123" s="345">
        <f t="shared" ca="1" si="19"/>
        <v>8.4883720930232549</v>
      </c>
      <c r="H123" s="345">
        <f t="shared" ca="1" si="19"/>
        <v>8.295454545454545</v>
      </c>
      <c r="I123" s="345">
        <f t="shared" ca="1" si="19"/>
        <v>8.1111111111111107</v>
      </c>
      <c r="J123" s="345">
        <f t="shared" ca="1" si="19"/>
        <v>7.9347826086956523</v>
      </c>
      <c r="K123" s="345">
        <f t="shared" ca="1" si="19"/>
        <v>7.7659574468085104</v>
      </c>
    </row>
    <row r="124" spans="3:15">
      <c r="C124" s="24" t="s">
        <v>291</v>
      </c>
      <c r="D124" s="24"/>
      <c r="E124" s="24"/>
      <c r="F124" s="408">
        <f t="shared" ref="F124:K124" si="20">SUM(F122:F123)</f>
        <v>67.998000545197215</v>
      </c>
      <c r="G124" s="408">
        <f t="shared" ca="1" si="20"/>
        <v>78.840540670724607</v>
      </c>
      <c r="H124" s="408">
        <f t="shared" ca="1" si="20"/>
        <v>76.936324739379899</v>
      </c>
      <c r="I124" s="408">
        <f t="shared" ca="1" si="20"/>
        <v>76.749658816671598</v>
      </c>
      <c r="J124" s="408">
        <f t="shared" ca="1" si="20"/>
        <v>76.486401725847031</v>
      </c>
      <c r="K124" s="408">
        <f t="shared" ca="1" si="20"/>
        <v>76.226811703870752</v>
      </c>
    </row>
    <row r="125" spans="3:15">
      <c r="C125" s="24"/>
      <c r="D125" s="24"/>
      <c r="E125" s="24"/>
      <c r="F125" s="408"/>
      <c r="G125" s="408"/>
      <c r="H125" s="408"/>
      <c r="I125" s="408"/>
      <c r="J125" s="408"/>
      <c r="K125" s="408"/>
    </row>
    <row r="126" spans="3:15">
      <c r="C126" t="s">
        <v>270</v>
      </c>
      <c r="F126" s="345">
        <f t="shared" ref="F126:K126" si="21">365*-AVERAGE(E55:F55)/F19</f>
        <v>111.59117833850362</v>
      </c>
      <c r="G126" s="345">
        <f t="shared" ca="1" si="21"/>
        <v>127.10180029476453</v>
      </c>
      <c r="H126" s="345">
        <f t="shared" ca="1" si="21"/>
        <v>121.95087113882187</v>
      </c>
      <c r="I126" s="345">
        <f t="shared" ca="1" si="21"/>
        <v>121.75100495692428</v>
      </c>
      <c r="J126" s="345">
        <f t="shared" ca="1" si="21"/>
        <v>121.34963313197174</v>
      </c>
      <c r="K126" s="345">
        <f t="shared" ca="1" si="21"/>
        <v>121.03085552459689</v>
      </c>
    </row>
    <row r="127" spans="3:15" ht="14.45" customHeight="1">
      <c r="C127" s="24" t="s">
        <v>290</v>
      </c>
      <c r="F127" s="409">
        <f t="shared" ref="F127:K127" si="22">F124-F126</f>
        <v>-43.59317779330641</v>
      </c>
      <c r="G127" s="409">
        <f t="shared" ca="1" si="22"/>
        <v>-48.261259624039923</v>
      </c>
      <c r="H127" s="409">
        <f t="shared" ca="1" si="22"/>
        <v>-45.014546399441969</v>
      </c>
      <c r="I127" s="409">
        <f t="shared" ca="1" si="22"/>
        <v>-45.001346140252679</v>
      </c>
      <c r="J127" s="409">
        <f t="shared" ca="1" si="22"/>
        <v>-44.863231406124711</v>
      </c>
      <c r="K127" s="409">
        <f t="shared" ca="1" si="22"/>
        <v>-44.804043820726136</v>
      </c>
    </row>
    <row r="128" spans="3:15" ht="14.45" customHeight="1">
      <c r="C128" s="24"/>
      <c r="F128" s="409"/>
      <c r="G128" s="409"/>
      <c r="H128" s="409"/>
      <c r="I128" s="409"/>
      <c r="J128" s="409"/>
      <c r="K128" s="409"/>
    </row>
    <row r="129" spans="3:15">
      <c r="C129" t="s">
        <v>286</v>
      </c>
      <c r="F129" s="410">
        <f t="shared" ref="F129:K129" si="23">F136/F137</f>
        <v>1.1238426916297297</v>
      </c>
      <c r="G129" s="410">
        <f t="shared" ca="1" si="23"/>
        <v>1.1497932508280508</v>
      </c>
      <c r="H129" s="410">
        <f t="shared" ca="1" si="23"/>
        <v>1.1428469870471201</v>
      </c>
      <c r="I129" s="410">
        <f t="shared" ca="1" si="23"/>
        <v>1.117255723822177</v>
      </c>
      <c r="J129" s="410">
        <f t="shared" ca="1" si="23"/>
        <v>1.1075790447867744</v>
      </c>
      <c r="K129" s="410">
        <f t="shared" ca="1" si="23"/>
        <v>1.0796365958510261</v>
      </c>
    </row>
    <row r="130" spans="3:15">
      <c r="C130" t="s">
        <v>287</v>
      </c>
      <c r="F130" s="410">
        <f t="shared" ref="F130:K130" si="24">(F46-F133+F47)/F137</f>
        <v>0.76572313589923502</v>
      </c>
      <c r="G130" s="410">
        <f t="shared" ca="1" si="24"/>
        <v>0.79999585839705656</v>
      </c>
      <c r="H130" s="410">
        <f t="shared" ca="1" si="24"/>
        <v>0.78427574110805731</v>
      </c>
      <c r="I130" s="410">
        <f t="shared" ca="1" si="24"/>
        <v>0.76165863974193304</v>
      </c>
      <c r="J130" s="410">
        <f t="shared" ca="1" si="24"/>
        <v>0.74402576974854495</v>
      </c>
      <c r="K130" s="410">
        <f t="shared" ca="1" si="24"/>
        <v>0.71841353428902421</v>
      </c>
    </row>
    <row r="131" spans="3:15">
      <c r="F131" s="410"/>
      <c r="G131" s="410"/>
      <c r="H131" s="410"/>
      <c r="I131" s="410"/>
      <c r="J131" s="410"/>
      <c r="K131" s="410"/>
    </row>
    <row r="132" spans="3:15">
      <c r="C132" s="25" t="s">
        <v>289</v>
      </c>
      <c r="F132" s="410"/>
      <c r="G132" s="410"/>
      <c r="H132" s="410"/>
      <c r="I132" s="410"/>
      <c r="J132" s="410"/>
      <c r="K132" s="410"/>
    </row>
    <row r="133" spans="3:15">
      <c r="C133" s="5" t="s">
        <v>281</v>
      </c>
      <c r="D133" s="34"/>
      <c r="E133" s="3">
        <v>194714</v>
      </c>
      <c r="F133" s="3">
        <v>170799</v>
      </c>
      <c r="G133" s="34">
        <f ca="1">F133-(F46-G46)</f>
        <v>135132.70401680938</v>
      </c>
      <c r="H133" s="34">
        <f ca="1">G133-(G46-H46)</f>
        <v>106737.87796642023</v>
      </c>
      <c r="I133" s="34">
        <f ca="1">H133-(H46-I46)</f>
        <v>83193.600256114965</v>
      </c>
      <c r="J133" s="34">
        <f ca="1">I133-(I46-J46)</f>
        <v>60680.298435317047</v>
      </c>
      <c r="K133" s="34">
        <f ca="1">J133-(J46-K46)</f>
        <v>44321.720973192743</v>
      </c>
      <c r="L133" s="286"/>
      <c r="M133" s="401"/>
      <c r="O133" t="s">
        <v>288</v>
      </c>
    </row>
    <row r="134" spans="3:15">
      <c r="C134" t="s">
        <v>284</v>
      </c>
      <c r="E134" s="3">
        <v>2836</v>
      </c>
      <c r="F134" s="3">
        <v>2797</v>
      </c>
      <c r="G134" s="33">
        <f ca="1">F134*(1+G37)</f>
        <v>2664.2609134769104</v>
      </c>
      <c r="H134" s="33">
        <f ca="1">G134*(1+H37)</f>
        <v>2794.7019537544006</v>
      </c>
      <c r="I134" s="33">
        <f ca="1">H134*(1+I37)</f>
        <v>2931.9320951840768</v>
      </c>
      <c r="J134" s="33">
        <f ca="1">I134*(1+J37)</f>
        <v>3091.8000514106097</v>
      </c>
      <c r="K134" s="33">
        <f ca="1">J134*(1+K37)</f>
        <v>3278.0771811675936</v>
      </c>
      <c r="L134" s="153"/>
      <c r="M134" s="193"/>
    </row>
    <row r="135" spans="3:15">
      <c r="C135" t="s">
        <v>285</v>
      </c>
      <c r="E135" s="3">
        <v>97207</v>
      </c>
      <c r="F135" s="3">
        <v>93735</v>
      </c>
      <c r="G135" s="153">
        <f>F135</f>
        <v>93735</v>
      </c>
      <c r="H135" s="153">
        <f>G135</f>
        <v>93735</v>
      </c>
      <c r="I135" s="153">
        <f>H135</f>
        <v>93735</v>
      </c>
      <c r="J135" s="153">
        <f>I135</f>
        <v>93735</v>
      </c>
      <c r="K135" s="153">
        <f>J135</f>
        <v>93735</v>
      </c>
      <c r="L135" s="153"/>
      <c r="M135" s="193"/>
    </row>
    <row r="136" spans="3:15">
      <c r="C136" t="s">
        <v>282</v>
      </c>
      <c r="E136" s="153">
        <f t="shared" ref="E136:K136" si="25">SUM(E46:E50)-E133</f>
        <v>128645</v>
      </c>
      <c r="F136" s="153">
        <f t="shared" si="25"/>
        <v>131339</v>
      </c>
      <c r="G136" s="153">
        <f t="shared" ca="1" si="25"/>
        <v>129708.09113437738</v>
      </c>
      <c r="H136" s="153">
        <f t="shared" ca="1" si="25"/>
        <v>133763.11357938024</v>
      </c>
      <c r="I136" s="153">
        <f t="shared" ca="1" si="25"/>
        <v>135942.59914386706</v>
      </c>
      <c r="J136" s="153">
        <f t="shared" ca="1" si="25"/>
        <v>140858.26134718052</v>
      </c>
      <c r="K136" s="153">
        <f t="shared" ca="1" si="25"/>
        <v>144225.13481874164</v>
      </c>
      <c r="L136" s="153"/>
      <c r="M136" s="193"/>
    </row>
    <row r="137" spans="3:15">
      <c r="C137" t="s">
        <v>283</v>
      </c>
      <c r="E137" s="153">
        <f t="shared" ref="E137:K137" si="26">E55+E56+E57+E58+E59-E134-E135</f>
        <v>100814</v>
      </c>
      <c r="F137" s="153">
        <f t="shared" si="26"/>
        <v>116866</v>
      </c>
      <c r="G137" s="153">
        <f t="shared" ca="1" si="26"/>
        <v>112809.92564616728</v>
      </c>
      <c r="H137" s="153">
        <f t="shared" ca="1" si="26"/>
        <v>117043.7644719145</v>
      </c>
      <c r="I137" s="153">
        <f t="shared" ca="1" si="26"/>
        <v>121675.45553385213</v>
      </c>
      <c r="J137" s="153">
        <f t="shared" ca="1" si="26"/>
        <v>127176.7121364217</v>
      </c>
      <c r="K137" s="153">
        <f t="shared" ca="1" si="26"/>
        <v>133586.74147670573</v>
      </c>
      <c r="L137" s="153"/>
      <c r="M137" s="193"/>
    </row>
    <row r="139" spans="3:15">
      <c r="C139" s="7" t="s">
        <v>29</v>
      </c>
      <c r="D139" s="269"/>
      <c r="E139" s="269"/>
      <c r="F139" s="269"/>
      <c r="G139" s="269"/>
      <c r="H139" s="269"/>
      <c r="I139" s="269"/>
      <c r="J139" s="269"/>
      <c r="K139" s="269"/>
      <c r="M139" s="378"/>
    </row>
    <row r="140" spans="3:15">
      <c r="C140" s="35" t="str">
        <f>C15</f>
        <v xml:space="preserve">Fiscal year  </v>
      </c>
      <c r="D140" s="284">
        <f>D$15</f>
        <v>2016</v>
      </c>
      <c r="E140" s="284">
        <f t="shared" ref="E140:K141" si="27">E15</f>
        <v>2017</v>
      </c>
      <c r="F140" s="284">
        <f t="shared" si="27"/>
        <v>2018</v>
      </c>
      <c r="G140" s="285">
        <f t="shared" si="27"/>
        <v>2019</v>
      </c>
      <c r="H140" s="285">
        <f t="shared" si="27"/>
        <v>2020</v>
      </c>
      <c r="I140" s="285">
        <f t="shared" si="27"/>
        <v>2021</v>
      </c>
      <c r="J140" s="285">
        <f t="shared" si="27"/>
        <v>2022</v>
      </c>
      <c r="K140" s="285">
        <f t="shared" si="27"/>
        <v>2023</v>
      </c>
      <c r="M140" s="379"/>
    </row>
    <row r="141" spans="3:15">
      <c r="C141" s="269" t="str">
        <f>C16</f>
        <v>Fiscal year end date</v>
      </c>
      <c r="D141" s="32">
        <f>D16</f>
        <v>42643</v>
      </c>
      <c r="E141" s="32">
        <f t="shared" si="27"/>
        <v>43008</v>
      </c>
      <c r="F141" s="32">
        <f t="shared" si="27"/>
        <v>43372</v>
      </c>
      <c r="G141" s="32">
        <f t="shared" si="27"/>
        <v>43738</v>
      </c>
      <c r="H141" s="32">
        <f t="shared" si="27"/>
        <v>44104</v>
      </c>
      <c r="I141" s="32">
        <f t="shared" si="27"/>
        <v>44469</v>
      </c>
      <c r="J141" s="32">
        <f t="shared" si="27"/>
        <v>44834</v>
      </c>
      <c r="K141" s="32">
        <f t="shared" si="27"/>
        <v>45199</v>
      </c>
      <c r="M141" s="380"/>
    </row>
    <row r="142" spans="3:15">
      <c r="C142" s="24"/>
      <c r="G142" s="110" t="s">
        <v>116</v>
      </c>
      <c r="H142" s="110"/>
      <c r="I142" s="110"/>
      <c r="J142" s="110"/>
      <c r="K142" s="110"/>
      <c r="M142" s="381"/>
    </row>
    <row r="143" spans="3:15">
      <c r="C143" s="279" t="s">
        <v>27</v>
      </c>
      <c r="G143" s="153">
        <f>F146</f>
        <v>41304</v>
      </c>
      <c r="H143" s="153">
        <f>G146</f>
        <v>45523.142857142855</v>
      </c>
      <c r="I143" s="153">
        <f>H146</f>
        <v>50204.428571428565</v>
      </c>
      <c r="J143" s="153">
        <f>I146</f>
        <v>54544.428571428565</v>
      </c>
      <c r="K143" s="153">
        <f ca="1">J146</f>
        <v>58601.042118258818</v>
      </c>
      <c r="M143" s="193"/>
      <c r="O143" t="s">
        <v>167</v>
      </c>
    </row>
    <row r="144" spans="3:15">
      <c r="C144" s="287" t="s">
        <v>30</v>
      </c>
      <c r="D144" s="3">
        <v>12734</v>
      </c>
      <c r="E144" s="3">
        <v>12451</v>
      </c>
      <c r="F144" s="3">
        <v>13313</v>
      </c>
      <c r="G144" s="3">
        <v>13285</v>
      </c>
      <c r="H144" s="3">
        <v>13649</v>
      </c>
      <c r="I144" s="3">
        <v>13819</v>
      </c>
      <c r="J144" s="3">
        <f ca="1">I144*(1+J37)</f>
        <v>14572.50151892101</v>
      </c>
      <c r="K144" s="3">
        <f t="shared" ref="K144" ca="1" si="28">J144*(1+K37)</f>
        <v>15450.476714983708</v>
      </c>
      <c r="M144" s="200"/>
      <c r="O144" t="s">
        <v>154</v>
      </c>
    </row>
    <row r="145" spans="3:19">
      <c r="C145" s="288" t="s">
        <v>31</v>
      </c>
      <c r="D145" s="95">
        <v>-8300</v>
      </c>
      <c r="E145" s="95">
        <v>-8200</v>
      </c>
      <c r="F145" s="95">
        <v>-9300</v>
      </c>
      <c r="G145" s="289">
        <f>-G166</f>
        <v>-9065.8571428571431</v>
      </c>
      <c r="H145" s="289">
        <f>-H166</f>
        <v>-8967.7142857142862</v>
      </c>
      <c r="I145" s="289">
        <f>-I166</f>
        <v>-9479</v>
      </c>
      <c r="J145" s="289">
        <f ca="1">-J166</f>
        <v>-10515.887972090757</v>
      </c>
      <c r="K145" s="289">
        <f ca="1">-K166</f>
        <v>-11976.743246242946</v>
      </c>
      <c r="M145" s="356"/>
      <c r="O145" t="s">
        <v>262</v>
      </c>
    </row>
    <row r="146" spans="3:19">
      <c r="C146" s="232" t="s">
        <v>28</v>
      </c>
      <c r="D146" s="52"/>
      <c r="E146" s="52">
        <f>E51</f>
        <v>33783</v>
      </c>
      <c r="F146" s="52">
        <f>F51</f>
        <v>41304</v>
      </c>
      <c r="G146" s="52">
        <f>SUM(G143:G145)</f>
        <v>45523.142857142855</v>
      </c>
      <c r="H146" s="52">
        <f>SUM(H143:H145)</f>
        <v>50204.428571428565</v>
      </c>
      <c r="I146" s="52">
        <f>SUM(I143:I145)</f>
        <v>54544.428571428565</v>
      </c>
      <c r="J146" s="52">
        <f ca="1">SUM(J143:J145)</f>
        <v>58601.042118258818</v>
      </c>
      <c r="K146" s="52">
        <f ca="1">SUM(K143:K145)</f>
        <v>62074.775586999589</v>
      </c>
      <c r="M146" s="194"/>
      <c r="O146" t="s">
        <v>165</v>
      </c>
    </row>
    <row r="147" spans="3:19">
      <c r="C147" s="279"/>
    </row>
    <row r="148" spans="3:19">
      <c r="C148" s="279" t="s">
        <v>123</v>
      </c>
      <c r="D148" s="290">
        <f t="shared" ref="D148:K148" si="29">-(D145/D144)</f>
        <v>0.65179833516569818</v>
      </c>
      <c r="E148" s="290">
        <f t="shared" si="29"/>
        <v>0.6585816400289134</v>
      </c>
      <c r="F148" s="290">
        <f t="shared" si="29"/>
        <v>0.69856531210095396</v>
      </c>
      <c r="G148" s="67">
        <f t="shared" si="29"/>
        <v>0.68241303295876121</v>
      </c>
      <c r="H148" s="67">
        <f t="shared" si="29"/>
        <v>0.65702353913944511</v>
      </c>
      <c r="I148" s="67">
        <f t="shared" si="29"/>
        <v>0.68593964831029741</v>
      </c>
      <c r="J148" s="67">
        <f t="shared" ca="1" si="29"/>
        <v>0.72162545040306736</v>
      </c>
      <c r="K148" s="67">
        <f t="shared" ca="1" si="29"/>
        <v>0.77516981949353236</v>
      </c>
      <c r="M148" s="383"/>
      <c r="Q148" s="291"/>
      <c r="R148" s="291"/>
      <c r="S148" s="291"/>
    </row>
    <row r="149" spans="3:19">
      <c r="C149" s="279"/>
      <c r="D149" s="290"/>
      <c r="E149" s="290"/>
      <c r="F149" s="290"/>
      <c r="G149" s="67"/>
      <c r="H149" s="67"/>
      <c r="I149" s="67"/>
      <c r="J149" s="67"/>
      <c r="K149" s="67"/>
      <c r="M149" s="383"/>
      <c r="Q149" s="291"/>
      <c r="R149" s="291"/>
      <c r="S149" s="291"/>
    </row>
    <row r="150" spans="3:19">
      <c r="C150" s="361" t="s">
        <v>261</v>
      </c>
      <c r="D150" s="362"/>
      <c r="E150" s="362"/>
      <c r="F150" s="362"/>
      <c r="G150" s="363"/>
      <c r="H150" s="363"/>
      <c r="I150" s="363"/>
      <c r="J150" s="363"/>
      <c r="K150" s="363"/>
      <c r="M150" s="189"/>
      <c r="Q150" s="291"/>
      <c r="R150" s="291"/>
      <c r="S150" s="291"/>
    </row>
    <row r="151" spans="3:19">
      <c r="C151" s="217" t="s">
        <v>252</v>
      </c>
      <c r="D151" s="217"/>
      <c r="E151" s="217"/>
      <c r="F151" s="217"/>
      <c r="G151" s="27"/>
      <c r="H151" s="27"/>
      <c r="I151" s="27"/>
      <c r="J151" s="27"/>
      <c r="K151" s="27"/>
      <c r="M151" s="189"/>
      <c r="Q151" s="291"/>
      <c r="R151" s="291"/>
      <c r="S151" s="291"/>
    </row>
    <row r="152" spans="3:19">
      <c r="C152" s="278" t="s">
        <v>253</v>
      </c>
      <c r="E152" s="90">
        <v>75076</v>
      </c>
      <c r="F152" s="90">
        <v>90403</v>
      </c>
      <c r="G152" s="67" t="s">
        <v>263</v>
      </c>
      <c r="H152" s="67"/>
      <c r="I152" s="67"/>
      <c r="J152" s="67"/>
      <c r="K152" s="67"/>
      <c r="M152" s="383"/>
      <c r="Q152" s="291"/>
      <c r="R152" s="291"/>
      <c r="S152" s="291"/>
    </row>
    <row r="153" spans="3:19">
      <c r="C153" s="278" t="s">
        <v>254</v>
      </c>
      <c r="E153" s="90">
        <v>13587</v>
      </c>
      <c r="F153" s="90">
        <v>16216</v>
      </c>
      <c r="G153" s="67" t="s">
        <v>263</v>
      </c>
      <c r="H153" s="67"/>
      <c r="I153" s="67"/>
      <c r="J153" s="67"/>
      <c r="K153" s="67"/>
      <c r="M153" s="383"/>
      <c r="Q153" s="291"/>
      <c r="R153" s="291"/>
      <c r="S153" s="291"/>
    </row>
    <row r="154" spans="3:19">
      <c r="C154" s="278" t="s">
        <v>255</v>
      </c>
      <c r="E154" s="357">
        <f>E152-E146</f>
        <v>41293</v>
      </c>
      <c r="F154" s="357">
        <f>F152-F146</f>
        <v>49099</v>
      </c>
      <c r="G154" s="67"/>
      <c r="H154" s="67"/>
      <c r="I154" s="67"/>
      <c r="J154" s="67"/>
      <c r="K154" s="67"/>
      <c r="M154" s="383"/>
      <c r="Q154" s="291"/>
      <c r="R154" s="291"/>
      <c r="S154" s="291"/>
    </row>
    <row r="155" spans="3:19">
      <c r="C155" s="278" t="s">
        <v>256</v>
      </c>
      <c r="E155" s="357">
        <f>E152-E153-E154</f>
        <v>20196</v>
      </c>
      <c r="F155" s="357">
        <f>F152-F153-F154</f>
        <v>25088</v>
      </c>
      <c r="G155" s="67"/>
      <c r="H155" s="67"/>
      <c r="I155" s="67"/>
      <c r="J155" s="67"/>
      <c r="K155" s="67"/>
      <c r="M155" s="383"/>
      <c r="Q155" s="291"/>
      <c r="R155" s="291"/>
      <c r="S155" s="291"/>
    </row>
    <row r="156" spans="3:19">
      <c r="C156" s="279"/>
      <c r="D156" s="290"/>
      <c r="H156" s="67"/>
      <c r="I156" s="67"/>
      <c r="J156" s="67"/>
      <c r="K156" s="67"/>
      <c r="M156" s="383"/>
      <c r="Q156" s="291"/>
      <c r="R156" s="291"/>
      <c r="S156" s="291"/>
    </row>
    <row r="157" spans="3:19">
      <c r="C157" t="s">
        <v>257</v>
      </c>
      <c r="D157" s="365">
        <f>IF(D158,D158,-ROUND((F152-F153)/F145,0))</f>
        <v>7</v>
      </c>
      <c r="H157" s="67"/>
      <c r="I157" s="67"/>
      <c r="J157" s="67"/>
      <c r="K157" s="67"/>
      <c r="M157" s="383"/>
      <c r="Q157" s="291"/>
      <c r="R157" s="291"/>
      <c r="S157" s="291"/>
    </row>
    <row r="158" spans="3:19">
      <c r="C158" t="s">
        <v>264</v>
      </c>
      <c r="D158" s="364">
        <v>7</v>
      </c>
      <c r="H158" s="67"/>
      <c r="I158" s="67"/>
      <c r="J158" s="67"/>
      <c r="K158" s="67"/>
      <c r="M158" s="383"/>
      <c r="Q158" s="291"/>
      <c r="R158" s="291"/>
      <c r="S158" s="291"/>
    </row>
    <row r="159" spans="3:19">
      <c r="D159" s="290"/>
      <c r="E159" s="290"/>
      <c r="F159" s="290"/>
      <c r="G159" s="67"/>
      <c r="H159" s="67"/>
      <c r="I159" s="67"/>
      <c r="J159" s="67"/>
      <c r="K159" s="67"/>
      <c r="M159" s="383"/>
      <c r="Q159" s="291"/>
      <c r="R159" s="291"/>
      <c r="S159" s="291"/>
    </row>
    <row r="160" spans="3:19">
      <c r="C160" t="s">
        <v>258</v>
      </c>
      <c r="D160" s="290"/>
      <c r="E160" s="358" t="s">
        <v>260</v>
      </c>
      <c r="F160" s="290"/>
      <c r="G160" s="33">
        <f>DDB($F$155,0,$D$157,G140-$F$140)</f>
        <v>7168</v>
      </c>
      <c r="H160" s="33">
        <f>DDB($F$155,0,$D$157,H140-$F$140)</f>
        <v>5120</v>
      </c>
      <c r="I160" s="33">
        <f>DDB($F$155,0,$D$157,I140-$F$140)</f>
        <v>3657.1428571428569</v>
      </c>
      <c r="J160" s="33">
        <f>DDB($F$155,0,$D$157,J140-$F$140)</f>
        <v>2612.2448979591836</v>
      </c>
      <c r="K160" s="33">
        <f>DDB($F$155,0,$D$157,K140-$F$140)</f>
        <v>1865.8892128279883</v>
      </c>
      <c r="M160" s="384"/>
      <c r="Q160" s="291"/>
      <c r="R160" s="291"/>
      <c r="S160" s="291"/>
    </row>
    <row r="161" spans="3:19">
      <c r="C161" t="str">
        <f>"Depreciation from capex purchased in "&amp;G140</f>
        <v>Depreciation from capex purchased in 2019</v>
      </c>
      <c r="D161" s="290"/>
      <c r="E161" s="349">
        <v>1</v>
      </c>
      <c r="F161" s="290"/>
      <c r="G161" s="33">
        <f>G144*E161/$D$157</f>
        <v>1897.8571428571429</v>
      </c>
      <c r="H161" s="33">
        <f>$G$144/$D$157</f>
        <v>1897.8571428571429</v>
      </c>
      <c r="I161" s="33">
        <f>$G$144/$D$157</f>
        <v>1897.8571428571429</v>
      </c>
      <c r="J161" s="33">
        <f>$G$144/$D$157</f>
        <v>1897.8571428571429</v>
      </c>
      <c r="K161" s="33">
        <f>$G$144/$D$157</f>
        <v>1897.8571428571429</v>
      </c>
      <c r="M161" s="384"/>
      <c r="Q161" s="291"/>
      <c r="R161" s="291"/>
      <c r="S161" s="291"/>
    </row>
    <row r="162" spans="3:19">
      <c r="C162" t="str">
        <f>"Depreciation from capex purchased in "&amp;H140</f>
        <v>Depreciation from capex purchased in 2020</v>
      </c>
      <c r="D162" s="290"/>
      <c r="E162" s="290"/>
      <c r="F162" s="290"/>
      <c r="H162" s="33">
        <f>H144*E161/$D$157</f>
        <v>1949.8571428571429</v>
      </c>
      <c r="I162" s="33">
        <f>$H$144/$D$157</f>
        <v>1949.8571428571429</v>
      </c>
      <c r="J162" s="33">
        <f>$H$144/$D$157</f>
        <v>1949.8571428571429</v>
      </c>
      <c r="K162" s="33">
        <f>$H$144/$D$157</f>
        <v>1949.8571428571429</v>
      </c>
      <c r="M162" s="384"/>
      <c r="Q162" s="291"/>
      <c r="R162" s="291"/>
      <c r="S162" s="291"/>
    </row>
    <row r="163" spans="3:19">
      <c r="C163" t="str">
        <f>"Depreciation from capex purchased in "&amp;I140</f>
        <v>Depreciation from capex purchased in 2021</v>
      </c>
      <c r="D163" s="290"/>
      <c r="E163" s="290"/>
      <c r="F163" s="290"/>
      <c r="I163" s="33">
        <f>I144*E161/$D$157</f>
        <v>1974.1428571428571</v>
      </c>
      <c r="J163" s="360">
        <f>$I$144/$D$157</f>
        <v>1974.1428571428571</v>
      </c>
      <c r="K163" s="360">
        <f>$I$144/$D$157</f>
        <v>1974.1428571428571</v>
      </c>
      <c r="M163" s="385"/>
      <c r="Q163" s="291"/>
      <c r="R163" s="291"/>
      <c r="S163" s="291"/>
    </row>
    <row r="164" spans="3:19">
      <c r="C164" t="str">
        <f>"Depreciation from capex purchased in "&amp;J140</f>
        <v>Depreciation from capex purchased in 2022</v>
      </c>
      <c r="D164" s="290"/>
      <c r="E164" s="290"/>
      <c r="F164" s="290"/>
      <c r="J164" s="33">
        <f ca="1">J144*E161/$D$157</f>
        <v>2081.7859312744299</v>
      </c>
      <c r="K164" s="153">
        <f ca="1">J144/$D$157</f>
        <v>2081.7859312744299</v>
      </c>
      <c r="M164" s="193"/>
      <c r="Q164" s="291"/>
      <c r="R164" s="291"/>
      <c r="S164" s="291"/>
    </row>
    <row r="165" spans="3:19">
      <c r="C165" t="str">
        <f>"Depreciation from capex purchased in "&amp;K140</f>
        <v>Depreciation from capex purchased in 2023</v>
      </c>
      <c r="D165" s="290"/>
      <c r="E165" s="290"/>
      <c r="F165" s="290"/>
      <c r="K165" s="33">
        <f ca="1">K144*E161/$D$157</f>
        <v>2207.2109592833867</v>
      </c>
      <c r="M165" s="384"/>
      <c r="Q165" s="291"/>
      <c r="R165" s="291"/>
      <c r="S165" s="291"/>
    </row>
    <row r="166" spans="3:19">
      <c r="C166" s="24" t="s">
        <v>259</v>
      </c>
      <c r="D166" s="290"/>
      <c r="E166" s="290"/>
      <c r="F166" s="290"/>
      <c r="G166" s="359">
        <f>SUM(G160:G165)</f>
        <v>9065.8571428571431</v>
      </c>
      <c r="H166" s="52">
        <f>SUM(H160:H165)</f>
        <v>8967.7142857142862</v>
      </c>
      <c r="I166" s="52">
        <f>SUM(I160:I165)</f>
        <v>9479</v>
      </c>
      <c r="J166" s="52">
        <f ca="1">SUM(J160:J165)</f>
        <v>10515.887972090757</v>
      </c>
      <c r="K166" s="52">
        <f ca="1">SUM(K160:K165)</f>
        <v>11976.743246242946</v>
      </c>
      <c r="M166" s="194"/>
      <c r="Q166" s="291"/>
      <c r="R166" s="291"/>
      <c r="S166" s="291"/>
    </row>
    <row r="167" spans="3:19">
      <c r="C167" s="279"/>
      <c r="D167" s="290"/>
      <c r="E167" s="290"/>
      <c r="F167" s="290"/>
      <c r="G167" s="67"/>
      <c r="H167" s="67"/>
      <c r="I167" s="67"/>
      <c r="J167" s="67"/>
      <c r="K167" s="67"/>
      <c r="M167" s="383"/>
      <c r="Q167" s="291"/>
      <c r="R167" s="291"/>
      <c r="S167" s="291"/>
    </row>
    <row r="168" spans="3:19">
      <c r="C168" s="128" t="s">
        <v>130</v>
      </c>
      <c r="D168" s="292"/>
      <c r="E168" s="292"/>
      <c r="F168" s="292"/>
      <c r="G168" s="129"/>
      <c r="H168" s="129"/>
      <c r="I168" s="129"/>
      <c r="J168" s="129"/>
      <c r="K168" s="129"/>
      <c r="M168" s="189"/>
      <c r="Q168" s="291"/>
      <c r="R168" s="291"/>
      <c r="S168" s="291"/>
    </row>
    <row r="169" spans="3:19">
      <c r="C169" s="279" t="s">
        <v>156</v>
      </c>
      <c r="D169" s="153">
        <f>D171+D145</f>
        <v>2205</v>
      </c>
      <c r="E169" s="153">
        <f>E171+E145</f>
        <v>1957</v>
      </c>
      <c r="F169" s="153">
        <f>F171+F145</f>
        <v>1603</v>
      </c>
      <c r="G169" s="33">
        <f ca="1">G170*G18</f>
        <v>1526.9253644274177</v>
      </c>
      <c r="H169" s="33">
        <f ca="1">H170*H18</f>
        <v>1601.6829574073306</v>
      </c>
      <c r="I169" s="33">
        <f ca="1">I170*I18</f>
        <v>1680.3314796496511</v>
      </c>
      <c r="J169" s="33">
        <f ca="1">J170*J18</f>
        <v>1771.9540516307495</v>
      </c>
      <c r="K169" s="33">
        <f ca="1">K170*K18</f>
        <v>1878.7120920313373</v>
      </c>
      <c r="M169" s="384"/>
      <c r="O169" t="s">
        <v>238</v>
      </c>
      <c r="Q169" s="291"/>
      <c r="R169" s="291"/>
      <c r="S169" s="291"/>
    </row>
    <row r="170" spans="3:19">
      <c r="C170" s="278" t="s">
        <v>157</v>
      </c>
      <c r="D170" s="224">
        <f>D169/D18</f>
        <v>1.0225423044996499E-2</v>
      </c>
      <c r="E170" s="224">
        <f>E169/E18</f>
        <v>8.537128000209393E-3</v>
      </c>
      <c r="F170" s="224">
        <f>F169/F18</f>
        <v>6.0355051864681188E-3</v>
      </c>
      <c r="G170" s="67">
        <f>F170</f>
        <v>6.0355051864681188E-3</v>
      </c>
      <c r="H170" s="67">
        <f>G170</f>
        <v>6.0355051864681188E-3</v>
      </c>
      <c r="I170" s="67">
        <f>H170</f>
        <v>6.0355051864681188E-3</v>
      </c>
      <c r="J170" s="67">
        <f>I170</f>
        <v>6.0355051864681188E-3</v>
      </c>
      <c r="K170" s="67">
        <f>J170</f>
        <v>6.0355051864681188E-3</v>
      </c>
      <c r="M170" s="383"/>
      <c r="O170" t="s">
        <v>158</v>
      </c>
    </row>
    <row r="171" spans="3:19">
      <c r="C171" s="280" t="s">
        <v>110</v>
      </c>
      <c r="D171" s="52">
        <f>D31</f>
        <v>10505</v>
      </c>
      <c r="E171" s="52">
        <f>E31</f>
        <v>10157</v>
      </c>
      <c r="F171" s="52">
        <f>F31</f>
        <v>10903</v>
      </c>
      <c r="G171" s="69">
        <f ca="1">-G145+G169</f>
        <v>10592.782507284561</v>
      </c>
      <c r="H171" s="69">
        <f ca="1">-H145+H169</f>
        <v>10569.397243121617</v>
      </c>
      <c r="I171" s="69">
        <f ca="1">-I145+I169</f>
        <v>11159.331479649651</v>
      </c>
      <c r="J171" s="69">
        <f ca="1">-J145+J169</f>
        <v>12287.842023721507</v>
      </c>
      <c r="K171" s="69">
        <f ca="1">-K145+K169</f>
        <v>13855.455338274283</v>
      </c>
      <c r="M171" s="186"/>
      <c r="O171" t="s">
        <v>160</v>
      </c>
    </row>
    <row r="172" spans="3:19">
      <c r="C172" s="279"/>
      <c r="D172" s="153"/>
      <c r="E172" s="153"/>
      <c r="F172" s="153"/>
      <c r="H172" s="153"/>
      <c r="I172" s="153"/>
      <c r="J172" s="153"/>
      <c r="K172" s="153"/>
      <c r="M172" s="193"/>
    </row>
    <row r="173" spans="3:19">
      <c r="C173" s="70" t="s">
        <v>129</v>
      </c>
      <c r="D173" s="269"/>
      <c r="E173" s="269"/>
      <c r="F173" s="269"/>
      <c r="H173" s="153"/>
      <c r="I173" s="153"/>
      <c r="J173" s="153"/>
      <c r="K173" s="153"/>
      <c r="M173" s="193"/>
    </row>
    <row r="174" spans="3:19">
      <c r="C174" s="279" t="s">
        <v>27</v>
      </c>
      <c r="D174" s="153"/>
      <c r="G174" s="293">
        <f>F177</f>
        <v>22283</v>
      </c>
      <c r="H174" s="293">
        <f ca="1">G177</f>
        <v>21225.500870577758</v>
      </c>
      <c r="I174" s="293">
        <f ca="1">H177</f>
        <v>22264.692039867467</v>
      </c>
      <c r="J174" s="293">
        <f ca="1">I177</f>
        <v>23357.970281368172</v>
      </c>
      <c r="K174" s="293">
        <f ca="1">J177</f>
        <v>24631.59833592514</v>
      </c>
      <c r="M174" s="63"/>
      <c r="O174" t="s">
        <v>167</v>
      </c>
    </row>
    <row r="175" spans="3:19">
      <c r="C175" s="278" t="s">
        <v>124</v>
      </c>
      <c r="G175" s="153">
        <f ca="1">-(G169)</f>
        <v>-1526.9253644274177</v>
      </c>
      <c r="H175" s="153">
        <f ca="1">-(H169)</f>
        <v>-1601.6829574073306</v>
      </c>
      <c r="I175" s="153">
        <f ca="1">-(I169)</f>
        <v>-1680.3314796496511</v>
      </c>
      <c r="J175" s="153">
        <f ca="1">-(J169)</f>
        <v>-1771.9540516307495</v>
      </c>
      <c r="K175" s="153">
        <f ca="1">-(K169)</f>
        <v>-1878.7120920313373</v>
      </c>
      <c r="M175" s="193"/>
      <c r="O175" t="s">
        <v>162</v>
      </c>
    </row>
    <row r="176" spans="3:19" ht="15" customHeight="1">
      <c r="C176" s="294" t="s">
        <v>125</v>
      </c>
      <c r="D176" s="295"/>
      <c r="E176" s="295"/>
      <c r="F176" s="295"/>
      <c r="G176" s="296">
        <f ca="1">G177-G175-G174</f>
        <v>469.42623500517584</v>
      </c>
      <c r="H176" s="296">
        <f ca="1">H177-H175-H174</f>
        <v>2640.8741266970392</v>
      </c>
      <c r="I176" s="296">
        <f ca="1">I177-I175-I174</f>
        <v>2773.6097211503584</v>
      </c>
      <c r="J176" s="296">
        <f ca="1">J177-J175-J174</f>
        <v>3045.5821061877177</v>
      </c>
      <c r="K176" s="296">
        <f ca="1">K177-K175-K174</f>
        <v>3362.7354321725143</v>
      </c>
      <c r="M176" s="63"/>
      <c r="O176" t="s">
        <v>168</v>
      </c>
    </row>
    <row r="177" spans="3:19">
      <c r="C177" s="232" t="s">
        <v>28</v>
      </c>
      <c r="E177" s="52">
        <f t="shared" ref="E177:K177" si="30">E52</f>
        <v>18177</v>
      </c>
      <c r="F177" s="52">
        <f t="shared" si="30"/>
        <v>22283</v>
      </c>
      <c r="G177" s="52">
        <f t="shared" ca="1" si="30"/>
        <v>21225.500870577758</v>
      </c>
      <c r="H177" s="52">
        <f t="shared" ca="1" si="30"/>
        <v>22264.692039867467</v>
      </c>
      <c r="I177" s="52">
        <f t="shared" ca="1" si="30"/>
        <v>23357.970281368172</v>
      </c>
      <c r="J177" s="52">
        <f t="shared" ca="1" si="30"/>
        <v>24631.59833592514</v>
      </c>
      <c r="K177" s="52">
        <f t="shared" ca="1" si="30"/>
        <v>26115.621676066316</v>
      </c>
      <c r="M177" s="194"/>
      <c r="O177" t="s">
        <v>169</v>
      </c>
    </row>
    <row r="178" spans="3:19">
      <c r="C178" s="278"/>
      <c r="E178" s="153"/>
      <c r="F178" s="153"/>
      <c r="H178" s="153"/>
      <c r="I178" s="153"/>
      <c r="J178" s="153"/>
      <c r="K178" s="153"/>
      <c r="M178" s="193"/>
    </row>
    <row r="179" spans="3:19">
      <c r="C179" s="74" t="s">
        <v>75</v>
      </c>
      <c r="D179" s="70"/>
      <c r="E179" s="70"/>
      <c r="F179" s="70"/>
      <c r="G179" s="269"/>
      <c r="H179" s="269"/>
      <c r="I179" s="269"/>
      <c r="J179" s="269"/>
      <c r="K179" s="269"/>
      <c r="M179" s="378"/>
    </row>
    <row r="180" spans="3:19">
      <c r="C180" s="279" t="s">
        <v>27</v>
      </c>
      <c r="G180" s="153">
        <f>F184</f>
        <v>70400</v>
      </c>
      <c r="H180" s="153">
        <f ca="1">G184</f>
        <v>37510.813510234366</v>
      </c>
      <c r="I180" s="153">
        <f ca="1">H184</f>
        <v>7084.5774505412555</v>
      </c>
      <c r="J180" s="153">
        <f ca="1">I184</f>
        <v>-21430.149819487589</v>
      </c>
      <c r="K180" s="153">
        <f ca="1">J184</f>
        <v>-47843.851706804038</v>
      </c>
      <c r="M180" s="193"/>
      <c r="O180" t="s">
        <v>167</v>
      </c>
    </row>
    <row r="181" spans="3:19">
      <c r="C181" s="278" t="s">
        <v>62</v>
      </c>
      <c r="D181" s="33">
        <f t="shared" ref="D181:K181" si="31">D29</f>
        <v>45687</v>
      </c>
      <c r="E181" s="33">
        <f t="shared" si="31"/>
        <v>48351</v>
      </c>
      <c r="F181" s="33">
        <f t="shared" si="31"/>
        <v>59531</v>
      </c>
      <c r="G181" s="153">
        <f t="shared" ca="1" si="31"/>
        <v>52213.524654506109</v>
      </c>
      <c r="H181" s="153">
        <f t="shared" ca="1" si="31"/>
        <v>55415.155846152702</v>
      </c>
      <c r="I181" s="153">
        <f t="shared" ca="1" si="31"/>
        <v>57899.958662064659</v>
      </c>
      <c r="J181" s="153">
        <f t="shared" ca="1" si="31"/>
        <v>60631.117323481623</v>
      </c>
      <c r="K181" s="153">
        <f t="shared" ca="1" si="31"/>
        <v>63901.764252650741</v>
      </c>
      <c r="M181" s="193"/>
      <c r="O181" t="s">
        <v>101</v>
      </c>
    </row>
    <row r="182" spans="3:19">
      <c r="C182" s="278" t="s">
        <v>63</v>
      </c>
      <c r="D182" s="3">
        <v>-12188</v>
      </c>
      <c r="E182" s="3">
        <v>-12803</v>
      </c>
      <c r="F182" s="3">
        <v>-13735</v>
      </c>
      <c r="G182" s="151">
        <f ca="1">-(G186*G181)</f>
        <v>-12046.711144271749</v>
      </c>
      <c r="H182" s="151">
        <f ca="1">-(H186*H181)</f>
        <v>-12785.391905845818</v>
      </c>
      <c r="I182" s="151">
        <f ca="1">-(I186*I181)</f>
        <v>-13358.6859320935</v>
      </c>
      <c r="J182" s="151">
        <f ca="1">-(J186*J181)</f>
        <v>-13988.819210798074</v>
      </c>
      <c r="K182" s="151">
        <f ca="1">-(K186*K181)</f>
        <v>-14743.423292236952</v>
      </c>
      <c r="M182" s="193"/>
      <c r="O182" t="s">
        <v>267</v>
      </c>
    </row>
    <row r="183" spans="3:19">
      <c r="C183" s="294" t="s">
        <v>64</v>
      </c>
      <c r="D183" s="95">
        <v>-29000</v>
      </c>
      <c r="E183" s="95">
        <v>-33001</v>
      </c>
      <c r="F183" s="95">
        <v>-73056</v>
      </c>
      <c r="G183" s="289">
        <f>F183</f>
        <v>-73056</v>
      </c>
      <c r="H183" s="289">
        <f>G183</f>
        <v>-73056</v>
      </c>
      <c r="I183" s="289">
        <f>H183</f>
        <v>-73056</v>
      </c>
      <c r="J183" s="289">
        <f>I183</f>
        <v>-73056</v>
      </c>
      <c r="K183" s="289">
        <f>J183</f>
        <v>-73056</v>
      </c>
      <c r="M183" s="356"/>
      <c r="O183" t="s">
        <v>236</v>
      </c>
    </row>
    <row r="184" spans="3:19">
      <c r="C184" s="232" t="s">
        <v>28</v>
      </c>
      <c r="D184" s="69">
        <f>D64</f>
        <v>0</v>
      </c>
      <c r="E184" s="69">
        <f>E64</f>
        <v>98330</v>
      </c>
      <c r="F184" s="69">
        <f>F64</f>
        <v>70400</v>
      </c>
      <c r="G184" s="52">
        <f ca="1">SUM(G180:G183)</f>
        <v>37510.813510234366</v>
      </c>
      <c r="H184" s="52">
        <f ca="1">SUM(H180:H183)</f>
        <v>7084.5774505412555</v>
      </c>
      <c r="I184" s="52">
        <f ca="1">SUM(I180:I183)</f>
        <v>-21430.149819487589</v>
      </c>
      <c r="J184" s="52">
        <f ca="1">SUM(J180:J183)</f>
        <v>-47843.851706804038</v>
      </c>
      <c r="K184" s="52">
        <f ca="1">SUM(K180:K183)</f>
        <v>-71741.510746390253</v>
      </c>
      <c r="M184" s="194"/>
      <c r="O184" t="s">
        <v>164</v>
      </c>
    </row>
    <row r="185" spans="3:19">
      <c r="E185" s="62"/>
      <c r="F185" s="62"/>
    </row>
    <row r="186" spans="3:19">
      <c r="C186" s="366" t="s">
        <v>265</v>
      </c>
      <c r="D186" s="224">
        <f>-(D182/D181)</f>
        <v>0.26677172937597127</v>
      </c>
      <c r="E186" s="224">
        <f>-(E182/E181)</f>
        <v>0.2647928688134682</v>
      </c>
      <c r="F186" s="224">
        <f>-(F182/F181)</f>
        <v>0.23072012900841579</v>
      </c>
      <c r="G186" s="367">
        <f>F186</f>
        <v>0.23072012900841579</v>
      </c>
      <c r="H186" s="367">
        <f>G186</f>
        <v>0.23072012900841579</v>
      </c>
      <c r="I186" s="367">
        <f>H186</f>
        <v>0.23072012900841579</v>
      </c>
      <c r="J186" s="367">
        <f>I186</f>
        <v>0.23072012900841579</v>
      </c>
      <c r="K186" s="367">
        <f>J186</f>
        <v>0.23072012900841579</v>
      </c>
      <c r="M186" s="386"/>
      <c r="O186" t="s">
        <v>266</v>
      </c>
    </row>
    <row r="187" spans="3:19">
      <c r="E187" s="62"/>
      <c r="F187" s="62"/>
    </row>
    <row r="188" spans="3:19">
      <c r="C188" s="7" t="s">
        <v>131</v>
      </c>
      <c r="D188" s="269"/>
      <c r="E188" s="269"/>
      <c r="F188" s="269"/>
      <c r="G188" s="269"/>
      <c r="H188" s="269"/>
      <c r="I188" s="269"/>
      <c r="J188" s="269"/>
      <c r="K188" s="269"/>
      <c r="M188" s="378"/>
      <c r="Q188" s="291"/>
      <c r="R188" s="291"/>
    </row>
    <row r="189" spans="3:19">
      <c r="C189" s="35" t="str">
        <f t="shared" ref="C189:K189" si="32">C15</f>
        <v xml:space="preserve">Fiscal year  </v>
      </c>
      <c r="D189" s="284">
        <f t="shared" si="32"/>
        <v>2016</v>
      </c>
      <c r="E189" s="284">
        <f t="shared" si="32"/>
        <v>2017</v>
      </c>
      <c r="F189" s="284">
        <f t="shared" si="32"/>
        <v>2018</v>
      </c>
      <c r="G189" s="285">
        <f t="shared" si="32"/>
        <v>2019</v>
      </c>
      <c r="H189" s="285">
        <f t="shared" si="32"/>
        <v>2020</v>
      </c>
      <c r="I189" s="285">
        <f t="shared" si="32"/>
        <v>2021</v>
      </c>
      <c r="J189" s="285">
        <f t="shared" si="32"/>
        <v>2022</v>
      </c>
      <c r="K189" s="285">
        <f t="shared" si="32"/>
        <v>2023</v>
      </c>
      <c r="M189" s="379"/>
      <c r="Q189" s="291"/>
      <c r="R189" s="291"/>
    </row>
    <row r="190" spans="3:19">
      <c r="C190" s="269" t="str">
        <f t="shared" ref="C190:K190" si="33">C16</f>
        <v>Fiscal year end date</v>
      </c>
      <c r="D190" s="32">
        <f t="shared" si="33"/>
        <v>42643</v>
      </c>
      <c r="E190" s="32">
        <f t="shared" si="33"/>
        <v>43008</v>
      </c>
      <c r="F190" s="32">
        <f t="shared" si="33"/>
        <v>43372</v>
      </c>
      <c r="G190" s="32">
        <f t="shared" si="33"/>
        <v>43738</v>
      </c>
      <c r="H190" s="32">
        <f t="shared" si="33"/>
        <v>44104</v>
      </c>
      <c r="I190" s="32">
        <f t="shared" si="33"/>
        <v>44469</v>
      </c>
      <c r="J190" s="32">
        <f t="shared" si="33"/>
        <v>44834</v>
      </c>
      <c r="K190" s="32">
        <f t="shared" si="33"/>
        <v>45199</v>
      </c>
      <c r="M190" s="380"/>
      <c r="Q190" s="291"/>
      <c r="R190" s="291"/>
    </row>
    <row r="191" spans="3:19">
      <c r="C191" s="24"/>
      <c r="Q191" s="291"/>
      <c r="R191" s="291"/>
    </row>
    <row r="192" spans="3:19">
      <c r="C192" s="25" t="s">
        <v>39</v>
      </c>
      <c r="Q192" s="291"/>
      <c r="R192" s="291"/>
      <c r="S192" s="291"/>
    </row>
    <row r="193" spans="3:21">
      <c r="C193" s="278" t="s">
        <v>45</v>
      </c>
      <c r="G193" s="153">
        <f>F46</f>
        <v>237100</v>
      </c>
      <c r="H193" s="153">
        <f ca="1">G46</f>
        <v>201433.70401680938</v>
      </c>
      <c r="I193" s="153">
        <f ca="1">H46</f>
        <v>173038.87796642023</v>
      </c>
      <c r="J193" s="153">
        <f ca="1">I46</f>
        <v>149494.60025611497</v>
      </c>
      <c r="K193" s="153">
        <f ca="1">J46</f>
        <v>126981.29843531705</v>
      </c>
      <c r="M193" s="193"/>
      <c r="O193" t="s">
        <v>172</v>
      </c>
      <c r="Q193" s="291"/>
      <c r="R193" s="291"/>
    </row>
    <row r="194" spans="3:21">
      <c r="C194" s="278" t="s">
        <v>69</v>
      </c>
      <c r="G194" s="3">
        <v>-50000</v>
      </c>
      <c r="H194" s="3">
        <v>-50000</v>
      </c>
      <c r="I194" s="3">
        <v>-50000</v>
      </c>
      <c r="J194" s="3">
        <v>-50000</v>
      </c>
      <c r="K194" s="3">
        <v>-50000</v>
      </c>
      <c r="M194" s="200"/>
      <c r="O194" t="s">
        <v>126</v>
      </c>
      <c r="Q194" s="291"/>
      <c r="R194" s="291"/>
    </row>
    <row r="195" spans="3:21">
      <c r="C195" s="294" t="s">
        <v>40</v>
      </c>
      <c r="D195" s="295"/>
      <c r="E195" s="295"/>
      <c r="F195" s="295"/>
      <c r="G195" s="289">
        <f ca="1">SUM(G81,G84,G86,G88,G89)</f>
        <v>-35702.295983190634</v>
      </c>
      <c r="H195" s="289">
        <f ca="1">SUM(H81,H84,H86,H88,H89)</f>
        <v>-28394.826050389158</v>
      </c>
      <c r="I195" s="289">
        <f ca="1">SUM(I81,I84,I86,I88,I89)</f>
        <v>-23544.277710305261</v>
      </c>
      <c r="J195" s="289">
        <f ca="1">SUM(J81,J84,J86,J88,J89)</f>
        <v>-22513.301820797918</v>
      </c>
      <c r="K195" s="289">
        <f ca="1">SUM(K81,K84,K86,K88,K89)</f>
        <v>-16358.5774621243</v>
      </c>
      <c r="M195" s="356"/>
      <c r="O195" t="s">
        <v>174</v>
      </c>
    </row>
    <row r="196" spans="3:21">
      <c r="C196" s="232" t="s">
        <v>102</v>
      </c>
      <c r="G196" s="52">
        <f ca="1">SUM(G193:G195)</f>
        <v>151397.70401680935</v>
      </c>
      <c r="H196" s="52">
        <f ca="1">SUM(H193:H195)</f>
        <v>123038.87796642023</v>
      </c>
      <c r="I196" s="52">
        <f ca="1">SUM(I193:I195)</f>
        <v>99494.600256114965</v>
      </c>
      <c r="J196" s="52">
        <f ca="1">SUM(J193:J195)</f>
        <v>76981.298435317047</v>
      </c>
      <c r="K196" s="52">
        <f ca="1">SUM(K193:K195)</f>
        <v>60622.720973192743</v>
      </c>
      <c r="M196" s="194"/>
    </row>
    <row r="198" spans="3:21">
      <c r="C198" s="24" t="s">
        <v>113</v>
      </c>
    </row>
    <row r="199" spans="3:21">
      <c r="C199" s="278" t="s">
        <v>27</v>
      </c>
      <c r="G199" s="153">
        <f>F202</f>
        <v>11964</v>
      </c>
      <c r="H199" s="153">
        <f ca="1">G202</f>
        <v>12000</v>
      </c>
      <c r="I199" s="153">
        <f ca="1">H202</f>
        <v>12000</v>
      </c>
      <c r="J199" s="153">
        <f ca="1">I202</f>
        <v>12000</v>
      </c>
      <c r="K199" s="153">
        <f ca="1">J202</f>
        <v>12000</v>
      </c>
      <c r="M199" s="193"/>
      <c r="O199" t="s">
        <v>167</v>
      </c>
    </row>
    <row r="200" spans="3:21">
      <c r="C200" s="287" t="s">
        <v>176</v>
      </c>
      <c r="G200" s="153">
        <f ca="1">-MIN(G196,G199)</f>
        <v>-11964</v>
      </c>
      <c r="H200" s="153">
        <f ca="1">-MIN(H196,H199)</f>
        <v>-12000</v>
      </c>
      <c r="I200" s="153">
        <f ca="1">-MIN(I196,I199)</f>
        <v>-12000</v>
      </c>
      <c r="J200" s="153">
        <f ca="1">-MIN(J196,J199)</f>
        <v>-12000</v>
      </c>
      <c r="K200" s="153">
        <f ca="1">-MIN(K196,K199)</f>
        <v>-12000</v>
      </c>
      <c r="M200" s="193"/>
      <c r="O200" t="s">
        <v>175</v>
      </c>
    </row>
    <row r="201" spans="3:21">
      <c r="C201" s="288" t="s">
        <v>128</v>
      </c>
      <c r="D201" s="295"/>
      <c r="E201" s="295"/>
      <c r="F201" s="295"/>
      <c r="G201" s="95">
        <v>12000</v>
      </c>
      <c r="H201" s="95">
        <v>12000</v>
      </c>
      <c r="I201" s="95">
        <v>12000</v>
      </c>
      <c r="J201" s="95">
        <v>12000</v>
      </c>
      <c r="K201" s="95">
        <v>12000</v>
      </c>
      <c r="M201" s="17"/>
      <c r="O201" t="s">
        <v>126</v>
      </c>
    </row>
    <row r="202" spans="3:21">
      <c r="C202" s="278" t="s">
        <v>28</v>
      </c>
      <c r="D202" s="289">
        <f>D58</f>
        <v>0</v>
      </c>
      <c r="E202" s="289">
        <f>E58</f>
        <v>11977</v>
      </c>
      <c r="F202" s="289">
        <f>F58</f>
        <v>11964</v>
      </c>
      <c r="G202" s="160">
        <f ca="1">SUM(G199:G201)</f>
        <v>12000</v>
      </c>
      <c r="H202" s="160">
        <f ca="1">SUM(H199:H201)</f>
        <v>12000</v>
      </c>
      <c r="I202" s="160">
        <f ca="1">SUM(I199:I201)</f>
        <v>12000</v>
      </c>
      <c r="J202" s="160">
        <f ca="1">SUM(J199:J201)</f>
        <v>12000</v>
      </c>
      <c r="K202" s="160">
        <f ca="1">SUM(K199:K201)</f>
        <v>12000</v>
      </c>
      <c r="M202" s="162"/>
    </row>
    <row r="203" spans="3:21">
      <c r="C203" s="117" t="s">
        <v>119</v>
      </c>
      <c r="D203" s="297"/>
      <c r="E203" s="297"/>
      <c r="F203" s="298"/>
      <c r="G203" s="118" t="str">
        <f ca="1">IF(G202&lt;0,"Negative Debt","OK")</f>
        <v>OK</v>
      </c>
      <c r="H203" s="118" t="str">
        <f ca="1">IF(H202&lt;0,"Negative Debt","OK")</f>
        <v>OK</v>
      </c>
      <c r="I203" s="118" t="str">
        <f ca="1">IF(I202&lt;0,"Negative Debt","OK")</f>
        <v>OK</v>
      </c>
      <c r="J203" s="118" t="str">
        <f ca="1">IF(J202&lt;0,"Negative Debt","OK")</f>
        <v>OK</v>
      </c>
      <c r="K203" s="119" t="str">
        <f ca="1">IF(K202&lt;0,"Negative Debt","OK")</f>
        <v>OK</v>
      </c>
      <c r="M203" s="205"/>
      <c r="U203" s="62"/>
    </row>
    <row r="204" spans="3:21">
      <c r="D204" s="153"/>
      <c r="E204" s="153"/>
      <c r="F204" s="299"/>
      <c r="G204" s="300"/>
      <c r="H204" s="300"/>
      <c r="I204" s="300"/>
      <c r="J204" s="300"/>
      <c r="K204" s="300"/>
      <c r="M204" s="387"/>
      <c r="U204" s="62"/>
    </row>
    <row r="205" spans="3:21">
      <c r="C205" s="7" t="s">
        <v>43</v>
      </c>
      <c r="D205" s="292"/>
      <c r="E205" s="292"/>
      <c r="F205" s="292"/>
      <c r="G205" s="49"/>
      <c r="H205" s="49"/>
      <c r="I205" s="49"/>
      <c r="J205" s="49"/>
      <c r="K205" s="49"/>
      <c r="M205" s="388"/>
      <c r="T205" s="99"/>
    </row>
    <row r="206" spans="3:21">
      <c r="C206" s="35" t="str">
        <f t="shared" ref="C206:K206" si="34">C15</f>
        <v xml:space="preserve">Fiscal year  </v>
      </c>
      <c r="D206" s="284">
        <f t="shared" si="34"/>
        <v>2016</v>
      </c>
      <c r="E206" s="284">
        <f t="shared" si="34"/>
        <v>2017</v>
      </c>
      <c r="F206" s="284">
        <f t="shared" si="34"/>
        <v>2018</v>
      </c>
      <c r="G206" s="285">
        <f t="shared" si="34"/>
        <v>2019</v>
      </c>
      <c r="H206" s="285">
        <f t="shared" si="34"/>
        <v>2020</v>
      </c>
      <c r="I206" s="285">
        <f t="shared" si="34"/>
        <v>2021</v>
      </c>
      <c r="J206" s="285">
        <f t="shared" si="34"/>
        <v>2022</v>
      </c>
      <c r="K206" s="285">
        <f t="shared" si="34"/>
        <v>2023</v>
      </c>
      <c r="M206" s="379"/>
      <c r="T206" s="99"/>
      <c r="U206" s="62"/>
    </row>
    <row r="207" spans="3:21">
      <c r="C207" s="269" t="str">
        <f t="shared" ref="C207:K207" si="35">C16</f>
        <v>Fiscal year end date</v>
      </c>
      <c r="D207" s="32">
        <f t="shared" si="35"/>
        <v>42643</v>
      </c>
      <c r="E207" s="32">
        <f t="shared" si="35"/>
        <v>43008</v>
      </c>
      <c r="F207" s="32">
        <f t="shared" si="35"/>
        <v>43372</v>
      </c>
      <c r="G207" s="32">
        <f t="shared" si="35"/>
        <v>43738</v>
      </c>
      <c r="H207" s="32">
        <f t="shared" si="35"/>
        <v>44104</v>
      </c>
      <c r="I207" s="32">
        <f t="shared" si="35"/>
        <v>44469</v>
      </c>
      <c r="J207" s="32">
        <f t="shared" si="35"/>
        <v>44834</v>
      </c>
      <c r="K207" s="32">
        <f t="shared" si="35"/>
        <v>45199</v>
      </c>
      <c r="M207" s="380"/>
      <c r="T207" s="99"/>
    </row>
    <row r="208" spans="3:21">
      <c r="C208" s="278"/>
      <c r="D208" s="153"/>
      <c r="E208" s="153"/>
      <c r="F208" s="153"/>
      <c r="G208" s="301"/>
      <c r="H208" s="301"/>
      <c r="I208" s="301"/>
      <c r="J208" s="301"/>
      <c r="K208" s="301"/>
      <c r="M208" s="356"/>
      <c r="T208" s="99"/>
    </row>
    <row r="209" spans="3:20">
      <c r="C209" s="279" t="s">
        <v>120</v>
      </c>
      <c r="D209" s="153">
        <f>-(D25)</f>
        <v>1456</v>
      </c>
      <c r="E209" s="153">
        <f>-(E25)</f>
        <v>2323</v>
      </c>
      <c r="F209" s="153">
        <f>-(F25)</f>
        <v>3240</v>
      </c>
      <c r="G209" s="153">
        <f>G214+G219</f>
        <v>3222.7544651501776</v>
      </c>
      <c r="H209" s="153">
        <f ca="1">H214+H219</f>
        <v>3223.5392651501775</v>
      </c>
      <c r="I209" s="153">
        <f ca="1">I214+I219</f>
        <v>3223.5392651501775</v>
      </c>
      <c r="J209" s="153">
        <f ca="1">J214+J219</f>
        <v>3223.5392651501775</v>
      </c>
      <c r="K209" s="153">
        <f ca="1">K214+K219</f>
        <v>3223.5392651501775</v>
      </c>
      <c r="M209" s="193"/>
      <c r="O209" t="s">
        <v>178</v>
      </c>
      <c r="T209" s="62"/>
    </row>
    <row r="210" spans="3:20">
      <c r="C210" s="302"/>
      <c r="T210" s="62"/>
    </row>
    <row r="211" spans="3:20">
      <c r="C211" s="303" t="s">
        <v>68</v>
      </c>
      <c r="T211" s="62"/>
    </row>
    <row r="212" spans="3:20">
      <c r="C212" s="278" t="s">
        <v>111</v>
      </c>
      <c r="E212" s="56">
        <v>1.2E-2</v>
      </c>
      <c r="F212" s="56">
        <v>2.18E-2</v>
      </c>
      <c r="G212" s="304">
        <f>F212</f>
        <v>2.18E-2</v>
      </c>
      <c r="H212" s="304">
        <f>G212</f>
        <v>2.18E-2</v>
      </c>
      <c r="I212" s="304">
        <f>H212</f>
        <v>2.18E-2</v>
      </c>
      <c r="J212" s="304">
        <f>I212</f>
        <v>2.18E-2</v>
      </c>
      <c r="K212" s="304">
        <f>J212</f>
        <v>2.18E-2</v>
      </c>
      <c r="M212" s="389"/>
      <c r="O212" t="s">
        <v>132</v>
      </c>
    </row>
    <row r="213" spans="3:20">
      <c r="C213" s="278" t="s">
        <v>112</v>
      </c>
      <c r="D213" s="289"/>
      <c r="E213" s="289">
        <f t="shared" ref="E213:K213" si="36">E58</f>
        <v>11977</v>
      </c>
      <c r="F213" s="289">
        <f t="shared" si="36"/>
        <v>11964</v>
      </c>
      <c r="G213" s="153">
        <f t="shared" ca="1" si="36"/>
        <v>12000</v>
      </c>
      <c r="H213" s="153">
        <f t="shared" ca="1" si="36"/>
        <v>12000</v>
      </c>
      <c r="I213" s="153">
        <f t="shared" ca="1" si="36"/>
        <v>12000</v>
      </c>
      <c r="J213" s="153">
        <f t="shared" ca="1" si="36"/>
        <v>12000</v>
      </c>
      <c r="K213" s="153">
        <f t="shared" ca="1" si="36"/>
        <v>12000</v>
      </c>
      <c r="M213" s="193"/>
      <c r="O213" t="s">
        <v>181</v>
      </c>
    </row>
    <row r="214" spans="3:20">
      <c r="C214" s="305" t="s">
        <v>41</v>
      </c>
      <c r="D214" s="153"/>
      <c r="E214" s="52">
        <f>AVERAGE(D213:E213)*E212</f>
        <v>143.72399999999999</v>
      </c>
      <c r="F214" s="52">
        <f>AVERAGE(E213:F213)*F212</f>
        <v>260.95690000000002</v>
      </c>
      <c r="G214" s="306">
        <f>F213*G212</f>
        <v>260.8152</v>
      </c>
      <c r="H214" s="306">
        <f ca="1">G213*H212</f>
        <v>261.60000000000002</v>
      </c>
      <c r="I214" s="306">
        <f ca="1">H213*I212</f>
        <v>261.60000000000002</v>
      </c>
      <c r="J214" s="306">
        <f ca="1">I213*J212</f>
        <v>261.60000000000002</v>
      </c>
      <c r="K214" s="306">
        <f ca="1">J213*K212</f>
        <v>261.60000000000002</v>
      </c>
      <c r="M214" s="20"/>
      <c r="O214" t="s">
        <v>180</v>
      </c>
    </row>
    <row r="215" spans="3:20">
      <c r="C215" s="307"/>
      <c r="D215" s="153"/>
      <c r="E215" s="153"/>
      <c r="F215" s="153"/>
    </row>
    <row r="216" spans="3:20">
      <c r="C216" s="303" t="s">
        <v>67</v>
      </c>
      <c r="D216" s="153"/>
      <c r="E216" s="153"/>
      <c r="F216" s="153"/>
    </row>
    <row r="217" spans="3:20">
      <c r="C217" s="278" t="s">
        <v>112</v>
      </c>
      <c r="D217" s="153"/>
      <c r="E217" s="153">
        <f t="shared" ref="E217:K217" si="37">E59</f>
        <v>103703</v>
      </c>
      <c r="F217" s="153">
        <f t="shared" si="37"/>
        <v>102519</v>
      </c>
      <c r="G217" s="153">
        <f t="shared" si="37"/>
        <v>102519</v>
      </c>
      <c r="H217" s="153">
        <f t="shared" si="37"/>
        <v>102519</v>
      </c>
      <c r="I217" s="153">
        <f t="shared" si="37"/>
        <v>102519</v>
      </c>
      <c r="J217" s="153">
        <f t="shared" si="37"/>
        <v>102519</v>
      </c>
      <c r="K217" s="153">
        <f t="shared" si="37"/>
        <v>102519</v>
      </c>
      <c r="M217" s="193"/>
      <c r="O217" t="s">
        <v>183</v>
      </c>
    </row>
    <row r="218" spans="3:20">
      <c r="C218" s="278" t="s">
        <v>111</v>
      </c>
      <c r="E218" s="93">
        <f t="shared" ref="E218" si="38">E219/AVERAGE(D217:E217)</f>
        <v>2.101458974185896E-2</v>
      </c>
      <c r="F218" s="100">
        <f>F219/AVERAGE(E217:F217)</f>
        <v>2.8891612921996681E-2</v>
      </c>
      <c r="G218" s="304">
        <f>F218</f>
        <v>2.8891612921996681E-2</v>
      </c>
      <c r="H218" s="304">
        <f>G218</f>
        <v>2.8891612921996681E-2</v>
      </c>
      <c r="I218" s="304">
        <f>H218</f>
        <v>2.8891612921996681E-2</v>
      </c>
      <c r="J218" s="304">
        <f>I218</f>
        <v>2.8891612921996681E-2</v>
      </c>
      <c r="K218" s="304">
        <f>J218</f>
        <v>2.8891612921996681E-2</v>
      </c>
      <c r="M218" s="389"/>
      <c r="O218" t="s">
        <v>132</v>
      </c>
      <c r="T218" s="99"/>
    </row>
    <row r="219" spans="3:20">
      <c r="C219" s="232" t="s">
        <v>186</v>
      </c>
      <c r="D219" s="52"/>
      <c r="E219" s="52">
        <f>E209-E214</f>
        <v>2179.2759999999998</v>
      </c>
      <c r="F219" s="52">
        <f>F209-F214</f>
        <v>2979.0430999999999</v>
      </c>
      <c r="G219" s="69">
        <f>G218*AVERAGE(F217:G217)</f>
        <v>2961.9392651501776</v>
      </c>
      <c r="H219" s="69">
        <f>H218*AVERAGE(G217:H217)</f>
        <v>2961.9392651501776</v>
      </c>
      <c r="I219" s="69">
        <f>I218*AVERAGE(H217:I217)</f>
        <v>2961.9392651501776</v>
      </c>
      <c r="J219" s="69">
        <f>J218*AVERAGE(I217:J217)</f>
        <v>2961.9392651501776</v>
      </c>
      <c r="K219" s="69">
        <f>K218*AVERAGE(J217:K217)</f>
        <v>2961.9392651501776</v>
      </c>
      <c r="M219" s="186"/>
      <c r="O219" t="s">
        <v>114</v>
      </c>
    </row>
    <row r="220" spans="3:20">
      <c r="E220" s="153"/>
    </row>
    <row r="221" spans="3:20">
      <c r="C221" s="302" t="s">
        <v>42</v>
      </c>
      <c r="E221" s="153"/>
      <c r="F221" s="153"/>
    </row>
    <row r="222" spans="3:20" ht="15" customHeight="1">
      <c r="C222" s="278" t="s">
        <v>115</v>
      </c>
      <c r="D222" s="55">
        <v>1.7299999999999999E-2</v>
      </c>
      <c r="E222" s="56">
        <v>1.9900000000000001E-2</v>
      </c>
      <c r="F222" s="56">
        <v>2.1600000000000001E-2</v>
      </c>
      <c r="G222" s="308">
        <f>F222</f>
        <v>2.1600000000000001E-2</v>
      </c>
      <c r="H222" s="308">
        <f>G222</f>
        <v>2.1600000000000001E-2</v>
      </c>
      <c r="I222" s="308">
        <f>H222</f>
        <v>2.1600000000000001E-2</v>
      </c>
      <c r="J222" s="308">
        <f>I222</f>
        <v>2.1600000000000001E-2</v>
      </c>
      <c r="K222" s="308">
        <f>J222</f>
        <v>2.1600000000000001E-2</v>
      </c>
      <c r="M222" s="390"/>
      <c r="O222" t="s">
        <v>132</v>
      </c>
    </row>
    <row r="223" spans="3:20" ht="15" customHeight="1">
      <c r="C223" s="278" t="s">
        <v>4</v>
      </c>
      <c r="D223" s="153">
        <f>D24</f>
        <v>3999</v>
      </c>
      <c r="E223" s="153">
        <f>E24</f>
        <v>5201</v>
      </c>
      <c r="F223" s="153">
        <f>F24</f>
        <v>5686</v>
      </c>
      <c r="G223" s="33">
        <f>G222*F46</f>
        <v>5121.3600000000006</v>
      </c>
      <c r="H223" s="33">
        <f ca="1">H222*G46</f>
        <v>4350.9680067630825</v>
      </c>
      <c r="I223" s="33">
        <f ca="1">I222*H46</f>
        <v>3737.6397640746773</v>
      </c>
      <c r="J223" s="33">
        <f ca="1">J222*I46</f>
        <v>3229.0833655320835</v>
      </c>
      <c r="K223" s="33">
        <f ca="1">K222*J46</f>
        <v>2742.7960462028482</v>
      </c>
      <c r="M223" s="384"/>
      <c r="O223" t="s">
        <v>184</v>
      </c>
    </row>
    <row r="224" spans="3:20">
      <c r="C224" s="309"/>
      <c r="D224" s="224"/>
      <c r="E224" s="224"/>
      <c r="F224" s="224"/>
      <c r="G224" s="224"/>
      <c r="H224" s="224"/>
    </row>
    <row r="225" spans="3:13">
      <c r="C225" s="7" t="s">
        <v>76</v>
      </c>
      <c r="D225" s="7"/>
      <c r="E225" s="7"/>
      <c r="F225" s="7"/>
      <c r="G225" s="7"/>
      <c r="H225" s="7"/>
      <c r="I225" s="7"/>
      <c r="J225" s="7"/>
      <c r="K225" s="7"/>
      <c r="M225" s="176"/>
    </row>
    <row r="226" spans="3:13">
      <c r="C226" s="24"/>
    </row>
    <row r="227" spans="3:13" ht="15.75" thickBot="1">
      <c r="C227" s="75" t="s">
        <v>188</v>
      </c>
      <c r="D227" s="310"/>
      <c r="E227" s="310"/>
      <c r="F227" s="310"/>
      <c r="G227" s="310"/>
      <c r="H227" s="310"/>
      <c r="I227" s="310"/>
    </row>
    <row r="228" spans="3:13">
      <c r="D228" s="24"/>
      <c r="E228" s="311" t="s">
        <v>77</v>
      </c>
      <c r="F228" s="312"/>
      <c r="G228" s="312"/>
      <c r="H228" s="312"/>
      <c r="I228" s="312"/>
    </row>
    <row r="229" spans="3:13" ht="15.75" customHeight="1" thickBot="1">
      <c r="D229" s="313">
        <f ca="1">G29</f>
        <v>52213.524654506109</v>
      </c>
      <c r="E229" s="314">
        <v>-0.05</v>
      </c>
      <c r="F229" s="314">
        <v>-2.5000000000000001E-2</v>
      </c>
      <c r="G229" s="314">
        <v>0</v>
      </c>
      <c r="H229" s="314">
        <v>2.5000000000000001E-2</v>
      </c>
      <c r="I229" s="314">
        <v>0.05</v>
      </c>
    </row>
    <row r="230" spans="3:13">
      <c r="C230" s="315"/>
      <c r="D230" s="316">
        <v>0.39</v>
      </c>
      <c r="E230" s="317">
        <f t="dataTable" ref="E230:I235" dt2D="1" dtr="1" r1="G37" r2="G38" ca="1"/>
        <v>54599.550636029897</v>
      </c>
      <c r="F230" s="317">
        <v>56004.428668279899</v>
      </c>
      <c r="G230" s="317">
        <v>57409.306700529902</v>
      </c>
      <c r="H230" s="317">
        <v>58814.184732779904</v>
      </c>
      <c r="I230" s="317">
        <v>60219.062765029907</v>
      </c>
    </row>
    <row r="231" spans="3:13">
      <c r="C231" s="259" t="s">
        <v>78</v>
      </c>
      <c r="D231" s="316">
        <v>0.38500000000000001</v>
      </c>
      <c r="E231" s="317">
        <v>53548.657619779886</v>
      </c>
      <c r="F231" s="317">
        <v>54925.880572654904</v>
      </c>
      <c r="G231" s="317">
        <v>56303.103525529899</v>
      </c>
      <c r="H231" s="317">
        <v>57680.326478404902</v>
      </c>
      <c r="I231" s="317">
        <v>59057.549431279913</v>
      </c>
    </row>
    <row r="232" spans="3:13">
      <c r="C232" s="259" t="s">
        <v>79</v>
      </c>
      <c r="D232" s="316">
        <v>0.38</v>
      </c>
      <c r="E232" s="317">
        <v>52497.764603529897</v>
      </c>
      <c r="F232" s="317">
        <v>53847.332477029893</v>
      </c>
      <c r="G232" s="317">
        <v>55196.900350529904</v>
      </c>
      <c r="H232" s="317">
        <v>56546.468224029901</v>
      </c>
      <c r="I232" s="317">
        <v>57896.036097529912</v>
      </c>
    </row>
    <row r="233" spans="3:13">
      <c r="C233" s="259" t="s">
        <v>80</v>
      </c>
      <c r="D233" s="316">
        <v>0.375</v>
      </c>
      <c r="E233" s="317">
        <v>51446.871587279893</v>
      </c>
      <c r="F233" s="317">
        <v>52768.784381404897</v>
      </c>
      <c r="G233" s="317">
        <v>54090.697175529902</v>
      </c>
      <c r="H233" s="317">
        <v>55412.609969654899</v>
      </c>
      <c r="I233" s="317">
        <v>56734.522763779911</v>
      </c>
    </row>
    <row r="234" spans="3:13">
      <c r="D234" s="316">
        <v>0.37</v>
      </c>
      <c r="E234" s="317">
        <v>50395.978571029904</v>
      </c>
      <c r="F234" s="317">
        <v>51690.236285779902</v>
      </c>
      <c r="G234" s="317">
        <v>52984.494000529899</v>
      </c>
      <c r="H234" s="317">
        <v>54278.751715279897</v>
      </c>
      <c r="I234" s="317">
        <v>55573.00943002991</v>
      </c>
    </row>
    <row r="235" spans="3:13">
      <c r="D235" s="316">
        <v>0.36499999999999999</v>
      </c>
      <c r="E235" s="317">
        <v>49345.085554779893</v>
      </c>
      <c r="F235" s="317">
        <v>50611.688190154899</v>
      </c>
      <c r="G235" s="317">
        <v>51878.290825529904</v>
      </c>
      <c r="H235" s="317">
        <v>53144.893460904896</v>
      </c>
      <c r="I235" s="317">
        <v>54411.496096279909</v>
      </c>
    </row>
    <row r="237" spans="3:13">
      <c r="C237" s="7" t="s">
        <v>81</v>
      </c>
      <c r="D237" s="7"/>
      <c r="E237" s="7"/>
      <c r="F237" s="7"/>
      <c r="G237" s="7"/>
      <c r="H237" s="7"/>
      <c r="I237" s="7"/>
      <c r="J237" s="7"/>
      <c r="K237" s="7"/>
      <c r="M237" s="176"/>
    </row>
    <row r="238" spans="3:13" ht="15.75" thickBot="1"/>
    <row r="239" spans="3:13" ht="15.75" thickBot="1">
      <c r="C239" t="s">
        <v>193</v>
      </c>
      <c r="D239" s="185" t="str">
        <f>D12</f>
        <v>Base case</v>
      </c>
      <c r="F239" s="183" t="s">
        <v>191</v>
      </c>
      <c r="G239" s="285">
        <f t="shared" ref="G239:K240" si="39">G15</f>
        <v>2019</v>
      </c>
      <c r="H239" s="285">
        <f t="shared" si="39"/>
        <v>2020</v>
      </c>
      <c r="I239" s="285">
        <f t="shared" si="39"/>
        <v>2021</v>
      </c>
      <c r="J239" s="285">
        <f t="shared" si="39"/>
        <v>2022</v>
      </c>
      <c r="K239" s="285">
        <f t="shared" si="39"/>
        <v>2023</v>
      </c>
      <c r="M239" s="379"/>
    </row>
    <row r="240" spans="3:13">
      <c r="E240" s="318"/>
      <c r="F240" s="178" t="s">
        <v>190</v>
      </c>
      <c r="G240" s="32">
        <f t="shared" si="39"/>
        <v>43738</v>
      </c>
      <c r="H240" s="32">
        <f t="shared" si="39"/>
        <v>44104</v>
      </c>
      <c r="I240" s="32">
        <f t="shared" si="39"/>
        <v>44469</v>
      </c>
      <c r="J240" s="32">
        <f t="shared" si="39"/>
        <v>44834</v>
      </c>
      <c r="K240" s="32">
        <f t="shared" si="39"/>
        <v>45199</v>
      </c>
      <c r="M240" s="380"/>
    </row>
    <row r="241" spans="3:21">
      <c r="C241" s="278" t="s">
        <v>239</v>
      </c>
      <c r="F241" s="319" t="str">
        <f>CHOOSE(MATCH($D$12,$C$248:$C$250,0),F248,F249,F250)</f>
        <v>NM</v>
      </c>
      <c r="G241" s="320">
        <f ca="1">OFFSET(G$247,MATCH($C241,$C$247:$C$266,0)+MATCH($D$239,$C$248:$C$250,0)-1,0)</f>
        <v>792</v>
      </c>
      <c r="H241" s="320">
        <f ca="1">OFFSET(H$247,MATCH($C241,$C$247:$C$266,0)+MATCH($D$239,$C$248:$C$250,0)-1,0)</f>
        <v>725</v>
      </c>
      <c r="I241" s="320">
        <f ca="1">OFFSET(I$247,MATCH($C241,$C$247:$C$266,0)+MATCH($D$239,$C$248:$C$250,0)-1,0)</f>
        <v>725</v>
      </c>
      <c r="J241" s="320">
        <f ca="1">OFFSET(J$247,MATCH($C241,$C$247:$C$266,0)+MATCH($D$239,$C$248:$C$250,0)-1,0)</f>
        <v>725</v>
      </c>
      <c r="K241" s="320">
        <f ca="1">OFFSET(K$247,MATCH($C241,$C$247:$C$266,0)+MATCH($D$239,$C$248:$C$250,0)-1,0)</f>
        <v>725</v>
      </c>
      <c r="M241" s="391"/>
      <c r="O241" s="321"/>
      <c r="P241" s="321"/>
      <c r="Q241" s="321"/>
      <c r="R241" s="321"/>
    </row>
    <row r="242" spans="3:21">
      <c r="C242" s="278" t="s">
        <v>240</v>
      </c>
      <c r="F242" s="319" t="str">
        <f>CHOOSE(MATCH($D$12,$C$248:$C$250,0),F252,F253,F254)</f>
        <v>NM</v>
      </c>
      <c r="G242" s="320">
        <f t="shared" ref="G242:K245" ca="1" si="40">OFFSET(G$247,MATCH($C242,$C$247:$C$266,0)+MATCH($D$239,$C$248:$C$250,0)-1,0)</f>
        <v>45603</v>
      </c>
      <c r="H242" s="320">
        <f t="shared" ca="1" si="40"/>
        <v>53592</v>
      </c>
      <c r="I242" s="320">
        <f t="shared" ca="1" si="40"/>
        <v>63000</v>
      </c>
      <c r="J242" s="320">
        <f t="shared" ca="1" si="40"/>
        <v>74000</v>
      </c>
      <c r="K242" s="320">
        <f t="shared" ca="1" si="40"/>
        <v>87000</v>
      </c>
      <c r="M242" s="391"/>
      <c r="O242" s="321"/>
      <c r="P242" s="321"/>
      <c r="Q242" s="321"/>
      <c r="R242" s="321"/>
    </row>
    <row r="243" spans="3:21">
      <c r="C243" s="278" t="s">
        <v>231</v>
      </c>
      <c r="F243" s="322" t="str">
        <f>CHOOSE(MATCH($D$12,$C$248:$C$250,0),F256,F257,F258)</f>
        <v>NM</v>
      </c>
      <c r="G243" s="290">
        <f t="shared" ca="1" si="40"/>
        <v>0.378</v>
      </c>
      <c r="H243" s="290">
        <f t="shared" ca="1" si="40"/>
        <v>0.38100000000000001</v>
      </c>
      <c r="I243" s="290">
        <f t="shared" ca="1" si="40"/>
        <v>0.38200000000000001</v>
      </c>
      <c r="J243" s="290">
        <f t="shared" ca="1" si="40"/>
        <v>0.38200000000000001</v>
      </c>
      <c r="K243" s="290">
        <f t="shared" ca="1" si="40"/>
        <v>0.38200000000000001</v>
      </c>
      <c r="M243" s="392"/>
      <c r="O243" s="321"/>
      <c r="P243" s="321"/>
      <c r="Q243" s="321"/>
      <c r="R243" s="321"/>
    </row>
    <row r="244" spans="3:21">
      <c r="C244" s="278" t="s">
        <v>232</v>
      </c>
      <c r="F244" s="322" t="str">
        <f>CHOOSE(MATCH($D$12,$C$248:$C$250,0),F260,F261,F262)</f>
        <v>NM</v>
      </c>
      <c r="G244" s="290">
        <f t="shared" ca="1" si="40"/>
        <v>6.2E-2</v>
      </c>
      <c r="H244" s="290">
        <f t="shared" ca="1" si="40"/>
        <v>6.3E-2</v>
      </c>
      <c r="I244" s="290">
        <f t="shared" ca="1" si="40"/>
        <v>6.3E-2</v>
      </c>
      <c r="J244" s="290">
        <f t="shared" ca="1" si="40"/>
        <v>6.3E-2</v>
      </c>
      <c r="K244" s="290">
        <f t="shared" ca="1" si="40"/>
        <v>6.3E-2</v>
      </c>
      <c r="M244" s="392"/>
      <c r="O244" s="321"/>
      <c r="P244" s="321"/>
      <c r="Q244" s="321"/>
      <c r="R244" s="321"/>
    </row>
    <row r="245" spans="3:21">
      <c r="C245" s="278" t="s">
        <v>234</v>
      </c>
      <c r="F245" s="322" t="str">
        <f>CHOOSE(MATCH($D$12,$C$248:$C$250,0),F264,F265,F266)</f>
        <v>NM</v>
      </c>
      <c r="G245" s="290">
        <f t="shared" ca="1" si="40"/>
        <v>7.3999999999999996E-2</v>
      </c>
      <c r="H245" s="290">
        <f t="shared" ca="1" si="40"/>
        <v>6.9000000000000006E-2</v>
      </c>
      <c r="I245" s="290">
        <f t="shared" ca="1" si="40"/>
        <v>6.9000000000000006E-2</v>
      </c>
      <c r="J245" s="290">
        <f t="shared" ca="1" si="40"/>
        <v>6.9000000000000006E-2</v>
      </c>
      <c r="K245" s="290">
        <f t="shared" ca="1" si="40"/>
        <v>6.9000000000000006E-2</v>
      </c>
      <c r="M245" s="392"/>
      <c r="O245" s="321"/>
      <c r="P245" s="321"/>
      <c r="Q245" s="321"/>
      <c r="R245" s="321"/>
    </row>
    <row r="246" spans="3:21">
      <c r="F246" s="323"/>
    </row>
    <row r="247" spans="3:21">
      <c r="C247" s="232" t="s">
        <v>239</v>
      </c>
      <c r="F247" s="323"/>
    </row>
    <row r="248" spans="3:21">
      <c r="C248" s="307" t="s">
        <v>84</v>
      </c>
      <c r="F248" s="324">
        <v>100</v>
      </c>
      <c r="G248" s="325">
        <f>G249+$F$248</f>
        <v>892</v>
      </c>
      <c r="H248" s="325">
        <f>H249+$F$248</f>
        <v>825</v>
      </c>
      <c r="I248" s="325">
        <f>I249+$F$248</f>
        <v>825</v>
      </c>
      <c r="J248" s="325">
        <f>J249+$F$248</f>
        <v>825</v>
      </c>
      <c r="K248" s="325">
        <f>K249+$F$248</f>
        <v>825</v>
      </c>
      <c r="M248" s="393"/>
    </row>
    <row r="249" spans="3:21">
      <c r="C249" s="307" t="s">
        <v>83</v>
      </c>
      <c r="F249" s="326" t="s">
        <v>189</v>
      </c>
      <c r="G249" s="221">
        <v>792</v>
      </c>
      <c r="H249" s="221">
        <v>725</v>
      </c>
      <c r="I249" s="221">
        <v>725</v>
      </c>
      <c r="J249" s="221">
        <v>725</v>
      </c>
      <c r="K249" s="221">
        <v>725</v>
      </c>
      <c r="M249" s="394"/>
      <c r="O249" t="s">
        <v>151</v>
      </c>
      <c r="Q249" s="283"/>
      <c r="R249" s="283"/>
      <c r="S249" s="283"/>
      <c r="T249" s="283"/>
      <c r="U249" s="283"/>
    </row>
    <row r="250" spans="3:21">
      <c r="C250" s="307" t="s">
        <v>85</v>
      </c>
      <c r="F250" s="324">
        <v>-100</v>
      </c>
      <c r="G250" s="325">
        <f>G249+$F$250</f>
        <v>692</v>
      </c>
      <c r="H250" s="325">
        <f>H249+$F$250</f>
        <v>625</v>
      </c>
      <c r="I250" s="325">
        <f>I249+$F$250</f>
        <v>625</v>
      </c>
      <c r="J250" s="325">
        <f>J249+$F$250</f>
        <v>625</v>
      </c>
      <c r="K250" s="325">
        <f>K249+$F$250</f>
        <v>625</v>
      </c>
      <c r="M250" s="393"/>
      <c r="Q250" s="283"/>
      <c r="R250" s="283"/>
      <c r="S250" s="283"/>
      <c r="T250" s="283"/>
      <c r="U250" s="283"/>
    </row>
    <row r="251" spans="3:21">
      <c r="C251" s="280" t="s">
        <v>240</v>
      </c>
      <c r="F251" s="180"/>
      <c r="G251" s="67"/>
      <c r="H251" s="67"/>
      <c r="I251" s="67"/>
      <c r="J251" s="67"/>
      <c r="K251" s="67"/>
      <c r="M251" s="383"/>
      <c r="Q251" s="283"/>
      <c r="R251" s="283"/>
      <c r="S251" s="283"/>
      <c r="T251" s="283"/>
      <c r="U251" s="283"/>
    </row>
    <row r="252" spans="3:21">
      <c r="C252" s="307" t="s">
        <v>84</v>
      </c>
      <c r="F252" s="324">
        <v>10000</v>
      </c>
      <c r="G252" s="325">
        <f>G253+$F$252</f>
        <v>55603</v>
      </c>
      <c r="H252" s="325">
        <f>H253+$F$252</f>
        <v>63592</v>
      </c>
      <c r="I252" s="325">
        <f>I253+$F$252</f>
        <v>73000</v>
      </c>
      <c r="J252" s="325">
        <f>J253+$F$252</f>
        <v>84000</v>
      </c>
      <c r="K252" s="325">
        <f>K253+$F$252</f>
        <v>97000</v>
      </c>
      <c r="M252" s="393"/>
      <c r="Q252" s="283"/>
      <c r="R252" s="283"/>
      <c r="S252" s="283"/>
      <c r="T252" s="283"/>
      <c r="U252" s="283"/>
    </row>
    <row r="253" spans="3:21">
      <c r="C253" s="307" t="s">
        <v>83</v>
      </c>
      <c r="F253" s="326" t="s">
        <v>189</v>
      </c>
      <c r="G253" s="3">
        <v>45603</v>
      </c>
      <c r="H253" s="3">
        <v>53592</v>
      </c>
      <c r="I253" s="3">
        <v>63000</v>
      </c>
      <c r="J253" s="3">
        <v>74000</v>
      </c>
      <c r="K253" s="3">
        <v>87000</v>
      </c>
      <c r="M253" s="200"/>
      <c r="Q253" s="283"/>
      <c r="R253" s="283"/>
      <c r="S253" s="283"/>
      <c r="T253" s="283"/>
      <c r="U253" s="283"/>
    </row>
    <row r="254" spans="3:21">
      <c r="C254" s="307" t="s">
        <v>85</v>
      </c>
      <c r="F254" s="324">
        <v>-10000</v>
      </c>
      <c r="G254" s="325">
        <f>G253+$F$254</f>
        <v>35603</v>
      </c>
      <c r="H254" s="325">
        <f>H253+$F$254</f>
        <v>43592</v>
      </c>
      <c r="I254" s="325">
        <f>I253+$F$254</f>
        <v>53000</v>
      </c>
      <c r="J254" s="325">
        <f>J253+$F$254</f>
        <v>64000</v>
      </c>
      <c r="K254" s="325">
        <f>K253+$F$254</f>
        <v>77000</v>
      </c>
      <c r="M254" s="393"/>
      <c r="Q254" s="283"/>
      <c r="R254" s="283"/>
      <c r="S254" s="283"/>
      <c r="T254" s="283"/>
      <c r="U254" s="283"/>
    </row>
    <row r="255" spans="3:21">
      <c r="C255" s="232" t="s">
        <v>231</v>
      </c>
      <c r="F255" s="326"/>
      <c r="G255" s="283"/>
      <c r="H255" s="283"/>
      <c r="I255" s="283"/>
      <c r="J255" s="283"/>
      <c r="K255" s="283"/>
      <c r="M255" s="395"/>
      <c r="Q255" s="283"/>
      <c r="R255" s="283"/>
      <c r="S255" s="283"/>
      <c r="T255" s="283"/>
      <c r="U255" s="283"/>
    </row>
    <row r="256" spans="3:21">
      <c r="C256" s="307" t="s">
        <v>84</v>
      </c>
      <c r="F256" s="180">
        <v>0.01</v>
      </c>
      <c r="G256" s="67">
        <f>G257+$F$256</f>
        <v>0.38800000000000001</v>
      </c>
      <c r="H256" s="67">
        <f>H257+$F$256</f>
        <v>0.39100000000000001</v>
      </c>
      <c r="I256" s="67">
        <f>I257+$F$256</f>
        <v>0.39200000000000002</v>
      </c>
      <c r="J256" s="67">
        <f>J257+$F$256</f>
        <v>0.39200000000000002</v>
      </c>
      <c r="K256" s="67">
        <f>K257+$F$256</f>
        <v>0.39200000000000002</v>
      </c>
      <c r="M256" s="383"/>
    </row>
    <row r="257" spans="3:15">
      <c r="C257" s="307" t="s">
        <v>83</v>
      </c>
      <c r="F257" s="326" t="s">
        <v>189</v>
      </c>
      <c r="G257" s="283">
        <v>0.378</v>
      </c>
      <c r="H257" s="283">
        <v>0.38100000000000001</v>
      </c>
      <c r="I257" s="283">
        <v>0.38200000000000001</v>
      </c>
      <c r="J257" s="67">
        <f>I257</f>
        <v>0.38200000000000001</v>
      </c>
      <c r="K257" s="67">
        <f>J257</f>
        <v>0.38200000000000001</v>
      </c>
      <c r="M257" s="383"/>
      <c r="O257" t="s">
        <v>152</v>
      </c>
    </row>
    <row r="258" spans="3:15">
      <c r="C258" s="307" t="s">
        <v>85</v>
      </c>
      <c r="F258" s="180">
        <v>-0.01</v>
      </c>
      <c r="G258" s="67">
        <f>G257+$F$258</f>
        <v>0.36799999999999999</v>
      </c>
      <c r="H258" s="67">
        <f>H257+$F$258</f>
        <v>0.371</v>
      </c>
      <c r="I258" s="67">
        <f>I257+$F$258</f>
        <v>0.372</v>
      </c>
      <c r="J258" s="67">
        <f>J257+$F$258</f>
        <v>0.372</v>
      </c>
      <c r="K258" s="67">
        <f>K257+$F$258</f>
        <v>0.372</v>
      </c>
      <c r="M258" s="383"/>
    </row>
    <row r="259" spans="3:15">
      <c r="C259" s="232" t="s">
        <v>232</v>
      </c>
      <c r="F259" s="326"/>
      <c r="G259" s="327"/>
      <c r="H259" s="327"/>
      <c r="I259" s="327"/>
      <c r="J259" s="327"/>
      <c r="K259" s="327"/>
      <c r="M259" s="396"/>
    </row>
    <row r="260" spans="3:15">
      <c r="C260" s="307" t="s">
        <v>84</v>
      </c>
      <c r="F260" s="180">
        <v>-0.01</v>
      </c>
      <c r="G260" s="67">
        <f>G261+$F$260</f>
        <v>5.1999999999999998E-2</v>
      </c>
      <c r="H260" s="67">
        <f>H261+$F$260</f>
        <v>5.2999999999999999E-2</v>
      </c>
      <c r="I260" s="67">
        <f>I261+$F$260</f>
        <v>5.2999999999999999E-2</v>
      </c>
      <c r="J260" s="67">
        <f>J261+$F$260</f>
        <v>5.2999999999999999E-2</v>
      </c>
      <c r="K260" s="67">
        <f>K261+$F$260</f>
        <v>5.2999999999999999E-2</v>
      </c>
      <c r="M260" s="383"/>
    </row>
    <row r="261" spans="3:15">
      <c r="C261" s="307" t="s">
        <v>83</v>
      </c>
      <c r="F261" s="326" t="s">
        <v>189</v>
      </c>
      <c r="G261" s="283">
        <v>6.2E-2</v>
      </c>
      <c r="H261" s="283">
        <v>6.3E-2</v>
      </c>
      <c r="I261" s="283">
        <v>6.3E-2</v>
      </c>
      <c r="J261" s="67">
        <f>I261</f>
        <v>6.3E-2</v>
      </c>
      <c r="K261" s="67">
        <f>J261</f>
        <v>6.3E-2</v>
      </c>
      <c r="M261" s="383"/>
      <c r="O261" t="s">
        <v>153</v>
      </c>
    </row>
    <row r="262" spans="3:15">
      <c r="C262" s="307" t="s">
        <v>85</v>
      </c>
      <c r="F262" s="180">
        <v>0.01</v>
      </c>
      <c r="G262" s="67">
        <f>G261+$F$262</f>
        <v>7.1999999999999995E-2</v>
      </c>
      <c r="H262" s="67">
        <f>H261+$F$262</f>
        <v>7.2999999999999995E-2</v>
      </c>
      <c r="I262" s="67">
        <f>I261+$F$262</f>
        <v>7.2999999999999995E-2</v>
      </c>
      <c r="J262" s="67">
        <f>J261+$F$262</f>
        <v>7.2999999999999995E-2</v>
      </c>
      <c r="K262" s="67">
        <f>K261+$F$262</f>
        <v>7.2999999999999995E-2</v>
      </c>
      <c r="M262" s="383"/>
    </row>
    <row r="263" spans="3:15">
      <c r="C263" s="232" t="s">
        <v>234</v>
      </c>
      <c r="F263" s="326"/>
      <c r="G263" s="327"/>
      <c r="H263" s="327"/>
      <c r="I263" s="327"/>
      <c r="J263" s="327"/>
      <c r="K263" s="327"/>
      <c r="M263" s="396"/>
    </row>
    <row r="264" spans="3:15">
      <c r="C264" s="307" t="s">
        <v>84</v>
      </c>
      <c r="F264" s="180">
        <v>-0.01</v>
      </c>
      <c r="G264" s="67">
        <f>G265+$F$264</f>
        <v>6.4000000000000001E-2</v>
      </c>
      <c r="H264" s="67">
        <f>H265+$F$264</f>
        <v>5.9000000000000004E-2</v>
      </c>
      <c r="I264" s="67">
        <f>I265+$F$264</f>
        <v>5.9000000000000004E-2</v>
      </c>
      <c r="J264" s="67">
        <f>J265+$F$264</f>
        <v>5.9000000000000004E-2</v>
      </c>
      <c r="K264" s="67">
        <f>K265+$F$264</f>
        <v>5.9000000000000004E-2</v>
      </c>
      <c r="M264" s="383"/>
    </row>
    <row r="265" spans="3:15">
      <c r="C265" s="307" t="s">
        <v>83</v>
      </c>
      <c r="F265" s="326" t="s">
        <v>189</v>
      </c>
      <c r="G265" s="283">
        <v>7.3999999999999996E-2</v>
      </c>
      <c r="H265" s="283">
        <v>6.9000000000000006E-2</v>
      </c>
      <c r="I265" s="283">
        <v>6.9000000000000006E-2</v>
      </c>
      <c r="J265" s="67">
        <f>I265</f>
        <v>6.9000000000000006E-2</v>
      </c>
      <c r="K265" s="67">
        <f>J265</f>
        <v>6.9000000000000006E-2</v>
      </c>
      <c r="M265" s="383"/>
      <c r="O265" t="s">
        <v>153</v>
      </c>
    </row>
    <row r="266" spans="3:15" ht="15.75" thickBot="1">
      <c r="C266" s="307" t="s">
        <v>85</v>
      </c>
      <c r="F266" s="182">
        <v>0.01</v>
      </c>
      <c r="G266" s="67">
        <f>G265+$F$266</f>
        <v>8.3999999999999991E-2</v>
      </c>
      <c r="H266" s="67">
        <f>H265+$F$266</f>
        <v>7.9000000000000001E-2</v>
      </c>
      <c r="I266" s="67">
        <f>I265+$F$266</f>
        <v>7.9000000000000001E-2</v>
      </c>
      <c r="J266" s="67">
        <f>J265+$F$266</f>
        <v>7.9000000000000001E-2</v>
      </c>
      <c r="K266" s="67">
        <f>K265+$F$266</f>
        <v>7.9000000000000001E-2</v>
      </c>
      <c r="M266" s="383"/>
    </row>
    <row r="268" spans="3:15">
      <c r="C268" s="7" t="s">
        <v>214</v>
      </c>
      <c r="D268" s="7"/>
      <c r="E268" s="7"/>
      <c r="F268" s="7"/>
      <c r="G268" s="7"/>
      <c r="H268" s="7"/>
      <c r="I268" s="7"/>
      <c r="J268" s="7"/>
      <c r="K268" s="7"/>
      <c r="M268" s="176"/>
    </row>
    <row r="269" spans="3:15">
      <c r="C269" s="35" t="str">
        <f t="shared" ref="C269:K269" si="41">C15</f>
        <v xml:space="preserve">Fiscal year  </v>
      </c>
      <c r="D269" s="284">
        <f t="shared" si="41"/>
        <v>2016</v>
      </c>
      <c r="E269" s="284">
        <f t="shared" si="41"/>
        <v>2017</v>
      </c>
      <c r="F269" s="284">
        <f t="shared" si="41"/>
        <v>2018</v>
      </c>
      <c r="G269" s="285">
        <f t="shared" si="41"/>
        <v>2019</v>
      </c>
      <c r="H269" s="285">
        <f t="shared" si="41"/>
        <v>2020</v>
      </c>
      <c r="I269" s="285">
        <f t="shared" si="41"/>
        <v>2021</v>
      </c>
      <c r="J269" s="285">
        <f t="shared" si="41"/>
        <v>2022</v>
      </c>
      <c r="K269" s="285">
        <f t="shared" si="41"/>
        <v>2023</v>
      </c>
      <c r="M269" s="379"/>
    </row>
    <row r="270" spans="3:15">
      <c r="C270" s="269" t="str">
        <f t="shared" ref="C270:K270" si="42">C16</f>
        <v>Fiscal year end date</v>
      </c>
      <c r="D270" s="32">
        <f t="shared" si="42"/>
        <v>42643</v>
      </c>
      <c r="E270" s="32">
        <f t="shared" si="42"/>
        <v>43008</v>
      </c>
      <c r="F270" s="32">
        <f t="shared" si="42"/>
        <v>43372</v>
      </c>
      <c r="G270" s="32">
        <f t="shared" si="42"/>
        <v>43738</v>
      </c>
      <c r="H270" s="32">
        <f t="shared" si="42"/>
        <v>44104</v>
      </c>
      <c r="I270" s="32">
        <f t="shared" si="42"/>
        <v>44469</v>
      </c>
      <c r="J270" s="32">
        <f t="shared" si="42"/>
        <v>44834</v>
      </c>
      <c r="K270" s="32">
        <f t="shared" si="42"/>
        <v>45199</v>
      </c>
      <c r="M270" s="380"/>
    </row>
    <row r="271" spans="3:15">
      <c r="G271" s="283"/>
      <c r="H271" s="283"/>
      <c r="I271" s="283"/>
      <c r="J271" s="67"/>
      <c r="K271" s="67"/>
      <c r="M271" s="383"/>
    </row>
    <row r="272" spans="3:15">
      <c r="C272" t="s">
        <v>2</v>
      </c>
      <c r="D272" s="151">
        <f t="shared" ref="D272:K272" si="43">D29</f>
        <v>45687</v>
      </c>
      <c r="E272" s="151">
        <f t="shared" si="43"/>
        <v>48351</v>
      </c>
      <c r="F272" s="151">
        <f t="shared" si="43"/>
        <v>59531</v>
      </c>
      <c r="G272" s="151">
        <f t="shared" ca="1" si="43"/>
        <v>52213.524654506109</v>
      </c>
      <c r="H272" s="151">
        <f t="shared" ca="1" si="43"/>
        <v>55415.155846152702</v>
      </c>
      <c r="I272" s="151">
        <f t="shared" ca="1" si="43"/>
        <v>57899.958662064659</v>
      </c>
      <c r="J272" s="151">
        <f t="shared" ca="1" si="43"/>
        <v>60631.117323481623</v>
      </c>
      <c r="K272" s="151">
        <f t="shared" ca="1" si="43"/>
        <v>63901.764252650741</v>
      </c>
      <c r="M272" s="193"/>
      <c r="O272" t="s">
        <v>223</v>
      </c>
    </row>
    <row r="273" spans="3:15">
      <c r="C273" t="s">
        <v>215</v>
      </c>
      <c r="D273" s="91">
        <v>5470.82</v>
      </c>
      <c r="E273" s="91">
        <v>5217.2420000000002</v>
      </c>
      <c r="F273" s="91">
        <v>4955.3770000000004</v>
      </c>
      <c r="G273" s="151">
        <f ca="1">F273-(G279+G280)/G281</f>
        <v>4577.7690892979917</v>
      </c>
      <c r="H273" s="151">
        <f ca="1">G273-(H279+H280)/H281</f>
        <v>4250.617459330495</v>
      </c>
      <c r="I273" s="151">
        <f ca="1">H273-(I279+I280)/I281</f>
        <v>3967.2383826369164</v>
      </c>
      <c r="J273" s="151">
        <f ca="1">I273-(J279+J280)/J281</f>
        <v>3721.9367154432744</v>
      </c>
      <c r="K273" s="151">
        <f ca="1">J273-(K279+K280)/K281</f>
        <v>3509.7605693271717</v>
      </c>
      <c r="M273" s="193"/>
      <c r="O273" t="s">
        <v>230</v>
      </c>
    </row>
    <row r="274" spans="3:15">
      <c r="C274" s="24" t="s">
        <v>216</v>
      </c>
      <c r="D274" s="245">
        <f>D272/D273</f>
        <v>8.3510333003096431</v>
      </c>
      <c r="E274" s="245">
        <f t="shared" ref="E274:K274" si="44">E272/E273</f>
        <v>9.2675402061088974</v>
      </c>
      <c r="F274" s="245">
        <f t="shared" si="44"/>
        <v>12.0134149228202</v>
      </c>
      <c r="G274" s="245">
        <f t="shared" ca="1" si="44"/>
        <v>11.405888684200351</v>
      </c>
      <c r="H274" s="245">
        <f t="shared" ca="1" si="44"/>
        <v>13.036966129358772</v>
      </c>
      <c r="I274" s="245">
        <f t="shared" ca="1" si="44"/>
        <v>14.594524724168483</v>
      </c>
      <c r="J274" s="245">
        <f t="shared" ca="1" si="44"/>
        <v>16.2902064056886</v>
      </c>
      <c r="K274" s="245">
        <f t="shared" ca="1" si="44"/>
        <v>18.206872802409094</v>
      </c>
      <c r="M274" s="397"/>
      <c r="O274" t="s">
        <v>226</v>
      </c>
    </row>
    <row r="275" spans="3:15">
      <c r="D275" s="3"/>
      <c r="E275" s="3"/>
      <c r="F275" s="3"/>
      <c r="G275" s="153"/>
    </row>
    <row r="276" spans="3:15">
      <c r="C276" t="s">
        <v>217</v>
      </c>
      <c r="D276" s="91">
        <v>5500.2809999999999</v>
      </c>
      <c r="E276" s="91">
        <v>5251.692</v>
      </c>
      <c r="F276" s="91">
        <v>5000.1090000000004</v>
      </c>
      <c r="G276" s="151">
        <f ca="1">(F276-F273)+G273</f>
        <v>4622.5010892979917</v>
      </c>
      <c r="H276" s="151">
        <f ca="1">(G276-G273)+H273</f>
        <v>4295.3494593304949</v>
      </c>
      <c r="I276" s="151">
        <f ca="1">(H276-H273)+I273</f>
        <v>4011.9703826369164</v>
      </c>
      <c r="J276" s="151">
        <f ca="1">(I276-I273)+J273</f>
        <v>3766.6687154432743</v>
      </c>
      <c r="K276" s="151">
        <f ca="1">(J276-J273)+K273</f>
        <v>3554.4925693271716</v>
      </c>
      <c r="M276" s="193"/>
      <c r="O276" t="s">
        <v>227</v>
      </c>
    </row>
    <row r="277" spans="3:15">
      <c r="C277" s="24" t="s">
        <v>218</v>
      </c>
      <c r="D277" s="245">
        <f t="shared" ref="D277:K277" si="45">D272/D276</f>
        <v>8.3063028961611227</v>
      </c>
      <c r="E277" s="245">
        <f t="shared" si="45"/>
        <v>9.2067470826545037</v>
      </c>
      <c r="F277" s="245">
        <f t="shared" si="45"/>
        <v>11.905940450498179</v>
      </c>
      <c r="G277" s="245">
        <f t="shared" ca="1" si="45"/>
        <v>11.295513758858984</v>
      </c>
      <c r="H277" s="245">
        <f t="shared" ca="1" si="45"/>
        <v>12.901198463789282</v>
      </c>
      <c r="I277" s="245">
        <f t="shared" ca="1" si="45"/>
        <v>14.431801120129208</v>
      </c>
      <c r="J277" s="245">
        <f t="shared" ca="1" si="45"/>
        <v>16.096748056152411</v>
      </c>
      <c r="K277" s="245">
        <f t="shared" ca="1" si="45"/>
        <v>17.977745910648135</v>
      </c>
      <c r="M277" s="397"/>
      <c r="O277" t="s">
        <v>228</v>
      </c>
    </row>
    <row r="278" spans="3:15">
      <c r="G278" s="328"/>
    </row>
    <row r="279" spans="3:15">
      <c r="C279" t="s">
        <v>224</v>
      </c>
      <c r="G279" s="151">
        <f>-(G183)</f>
        <v>73056</v>
      </c>
      <c r="H279" s="151">
        <f>-(H183)</f>
        <v>73056</v>
      </c>
      <c r="I279" s="151">
        <f>-(I183)</f>
        <v>73056</v>
      </c>
      <c r="J279" s="151">
        <f>-(J183)</f>
        <v>73056</v>
      </c>
      <c r="K279" s="151">
        <f>-(K183)</f>
        <v>73056</v>
      </c>
      <c r="M279" s="193"/>
      <c r="O279" t="s">
        <v>221</v>
      </c>
    </row>
    <row r="280" spans="3:15">
      <c r="C280" t="s">
        <v>225</v>
      </c>
      <c r="G280" s="151">
        <f ca="1">-(G33)</f>
        <v>-5086.5760736384345</v>
      </c>
      <c r="H280" s="151">
        <f ca="1">-(H33)</f>
        <v>-5335.6125967281014</v>
      </c>
      <c r="I280" s="151">
        <f ca="1">-(I33)</f>
        <v>-5597.6107930936605</v>
      </c>
      <c r="J280" s="151">
        <f ca="1">-(J33)</f>
        <v>-5902.8288432365589</v>
      </c>
      <c r="K280" s="151">
        <f ca="1">-(K33)</f>
        <v>-6258.4669815641573</v>
      </c>
      <c r="M280" s="193"/>
      <c r="O280" t="s">
        <v>222</v>
      </c>
    </row>
    <row r="281" spans="3:15">
      <c r="C281" t="s">
        <v>220</v>
      </c>
      <c r="G281" s="246">
        <v>180</v>
      </c>
      <c r="H281" s="329">
        <f>G281*(1+H282)</f>
        <v>206.99999999999997</v>
      </c>
      <c r="I281" s="329">
        <f>H281*(1+I282)</f>
        <v>238.04999999999995</v>
      </c>
      <c r="J281" s="329">
        <f>I281*(1+J282)</f>
        <v>273.75749999999994</v>
      </c>
      <c r="K281" s="329">
        <f>J281*(1+K282)</f>
        <v>314.82112499999988</v>
      </c>
      <c r="M281" s="398"/>
      <c r="O281" t="s">
        <v>229</v>
      </c>
    </row>
    <row r="282" spans="3:15">
      <c r="C282" t="s">
        <v>219</v>
      </c>
      <c r="H282" s="244">
        <v>0.15</v>
      </c>
      <c r="I282" s="244">
        <v>0.15</v>
      </c>
      <c r="J282" s="244">
        <v>0.15</v>
      </c>
      <c r="K282" s="244">
        <v>0.15</v>
      </c>
      <c r="M282" s="399"/>
      <c r="O282" t="s">
        <v>126</v>
      </c>
    </row>
    <row r="286" spans="3:15">
      <c r="D286" s="153"/>
      <c r="E286" s="153"/>
      <c r="F286" s="153"/>
    </row>
    <row r="287" spans="3:15">
      <c r="F287" s="153"/>
    </row>
  </sheetData>
  <conditionalFormatting sqref="C40">
    <cfRule type="expression" dxfId="6" priority="3">
      <formula>#REF!=$C40</formula>
    </cfRule>
  </conditionalFormatting>
  <conditionalFormatting sqref="C263">
    <cfRule type="expression" dxfId="5" priority="2">
      <formula>#REF!=$C263</formula>
    </cfRule>
  </conditionalFormatting>
  <conditionalFormatting sqref="C245">
    <cfRule type="expression" dxfId="4" priority="1">
      <formula>#REF!=$C245</formula>
    </cfRule>
  </conditionalFormatting>
  <dataValidations count="5">
    <dataValidation type="list" allowBlank="1" showInputMessage="1" showErrorMessage="1" sqref="C3" xr:uid="{1496854A-2464-4138-969F-4C29A495B7AC}">
      <formula1>"$ bns except per share, $ mm except per share,$ in thousands except per share"</formula1>
    </dataValidation>
    <dataValidation type="list" allowBlank="1" showInputMessage="1" showErrorMessage="1" sqref="D12" xr:uid="{A2BDE465-824D-46F7-8E05-52A31E5C775C}">
      <formula1>$C$248:$C$250</formula1>
    </dataValidation>
    <dataValidation type="list" allowBlank="1" showInputMessage="1" showErrorMessage="1" sqref="D7" xr:uid="{FB0515E4-FCDA-432A-9936-31C5CB7C7A70}">
      <formula1>"0,1"</formula1>
    </dataValidation>
    <dataValidation type="list" allowBlank="1" showInputMessage="1" showErrorMessage="1" sqref="G105 G115" xr:uid="{6E8304F4-B146-4D45-BA8F-765C14A6DBAC}">
      <formula1>"1,2"</formula1>
    </dataValidation>
    <dataValidation type="list" allowBlank="1" showInputMessage="1" showErrorMessage="1" sqref="E161" xr:uid="{D94738B7-28B1-4585-A793-5AB6716B6AEA}">
      <formula1>"1,.5"</formula1>
    </dataValidation>
  </dataValidations>
  <pageMargins left="0.7" right="0.7" top="0.75" bottom="0.75" header="0.3" footer="0.3"/>
  <pageSetup scale="16"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DBFD2-3615-4AA2-9E75-998F14C7926E}">
  <sheetPr>
    <pageSetUpPr fitToPage="1"/>
  </sheetPr>
  <dimension ref="C1:U180"/>
  <sheetViews>
    <sheetView zoomScaleNormal="100" workbookViewId="0">
      <selection activeCell="P26" sqref="P26"/>
    </sheetView>
  </sheetViews>
  <sheetFormatPr defaultColWidth="8.85546875" defaultRowHeight="15"/>
  <cols>
    <col min="1" max="2" width="1.7109375" style="5" customWidth="1"/>
    <col min="3" max="3" width="46.7109375" style="5" bestFit="1" customWidth="1"/>
    <col min="4" max="11" width="11.42578125" style="5" customWidth="1"/>
    <col min="12" max="12" width="9.42578125" style="5" bestFit="1" customWidth="1"/>
    <col min="13" max="13" width="1.7109375" style="5" customWidth="1"/>
    <col min="14" max="14" width="11.85546875" style="5" customWidth="1"/>
    <col min="15" max="17" width="10.28515625" style="5" bestFit="1" customWidth="1"/>
    <col min="18" max="19" width="9.42578125" style="5" bestFit="1" customWidth="1"/>
    <col min="20" max="16384" width="8.85546875" style="5"/>
  </cols>
  <sheetData>
    <row r="1" spans="3:20" ht="15.75" thickBot="1"/>
    <row r="2" spans="3:20" ht="15.75" thickBot="1">
      <c r="C2" s="96" t="str">
        <f>"Financial Statement Model for "&amp;D5</f>
        <v>Financial Statement Model for Apple</v>
      </c>
      <c r="D2" s="79"/>
      <c r="E2" s="79"/>
      <c r="F2" s="79"/>
      <c r="G2" s="79"/>
      <c r="H2" s="79"/>
      <c r="I2" s="79"/>
      <c r="J2" s="79"/>
      <c r="K2" s="79"/>
    </row>
    <row r="3" spans="3:20">
      <c r="C3" s="2" t="s">
        <v>46</v>
      </c>
      <c r="D3" s="64"/>
      <c r="E3" s="64"/>
      <c r="F3" s="64"/>
      <c r="G3" s="64"/>
      <c r="H3" s="64"/>
      <c r="I3" s="6"/>
      <c r="J3" s="6"/>
      <c r="K3" s="6"/>
    </row>
    <row r="4" spans="3:20">
      <c r="O4" s="6"/>
      <c r="P4" s="6"/>
    </row>
    <row r="5" spans="3:20">
      <c r="C5" s="1" t="s">
        <v>5</v>
      </c>
      <c r="D5" s="112" t="s">
        <v>50</v>
      </c>
      <c r="O5" s="6"/>
      <c r="P5" s="6"/>
    </row>
    <row r="6" spans="3:20">
      <c r="C6" s="1" t="s">
        <v>6</v>
      </c>
      <c r="D6" s="112" t="s">
        <v>51</v>
      </c>
      <c r="O6" s="6"/>
      <c r="P6" s="6"/>
    </row>
    <row r="7" spans="3:20">
      <c r="C7" s="5" t="s">
        <v>109</v>
      </c>
      <c r="D7" s="113">
        <v>0</v>
      </c>
      <c r="O7" s="6"/>
      <c r="P7" s="6"/>
    </row>
    <row r="8" spans="3:20">
      <c r="C8" s="5" t="s">
        <v>73</v>
      </c>
      <c r="D8" s="114">
        <v>293.64999999999998</v>
      </c>
      <c r="O8" s="6"/>
      <c r="P8" s="6"/>
    </row>
    <row r="9" spans="3:20">
      <c r="C9" s="5" t="s">
        <v>9</v>
      </c>
      <c r="D9" s="115">
        <v>43830</v>
      </c>
      <c r="O9" s="6"/>
      <c r="P9" s="6"/>
    </row>
    <row r="10" spans="3:20">
      <c r="C10" s="1" t="s">
        <v>8</v>
      </c>
      <c r="D10" s="116">
        <v>43737</v>
      </c>
      <c r="O10" s="6"/>
      <c r="P10" s="6"/>
    </row>
    <row r="11" spans="3:20" ht="15" customHeight="1">
      <c r="C11" t="s">
        <v>292</v>
      </c>
      <c r="D11" s="132">
        <v>4745.3980000000001</v>
      </c>
      <c r="O11" s="6"/>
      <c r="P11" s="6"/>
    </row>
    <row r="12" spans="3:20">
      <c r="O12" s="6"/>
      <c r="P12" s="6"/>
    </row>
    <row r="13" spans="3:20">
      <c r="C13" s="7" t="s">
        <v>19</v>
      </c>
      <c r="D13" s="9"/>
      <c r="E13" s="9"/>
      <c r="F13" s="9"/>
      <c r="G13" s="9"/>
      <c r="H13" s="9"/>
      <c r="I13" s="9"/>
      <c r="J13" s="9"/>
      <c r="K13" s="9"/>
      <c r="L13" s="9"/>
      <c r="M13" s="6"/>
      <c r="Q13" s="6"/>
    </row>
    <row r="14" spans="3:20">
      <c r="C14" s="6" t="s">
        <v>10</v>
      </c>
      <c r="D14" s="10">
        <f t="shared" ref="D14" si="0">E14-1</f>
        <v>2016</v>
      </c>
      <c r="E14" s="10">
        <f>F14-1</f>
        <v>2017</v>
      </c>
      <c r="F14" s="10">
        <f>G14-1</f>
        <v>2018</v>
      </c>
      <c r="G14" s="10">
        <f>YEAR(D10)</f>
        <v>2019</v>
      </c>
      <c r="H14" s="11">
        <f>G14+1</f>
        <v>2020</v>
      </c>
      <c r="I14" s="11">
        <f>H14+1</f>
        <v>2021</v>
      </c>
      <c r="J14" s="11">
        <f>I14+1</f>
        <v>2022</v>
      </c>
      <c r="K14" s="11">
        <f>J14+1</f>
        <v>2023</v>
      </c>
      <c r="L14" s="11">
        <f>K14+1</f>
        <v>2024</v>
      </c>
      <c r="M14" s="523"/>
      <c r="R14" s="6"/>
    </row>
    <row r="15" spans="3:20">
      <c r="C15" s="12" t="s">
        <v>7</v>
      </c>
      <c r="D15" s="89">
        <f t="shared" ref="D15" si="1">EOMONTH(E15,-12)</f>
        <v>43008</v>
      </c>
      <c r="E15" s="89">
        <f>EOMONTH(F15,-12)</f>
        <v>43373</v>
      </c>
      <c r="F15" s="89">
        <v>43737</v>
      </c>
      <c r="G15" s="89">
        <f>D10</f>
        <v>43737</v>
      </c>
      <c r="H15" s="89">
        <f>EOMONTH(G15,12)</f>
        <v>44104</v>
      </c>
      <c r="I15" s="89">
        <f>EOMONTH(H15,12)</f>
        <v>44469</v>
      </c>
      <c r="J15" s="89">
        <f>EOMONTH(I15,12)</f>
        <v>44834</v>
      </c>
      <c r="K15" s="89">
        <f>EOMONTH(J15,12)</f>
        <v>45199</v>
      </c>
      <c r="L15" s="89">
        <f>EOMONTH(K15,12)</f>
        <v>45565</v>
      </c>
      <c r="N15" s="84" t="s">
        <v>86</v>
      </c>
      <c r="O15" s="97"/>
      <c r="P15" s="97"/>
      <c r="Q15" s="97"/>
      <c r="R15" s="97"/>
      <c r="S15" s="97"/>
      <c r="T15" s="97"/>
    </row>
    <row r="16" spans="3:20">
      <c r="C16" s="14"/>
      <c r="D16" s="14"/>
      <c r="E16" s="15"/>
      <c r="F16" s="16"/>
      <c r="G16" s="16"/>
      <c r="H16" s="85"/>
      <c r="I16" s="86"/>
      <c r="J16" s="86"/>
      <c r="K16" s="16"/>
      <c r="L16" s="16"/>
    </row>
    <row r="17" spans="3:15">
      <c r="C17" s="6" t="s">
        <v>11</v>
      </c>
      <c r="D17" s="17">
        <v>215639</v>
      </c>
      <c r="E17" s="17">
        <v>229234</v>
      </c>
      <c r="F17" s="17">
        <v>265595</v>
      </c>
      <c r="G17" s="17">
        <v>260174</v>
      </c>
      <c r="H17" s="63">
        <f>G17*(1+H36)</f>
        <v>275784.44</v>
      </c>
      <c r="I17" s="63">
        <f>H17*(1+I36)</f>
        <v>294813.56636</v>
      </c>
      <c r="J17" s="63">
        <f>I17*(1+J36)</f>
        <v>315155.70243884</v>
      </c>
      <c r="K17" s="63">
        <f>J17*(1+K36)</f>
        <v>336901.44590711995</v>
      </c>
      <c r="L17" s="63">
        <f>K17*(1+L36)</f>
        <v>360147.64567471121</v>
      </c>
      <c r="N17" s="5" t="s">
        <v>87</v>
      </c>
    </row>
    <row r="18" spans="3:15">
      <c r="C18" s="6" t="s">
        <v>14</v>
      </c>
      <c r="D18" s="17">
        <v>-131376</v>
      </c>
      <c r="E18" s="17">
        <v>-141048</v>
      </c>
      <c r="F18" s="17">
        <v>-163756</v>
      </c>
      <c r="G18" s="17"/>
      <c r="H18" s="63">
        <f>H19-H17</f>
        <v>0</v>
      </c>
      <c r="I18" s="63">
        <f>I19-I17</f>
        <v>0</v>
      </c>
      <c r="J18" s="63">
        <f>J19-J17</f>
        <v>0</v>
      </c>
      <c r="K18" s="63">
        <f>K19-K17</f>
        <v>0</v>
      </c>
      <c r="L18" s="63">
        <f>L19-L17</f>
        <v>0</v>
      </c>
      <c r="N18" s="5" t="s">
        <v>88</v>
      </c>
    </row>
    <row r="19" spans="3:15">
      <c r="C19" s="19" t="s">
        <v>13</v>
      </c>
      <c r="D19" s="20">
        <f>SUM(D17:D18)</f>
        <v>84263</v>
      </c>
      <c r="E19" s="20">
        <f>SUM(E17:E18)</f>
        <v>88186</v>
      </c>
      <c r="F19" s="20">
        <f>SUM(F17:F18)</f>
        <v>101839</v>
      </c>
      <c r="G19" s="20">
        <f>SUM(G17:G18)</f>
        <v>260174</v>
      </c>
      <c r="H19" s="20">
        <f>H17*H37</f>
        <v>275784.44</v>
      </c>
      <c r="I19" s="20">
        <f>I17*I37</f>
        <v>294813.56636</v>
      </c>
      <c r="J19" s="20">
        <f>J17*J37</f>
        <v>315155.70243884</v>
      </c>
      <c r="K19" s="20">
        <f>K17*K37</f>
        <v>336901.44590711995</v>
      </c>
      <c r="L19" s="20">
        <f>L17*L37</f>
        <v>360147.64567471121</v>
      </c>
      <c r="N19" s="87" t="s">
        <v>89</v>
      </c>
    </row>
    <row r="20" spans="3:15">
      <c r="C20" s="21" t="s">
        <v>52</v>
      </c>
      <c r="D20" s="17">
        <v>-10045</v>
      </c>
      <c r="E20" s="17">
        <v>-11581</v>
      </c>
      <c r="F20" s="17">
        <v>-14236</v>
      </c>
      <c r="G20" s="17"/>
      <c r="H20" s="63">
        <f>-H38*H17</f>
        <v>0</v>
      </c>
      <c r="I20" s="63">
        <f>-I38*I17</f>
        <v>0</v>
      </c>
      <c r="J20" s="63">
        <f>-J38*J17</f>
        <v>0</v>
      </c>
      <c r="K20" s="63">
        <f>-K38*K17</f>
        <v>0</v>
      </c>
      <c r="L20" s="63">
        <f>-L38*L17</f>
        <v>0</v>
      </c>
      <c r="N20" s="87" t="s">
        <v>233</v>
      </c>
    </row>
    <row r="21" spans="3:15">
      <c r="C21" s="21" t="s">
        <v>16</v>
      </c>
      <c r="D21" s="17">
        <v>-14194</v>
      </c>
      <c r="E21" s="17">
        <v>-15261</v>
      </c>
      <c r="F21" s="17">
        <v>-16705</v>
      </c>
      <c r="G21" s="17"/>
      <c r="H21" s="63">
        <f>-H17*H39</f>
        <v>0</v>
      </c>
      <c r="I21" s="63">
        <f>-I17*I39</f>
        <v>0</v>
      </c>
      <c r="J21" s="63">
        <f>-J17*J39</f>
        <v>0</v>
      </c>
      <c r="K21" s="63">
        <f>-K17*K39</f>
        <v>0</v>
      </c>
      <c r="L21" s="63">
        <f>-L17*L39</f>
        <v>0</v>
      </c>
      <c r="N21" s="87" t="s">
        <v>235</v>
      </c>
    </row>
    <row r="22" spans="3:15">
      <c r="C22" s="19" t="s">
        <v>3</v>
      </c>
      <c r="D22" s="20">
        <f t="shared" ref="D22" si="2">D19+D20+D21</f>
        <v>60024</v>
      </c>
      <c r="E22" s="20">
        <f>E19+E20+E21</f>
        <v>61344</v>
      </c>
      <c r="F22" s="20">
        <f>F19+F20+F21</f>
        <v>70898</v>
      </c>
      <c r="G22" s="20">
        <f>G19+G20+G21</f>
        <v>260174</v>
      </c>
      <c r="H22" s="20">
        <f t="shared" ref="H22:L22" si="3">H19+H20+H21</f>
        <v>275784.44</v>
      </c>
      <c r="I22" s="20">
        <f>I19+I20+I21</f>
        <v>294813.56636</v>
      </c>
      <c r="J22" s="20">
        <f t="shared" si="3"/>
        <v>315155.70243884</v>
      </c>
      <c r="K22" s="20">
        <f t="shared" si="3"/>
        <v>336901.44590711995</v>
      </c>
      <c r="L22" s="20">
        <f t="shared" si="3"/>
        <v>360147.64567471121</v>
      </c>
      <c r="N22" s="24" t="s">
        <v>90</v>
      </c>
    </row>
    <row r="23" spans="3:15">
      <c r="C23" s="6" t="s">
        <v>4</v>
      </c>
      <c r="D23" s="17">
        <v>3999</v>
      </c>
      <c r="E23" s="17">
        <v>5201</v>
      </c>
      <c r="F23" s="17">
        <v>5686</v>
      </c>
      <c r="G23" s="17"/>
      <c r="H23" s="61">
        <f>H156</f>
        <v>0</v>
      </c>
      <c r="I23" s="61">
        <f t="shared" ref="I23:L23" si="4">I156</f>
        <v>0</v>
      </c>
      <c r="J23" s="61">
        <f t="shared" si="4"/>
        <v>0</v>
      </c>
      <c r="K23" s="61">
        <f t="shared" si="4"/>
        <v>0</v>
      </c>
      <c r="L23" s="61">
        <f t="shared" si="4"/>
        <v>0</v>
      </c>
      <c r="N23" s="5" t="s">
        <v>95</v>
      </c>
    </row>
    <row r="24" spans="3:15">
      <c r="C24" s="6" t="s">
        <v>17</v>
      </c>
      <c r="D24" s="17">
        <v>-1456</v>
      </c>
      <c r="E24" s="17">
        <v>-2323</v>
      </c>
      <c r="F24" s="17">
        <v>-3240</v>
      </c>
      <c r="G24" s="17"/>
      <c r="H24" s="61">
        <f>-H142</f>
        <v>0</v>
      </c>
      <c r="I24" s="61">
        <f t="shared" ref="I24:L24" si="5">-I142</f>
        <v>0</v>
      </c>
      <c r="J24" s="61">
        <f t="shared" si="5"/>
        <v>0</v>
      </c>
      <c r="K24" s="61">
        <f t="shared" si="5"/>
        <v>0</v>
      </c>
      <c r="L24" s="61">
        <f t="shared" si="5"/>
        <v>0</v>
      </c>
      <c r="N24" s="5" t="s">
        <v>94</v>
      </c>
    </row>
    <row r="25" spans="3:15">
      <c r="C25" s="21" t="s">
        <v>53</v>
      </c>
      <c r="D25" s="17">
        <v>-1195</v>
      </c>
      <c r="E25" s="17">
        <v>-133</v>
      </c>
      <c r="F25" s="17">
        <v>-441</v>
      </c>
      <c r="G25" s="17"/>
      <c r="H25" s="61">
        <f>G25</f>
        <v>0</v>
      </c>
      <c r="I25" s="61">
        <f>H25</f>
        <v>0</v>
      </c>
      <c r="J25" s="61">
        <f>I25</f>
        <v>0</v>
      </c>
      <c r="K25" s="61">
        <f>J25</f>
        <v>0</v>
      </c>
      <c r="L25" s="61">
        <f>K25</f>
        <v>0</v>
      </c>
      <c r="N25" s="5" t="s">
        <v>91</v>
      </c>
    </row>
    <row r="26" spans="3:15">
      <c r="C26" s="19" t="s">
        <v>12</v>
      </c>
      <c r="D26" s="20">
        <f t="shared" ref="D26" si="6">SUM(D22:D25)</f>
        <v>61372</v>
      </c>
      <c r="E26" s="20">
        <f>SUM(E22:E25)</f>
        <v>64089</v>
      </c>
      <c r="F26" s="20">
        <f>SUM(F22:F25)</f>
        <v>72903</v>
      </c>
      <c r="G26" s="20">
        <f>SUM(G22:G25)</f>
        <v>260174</v>
      </c>
      <c r="H26" s="20">
        <f>SUM(H22:H25)</f>
        <v>275784.44</v>
      </c>
      <c r="I26" s="20">
        <f>SUM(I22:I25)</f>
        <v>294813.56636</v>
      </c>
      <c r="J26" s="20">
        <f t="shared" ref="J26:L26" si="7">SUM(J22:J25)</f>
        <v>315155.70243884</v>
      </c>
      <c r="K26" s="20">
        <f t="shared" si="7"/>
        <v>336901.44590711995</v>
      </c>
      <c r="L26" s="20">
        <f t="shared" si="7"/>
        <v>360147.64567471121</v>
      </c>
      <c r="N26" s="24" t="s">
        <v>96</v>
      </c>
      <c r="O26" s="24"/>
    </row>
    <row r="27" spans="3:15">
      <c r="C27" s="6" t="s">
        <v>15</v>
      </c>
      <c r="D27" s="17">
        <v>-15685</v>
      </c>
      <c r="E27" s="17">
        <v>-15738</v>
      </c>
      <c r="F27" s="17">
        <v>-13372</v>
      </c>
      <c r="G27" s="17"/>
      <c r="H27" s="63">
        <f>-H40*H26</f>
        <v>0</v>
      </c>
      <c r="I27" s="63">
        <f>-I40*I26</f>
        <v>0</v>
      </c>
      <c r="J27" s="63">
        <f>-J40*J26</f>
        <v>0</v>
      </c>
      <c r="K27" s="63">
        <f>-K40*K26</f>
        <v>0</v>
      </c>
      <c r="L27" s="63">
        <f>-L40*L26</f>
        <v>0</v>
      </c>
      <c r="N27" s="5" t="s">
        <v>92</v>
      </c>
    </row>
    <row r="28" spans="3:15">
      <c r="C28" s="19" t="s">
        <v>2</v>
      </c>
      <c r="D28" s="23">
        <f t="shared" ref="D28:F28" si="8">SUM(D26:D27)</f>
        <v>45687</v>
      </c>
      <c r="E28" s="23">
        <f t="shared" si="8"/>
        <v>48351</v>
      </c>
      <c r="F28" s="23">
        <f t="shared" si="8"/>
        <v>59531</v>
      </c>
      <c r="G28" s="23">
        <f t="shared" ref="G28:L28" si="9">SUM(G26:G27)</f>
        <v>260174</v>
      </c>
      <c r="H28" s="20">
        <f t="shared" si="9"/>
        <v>275784.44</v>
      </c>
      <c r="I28" s="20">
        <f t="shared" si="9"/>
        <v>294813.56636</v>
      </c>
      <c r="J28" s="20">
        <f t="shared" si="9"/>
        <v>315155.70243884</v>
      </c>
      <c r="K28" s="20">
        <f t="shared" si="9"/>
        <v>336901.44590711995</v>
      </c>
      <c r="L28" s="20">
        <f t="shared" si="9"/>
        <v>360147.64567471121</v>
      </c>
      <c r="N28" s="24" t="s">
        <v>93</v>
      </c>
    </row>
    <row r="29" spans="3:15">
      <c r="C29" s="28"/>
      <c r="D29" s="34"/>
      <c r="E29" s="34"/>
      <c r="F29" s="34"/>
      <c r="G29" s="34"/>
      <c r="H29" s="34"/>
      <c r="I29" s="34"/>
      <c r="J29" s="34"/>
      <c r="K29" s="34"/>
      <c r="L29" s="34"/>
    </row>
    <row r="30" spans="3:15">
      <c r="C30" s="72" t="s">
        <v>49</v>
      </c>
      <c r="D30" s="3">
        <v>10505</v>
      </c>
      <c r="E30" s="3">
        <v>10157</v>
      </c>
      <c r="F30" s="3">
        <v>10903</v>
      </c>
      <c r="G30" s="3"/>
      <c r="H30" s="57">
        <f>H106</f>
        <v>-311.85982873882676</v>
      </c>
      <c r="I30" s="57">
        <f>I106</f>
        <v>-457.52405513407757</v>
      </c>
      <c r="J30" s="57">
        <f>J106</f>
        <v>-782.72389007691709</v>
      </c>
      <c r="K30" s="57">
        <f>K106</f>
        <v>-541.28161849222488</v>
      </c>
      <c r="L30" s="57">
        <f>L106</f>
        <v>-262.79376498818783</v>
      </c>
      <c r="N30" s="5" t="s">
        <v>159</v>
      </c>
    </row>
    <row r="31" spans="3:15">
      <c r="C31" s="73" t="s">
        <v>47</v>
      </c>
      <c r="D31" s="69">
        <f t="shared" ref="D31" si="10">D22+D30</f>
        <v>70529</v>
      </c>
      <c r="E31" s="69">
        <f>E22+E30</f>
        <v>71501</v>
      </c>
      <c r="F31" s="69">
        <f>F22+F30</f>
        <v>81801</v>
      </c>
      <c r="G31" s="69">
        <f>G22+G30</f>
        <v>260174</v>
      </c>
      <c r="H31" s="186">
        <f t="shared" ref="H31:L31" si="11">H22+H30</f>
        <v>275472.58017126116</v>
      </c>
      <c r="I31" s="186">
        <f t="shared" si="11"/>
        <v>294356.0423048659</v>
      </c>
      <c r="J31" s="186">
        <f t="shared" si="11"/>
        <v>314372.97854876309</v>
      </c>
      <c r="K31" s="186">
        <f t="shared" si="11"/>
        <v>336360.16428862774</v>
      </c>
      <c r="L31" s="186">
        <f t="shared" si="11"/>
        <v>359884.85190972302</v>
      </c>
      <c r="N31" s="24" t="s">
        <v>97</v>
      </c>
    </row>
    <row r="32" spans="3:15">
      <c r="C32" s="72" t="s">
        <v>74</v>
      </c>
      <c r="D32" s="3">
        <v>4210</v>
      </c>
      <c r="E32" s="3">
        <v>4840</v>
      </c>
      <c r="F32" s="3">
        <v>5340</v>
      </c>
      <c r="G32" s="3"/>
      <c r="H32" s="57">
        <f>G32*(1+H36)</f>
        <v>0</v>
      </c>
      <c r="I32" s="57">
        <f>H32*(1+I36)</f>
        <v>0</v>
      </c>
      <c r="J32" s="57">
        <f>I32*(1+J36)</f>
        <v>0</v>
      </c>
      <c r="K32" s="57">
        <f>J32*(1+K36)</f>
        <v>0</v>
      </c>
      <c r="L32" s="57">
        <f>K32*(1+L36)</f>
        <v>0</v>
      </c>
      <c r="N32" s="5" t="s">
        <v>99</v>
      </c>
    </row>
    <row r="33" spans="3:21">
      <c r="C33" s="73" t="s">
        <v>72</v>
      </c>
      <c r="D33" s="69">
        <f t="shared" ref="D33" si="12">SUM(D31:D32)</f>
        <v>74739</v>
      </c>
      <c r="E33" s="69">
        <f>SUM(E31:E32)</f>
        <v>76341</v>
      </c>
      <c r="F33" s="69">
        <f>SUM(F31:F32)</f>
        <v>87141</v>
      </c>
      <c r="G33" s="69">
        <f>SUM(G31:G32)</f>
        <v>260174</v>
      </c>
      <c r="H33" s="186">
        <f t="shared" ref="H33:L33" si="13">SUM(H31:H32)</f>
        <v>275472.58017126116</v>
      </c>
      <c r="I33" s="186">
        <f t="shared" si="13"/>
        <v>294356.0423048659</v>
      </c>
      <c r="J33" s="186">
        <f t="shared" si="13"/>
        <v>314372.97854876309</v>
      </c>
      <c r="K33" s="186">
        <f t="shared" si="13"/>
        <v>336360.16428862774</v>
      </c>
      <c r="L33" s="186">
        <f t="shared" si="13"/>
        <v>359884.85190972302</v>
      </c>
      <c r="N33" s="24" t="s">
        <v>98</v>
      </c>
    </row>
    <row r="34" spans="3:21">
      <c r="C34" s="28"/>
      <c r="D34" s="28"/>
      <c r="H34" s="58"/>
    </row>
    <row r="35" spans="3:21">
      <c r="C35" s="25" t="s">
        <v>18</v>
      </c>
      <c r="D35" s="25"/>
    </row>
    <row r="36" spans="3:21">
      <c r="C36" s="26" t="s">
        <v>1</v>
      </c>
      <c r="D36" s="27"/>
      <c r="E36" s="27">
        <f>E17/D17-1</f>
        <v>6.304518199398057E-2</v>
      </c>
      <c r="F36" s="27">
        <f>F17/E17-1</f>
        <v>0.15861957650261305</v>
      </c>
      <c r="G36" s="27">
        <f>G17/F17-1</f>
        <v>-2.04107758052674E-2</v>
      </c>
      <c r="H36" s="66">
        <v>0.06</v>
      </c>
      <c r="I36" s="66">
        <v>6.9000000000000006E-2</v>
      </c>
      <c r="J36" s="27">
        <f t="shared" ref="J36:L40" si="14">I36</f>
        <v>6.9000000000000006E-2</v>
      </c>
      <c r="K36" s="27">
        <f t="shared" si="14"/>
        <v>6.9000000000000006E-2</v>
      </c>
      <c r="L36" s="27">
        <f t="shared" si="14"/>
        <v>6.9000000000000006E-2</v>
      </c>
      <c r="N36" s="5" t="s">
        <v>151</v>
      </c>
      <c r="P36" s="59"/>
      <c r="Q36" s="59"/>
      <c r="R36" s="59"/>
      <c r="S36" s="59"/>
      <c r="T36" s="59"/>
      <c r="U36" s="59"/>
    </row>
    <row r="37" spans="3:21">
      <c r="C37" s="26" t="s">
        <v>231</v>
      </c>
      <c r="D37" s="27">
        <f>D19/D17</f>
        <v>0.39075955648097049</v>
      </c>
      <c r="E37" s="27">
        <f>E19/E17</f>
        <v>0.38469860491899105</v>
      </c>
      <c r="F37" s="27">
        <f>F19/F17</f>
        <v>0.38343718820007905</v>
      </c>
      <c r="G37" s="27">
        <f>G19/G17</f>
        <v>1</v>
      </c>
      <c r="H37" s="66">
        <f>G37</f>
        <v>1</v>
      </c>
      <c r="I37" s="66">
        <f>H37</f>
        <v>1</v>
      </c>
      <c r="J37" s="66">
        <f t="shared" si="14"/>
        <v>1</v>
      </c>
      <c r="K37" s="27">
        <f t="shared" si="14"/>
        <v>1</v>
      </c>
      <c r="L37" s="27">
        <f t="shared" si="14"/>
        <v>1</v>
      </c>
      <c r="N37" s="5" t="s">
        <v>152</v>
      </c>
      <c r="P37" s="59"/>
      <c r="Q37" s="59"/>
      <c r="R37" s="59"/>
      <c r="S37" s="59"/>
      <c r="T37" s="59"/>
      <c r="U37" s="59"/>
    </row>
    <row r="38" spans="3:21">
      <c r="C38" s="26" t="s">
        <v>232</v>
      </c>
      <c r="D38" s="27">
        <f>-D20/D17</f>
        <v>4.6582482760539605E-2</v>
      </c>
      <c r="E38" s="27">
        <f>-E20/E17</f>
        <v>5.0520428906706681E-2</v>
      </c>
      <c r="F38" s="27">
        <f>-F20/F17</f>
        <v>5.3600406634161032E-2</v>
      </c>
      <c r="G38" s="27">
        <f>-G20/G17</f>
        <v>0</v>
      </c>
      <c r="H38" s="66">
        <f t="shared" ref="H38:I40" si="15">G38</f>
        <v>0</v>
      </c>
      <c r="I38" s="66">
        <f t="shared" si="15"/>
        <v>0</v>
      </c>
      <c r="J38" s="66">
        <f t="shared" si="14"/>
        <v>0</v>
      </c>
      <c r="K38" s="27">
        <f t="shared" si="14"/>
        <v>0</v>
      </c>
      <c r="L38" s="27">
        <f t="shared" si="14"/>
        <v>0</v>
      </c>
      <c r="N38" s="5" t="s">
        <v>153</v>
      </c>
      <c r="P38" s="59"/>
      <c r="Q38" s="59"/>
      <c r="R38" s="59"/>
      <c r="S38" s="59"/>
      <c r="T38" s="59"/>
      <c r="U38" s="59"/>
    </row>
    <row r="39" spans="3:21">
      <c r="C39" s="26" t="s">
        <v>234</v>
      </c>
      <c r="D39" s="27">
        <f>-D21/D17</f>
        <v>6.5822972653369755E-2</v>
      </c>
      <c r="E39" s="27">
        <f>-E21/E17</f>
        <v>6.6573893924984945E-2</v>
      </c>
      <c r="F39" s="27">
        <f>-F21/F17</f>
        <v>6.2896515371147807E-2</v>
      </c>
      <c r="G39" s="27">
        <f>-G21/G17</f>
        <v>0</v>
      </c>
      <c r="H39" s="66">
        <f t="shared" si="15"/>
        <v>0</v>
      </c>
      <c r="I39" s="66">
        <f t="shared" si="15"/>
        <v>0</v>
      </c>
      <c r="J39" s="66">
        <f t="shared" si="14"/>
        <v>0</v>
      </c>
      <c r="K39" s="27">
        <f t="shared" si="14"/>
        <v>0</v>
      </c>
      <c r="L39" s="27">
        <f t="shared" si="14"/>
        <v>0</v>
      </c>
      <c r="N39" s="5" t="s">
        <v>153</v>
      </c>
      <c r="P39" s="59"/>
      <c r="Q39" s="59"/>
      <c r="R39" s="59"/>
      <c r="S39" s="59"/>
      <c r="T39" s="59"/>
      <c r="U39" s="59"/>
    </row>
    <row r="40" spans="3:21">
      <c r="C40" s="26" t="s">
        <v>0</v>
      </c>
      <c r="D40" s="27">
        <f>-(D27/D26)</f>
        <v>0.25557257381216192</v>
      </c>
      <c r="E40" s="27">
        <f>-(E27/E26)</f>
        <v>0.24556476150353415</v>
      </c>
      <c r="F40" s="27">
        <f>-(F27/F26)</f>
        <v>0.18342180705869443</v>
      </c>
      <c r="G40" s="27">
        <f>-(G27/G26)</f>
        <v>0</v>
      </c>
      <c r="H40" s="66">
        <f t="shared" si="15"/>
        <v>0</v>
      </c>
      <c r="I40" s="66">
        <f t="shared" si="15"/>
        <v>0</v>
      </c>
      <c r="J40" s="66">
        <f t="shared" si="14"/>
        <v>0</v>
      </c>
      <c r="K40" s="27">
        <f t="shared" si="14"/>
        <v>0</v>
      </c>
      <c r="L40" s="27">
        <f t="shared" si="14"/>
        <v>0</v>
      </c>
      <c r="N40" s="5" t="s">
        <v>153</v>
      </c>
      <c r="P40" s="29"/>
      <c r="Q40" s="29"/>
      <c r="R40" s="29"/>
      <c r="S40" s="29"/>
      <c r="T40" s="29"/>
      <c r="U40" s="29"/>
    </row>
    <row r="41" spans="3:21">
      <c r="C41" s="28"/>
      <c r="D41" s="28"/>
      <c r="H41" s="58"/>
    </row>
    <row r="42" spans="3:21">
      <c r="C42" s="7" t="s">
        <v>20</v>
      </c>
      <c r="D42" s="7"/>
      <c r="E42" s="13"/>
      <c r="F42" s="13"/>
      <c r="G42" s="13"/>
      <c r="H42" s="9"/>
      <c r="I42" s="9"/>
      <c r="J42" s="9"/>
      <c r="K42" s="9"/>
      <c r="L42" s="9"/>
    </row>
    <row r="43" spans="3:21">
      <c r="C43" s="35" t="str">
        <f>C14</f>
        <v xml:space="preserve">Fiscal year  </v>
      </c>
      <c r="D43" s="35"/>
      <c r="E43" s="30"/>
      <c r="F43" s="30">
        <f t="shared" ref="F43:L44" si="16">F14</f>
        <v>2018</v>
      </c>
      <c r="G43" s="30">
        <f t="shared" si="16"/>
        <v>2019</v>
      </c>
      <c r="H43" s="31">
        <f t="shared" si="16"/>
        <v>2020</v>
      </c>
      <c r="I43" s="31">
        <f t="shared" si="16"/>
        <v>2021</v>
      </c>
      <c r="J43" s="31">
        <f t="shared" si="16"/>
        <v>2022</v>
      </c>
      <c r="K43" s="31">
        <f t="shared" si="16"/>
        <v>2023</v>
      </c>
      <c r="L43" s="31">
        <f t="shared" si="16"/>
        <v>2024</v>
      </c>
    </row>
    <row r="44" spans="3:21">
      <c r="C44" s="9" t="str">
        <f>C15</f>
        <v>Fiscal year end date</v>
      </c>
      <c r="D44" s="9"/>
      <c r="E44" s="32"/>
      <c r="F44" s="32">
        <f t="shared" si="16"/>
        <v>43737</v>
      </c>
      <c r="G44" s="32">
        <f t="shared" si="16"/>
        <v>43737</v>
      </c>
      <c r="H44" s="32">
        <f t="shared" si="16"/>
        <v>44104</v>
      </c>
      <c r="I44" s="32">
        <f t="shared" si="16"/>
        <v>44469</v>
      </c>
      <c r="J44" s="32">
        <f t="shared" si="16"/>
        <v>44834</v>
      </c>
      <c r="K44" s="32">
        <f t="shared" si="16"/>
        <v>45199</v>
      </c>
      <c r="L44" s="32">
        <f t="shared" si="16"/>
        <v>45565</v>
      </c>
    </row>
    <row r="45" spans="3:21">
      <c r="C45" s="5" t="s">
        <v>138</v>
      </c>
      <c r="E45" s="36">
        <f>20289+53892+194714</f>
        <v>268895</v>
      </c>
      <c r="F45" s="36">
        <f>25913+40388+170799</f>
        <v>237100</v>
      </c>
      <c r="G45" s="36"/>
      <c r="H45" s="193" t="e">
        <f>H90+G45</f>
        <v>#DIV/0!</v>
      </c>
      <c r="I45" s="193" t="e">
        <f>I90+H45</f>
        <v>#DIV/0!</v>
      </c>
      <c r="J45" s="193" t="e">
        <f>J90+I45</f>
        <v>#DIV/0!</v>
      </c>
      <c r="K45" s="193" t="e">
        <f>K90+J45</f>
        <v>#DIV/0!</v>
      </c>
      <c r="L45" s="193" t="e">
        <f>L90+K45</f>
        <v>#DIV/0!</v>
      </c>
      <c r="N45" s="5" t="s">
        <v>118</v>
      </c>
    </row>
    <row r="46" spans="3:21">
      <c r="C46" s="5" t="s">
        <v>54</v>
      </c>
      <c r="E46" s="36">
        <v>17874</v>
      </c>
      <c r="F46" s="36">
        <v>23186</v>
      </c>
      <c r="G46" s="36"/>
      <c r="H46" s="193">
        <f>G46*(1+H36)</f>
        <v>0</v>
      </c>
      <c r="I46" s="193">
        <f>H46*(1+I36)</f>
        <v>0</v>
      </c>
      <c r="J46" s="193">
        <f>I46*(1+J36)</f>
        <v>0</v>
      </c>
      <c r="K46" s="193">
        <f>J46*(1+K36)</f>
        <v>0</v>
      </c>
      <c r="L46" s="193">
        <f>K46*(1+L36)</f>
        <v>0</v>
      </c>
      <c r="N46" s="5" t="s">
        <v>103</v>
      </c>
    </row>
    <row r="47" spans="3:21">
      <c r="C47" s="5" t="s">
        <v>55</v>
      </c>
      <c r="E47" s="36">
        <v>4855</v>
      </c>
      <c r="F47" s="36">
        <v>3956</v>
      </c>
      <c r="G47" s="36"/>
      <c r="H47" s="193" t="e">
        <f>G47*H18/G18</f>
        <v>#DIV/0!</v>
      </c>
      <c r="I47" s="193" t="e">
        <f>H47*I18/H18</f>
        <v>#DIV/0!</v>
      </c>
      <c r="J47" s="193" t="e">
        <f>I47*J18/I18</f>
        <v>#DIV/0!</v>
      </c>
      <c r="K47" s="193" t="e">
        <f>J47*K18/J18</f>
        <v>#DIV/0!</v>
      </c>
      <c r="L47" s="193" t="e">
        <f>K47*L18/K18</f>
        <v>#DIV/0!</v>
      </c>
      <c r="N47" s="5" t="s">
        <v>104</v>
      </c>
    </row>
    <row r="48" spans="3:21">
      <c r="C48" s="6" t="s">
        <v>108</v>
      </c>
      <c r="D48" s="6"/>
      <c r="E48" s="37">
        <f>17799+13936</f>
        <v>31735</v>
      </c>
      <c r="F48" s="37">
        <f>25809+12087</f>
        <v>37896</v>
      </c>
      <c r="G48" s="37"/>
      <c r="H48" s="193">
        <f>G48*(1+H36)</f>
        <v>0</v>
      </c>
      <c r="I48" s="193">
        <f>H48*(1+I36)</f>
        <v>0</v>
      </c>
      <c r="J48" s="193">
        <f>I48*(1+J36)</f>
        <v>0</v>
      </c>
      <c r="K48" s="193">
        <f>J48*(1+K36)</f>
        <v>0</v>
      </c>
      <c r="L48" s="193">
        <f>K48*(1+L36)</f>
        <v>0</v>
      </c>
      <c r="N48" s="5" t="s">
        <v>103</v>
      </c>
      <c r="O48" s="34"/>
    </row>
    <row r="49" spans="3:15">
      <c r="C49" s="21" t="s">
        <v>21</v>
      </c>
      <c r="D49" s="21"/>
      <c r="E49" s="37">
        <v>33783</v>
      </c>
      <c r="F49" s="37">
        <v>41304</v>
      </c>
      <c r="G49" s="37"/>
      <c r="H49" s="193">
        <f>H99</f>
        <v>3738.8598287388268</v>
      </c>
      <c r="I49" s="193">
        <f t="shared" ref="I49:L49" si="17">I99</f>
        <v>7307.181883872905</v>
      </c>
      <c r="J49" s="193">
        <f t="shared" si="17"/>
        <v>10643.567835949822</v>
      </c>
      <c r="K49" s="193">
        <f t="shared" si="17"/>
        <v>13914.714198720043</v>
      </c>
      <c r="L49" s="193">
        <f t="shared" si="17"/>
        <v>17095.733375341413</v>
      </c>
      <c r="N49" s="5" t="s">
        <v>105</v>
      </c>
    </row>
    <row r="50" spans="3:15">
      <c r="C50" s="21" t="s">
        <v>56</v>
      </c>
      <c r="D50" s="21"/>
      <c r="E50" s="37">
        <v>18177</v>
      </c>
      <c r="F50" s="37">
        <v>22283</v>
      </c>
      <c r="G50" s="37"/>
      <c r="H50" s="193">
        <f>G50*(1+H36)</f>
        <v>0</v>
      </c>
      <c r="I50" s="193">
        <f>H50*(1+I36)</f>
        <v>0</v>
      </c>
      <c r="J50" s="193">
        <f>I50*(1+J36)</f>
        <v>0</v>
      </c>
      <c r="K50" s="193">
        <f>J50*(1+K36)</f>
        <v>0</v>
      </c>
      <c r="L50" s="193">
        <f>K50*(1+L36)</f>
        <v>0</v>
      </c>
      <c r="N50" s="5" t="s">
        <v>103</v>
      </c>
    </row>
    <row r="51" spans="3:15">
      <c r="C51" s="39" t="s">
        <v>22</v>
      </c>
      <c r="D51" s="39"/>
      <c r="E51" s="40">
        <f t="shared" ref="E51:F51" si="18">SUM(E45:E50)</f>
        <v>375319</v>
      </c>
      <c r="F51" s="40">
        <f t="shared" si="18"/>
        <v>365725</v>
      </c>
      <c r="G51" s="40">
        <f t="shared" ref="G51:L51" si="19">SUM(G45:G50)</f>
        <v>0</v>
      </c>
      <c r="H51" s="194" t="e">
        <f t="shared" si="19"/>
        <v>#DIV/0!</v>
      </c>
      <c r="I51" s="194" t="e">
        <f t="shared" si="19"/>
        <v>#DIV/0!</v>
      </c>
      <c r="J51" s="194" t="e">
        <f t="shared" si="19"/>
        <v>#DIV/0!</v>
      </c>
      <c r="K51" s="194" t="e">
        <f t="shared" si="19"/>
        <v>#DIV/0!</v>
      </c>
      <c r="L51" s="194" t="e">
        <f t="shared" si="19"/>
        <v>#DIV/0!</v>
      </c>
    </row>
    <row r="52" spans="3:15">
      <c r="C52" s="41"/>
      <c r="D52" s="41"/>
      <c r="E52" s="42"/>
      <c r="F52" s="42"/>
      <c r="G52" s="42"/>
      <c r="H52" s="193"/>
      <c r="I52" s="193"/>
      <c r="J52" s="193"/>
      <c r="K52" s="193"/>
      <c r="L52" s="193"/>
    </row>
    <row r="53" spans="3:15">
      <c r="C53" s="41" t="s">
        <v>57</v>
      </c>
      <c r="D53" s="41"/>
      <c r="E53" s="37">
        <v>44242</v>
      </c>
      <c r="F53" s="37">
        <v>55888</v>
      </c>
      <c r="G53" s="37"/>
      <c r="H53" s="193" t="e">
        <f>G53*H18/G18</f>
        <v>#DIV/0!</v>
      </c>
      <c r="I53" s="193" t="e">
        <f t="shared" ref="I53:L53" si="20">H53*I18/H18</f>
        <v>#DIV/0!</v>
      </c>
      <c r="J53" s="193" t="e">
        <f t="shared" si="20"/>
        <v>#DIV/0!</v>
      </c>
      <c r="K53" s="193" t="e">
        <f t="shared" si="20"/>
        <v>#DIV/0!</v>
      </c>
      <c r="L53" s="193" t="e">
        <f t="shared" si="20"/>
        <v>#DIV/0!</v>
      </c>
      <c r="N53" s="5" t="s">
        <v>104</v>
      </c>
    </row>
    <row r="54" spans="3:15">
      <c r="C54" s="41" t="s">
        <v>117</v>
      </c>
      <c r="D54" s="41"/>
      <c r="E54" s="37">
        <v>30551</v>
      </c>
      <c r="F54" s="37">
        <v>32687</v>
      </c>
      <c r="G54" s="37"/>
      <c r="H54" s="193">
        <f>G54*(1+H36)</f>
        <v>0</v>
      </c>
      <c r="I54" s="193">
        <f t="shared" ref="I54:L54" si="21">H54*(1+I36)</f>
        <v>0</v>
      </c>
      <c r="J54" s="193">
        <f t="shared" si="21"/>
        <v>0</v>
      </c>
      <c r="K54" s="193">
        <f t="shared" si="21"/>
        <v>0</v>
      </c>
      <c r="L54" s="193">
        <f t="shared" si="21"/>
        <v>0</v>
      </c>
      <c r="N54" s="5" t="s">
        <v>103</v>
      </c>
    </row>
    <row r="55" spans="3:15">
      <c r="C55" s="41" t="s">
        <v>58</v>
      </c>
      <c r="D55" s="41"/>
      <c r="E55" s="37">
        <f>7548+2836</f>
        <v>10384</v>
      </c>
      <c r="F55" s="37">
        <f>7543+2797</f>
        <v>10340</v>
      </c>
      <c r="G55" s="37"/>
      <c r="H55" s="193">
        <f>G55*(1+H36)</f>
        <v>0</v>
      </c>
      <c r="I55" s="193">
        <f t="shared" ref="I55:L55" si="22">H55*(1+I36)</f>
        <v>0</v>
      </c>
      <c r="J55" s="193">
        <f t="shared" si="22"/>
        <v>0</v>
      </c>
      <c r="K55" s="193">
        <f t="shared" si="22"/>
        <v>0</v>
      </c>
      <c r="L55" s="193">
        <f t="shared" si="22"/>
        <v>0</v>
      </c>
      <c r="N55" s="5" t="s">
        <v>103</v>
      </c>
      <c r="O55" s="34"/>
    </row>
    <row r="56" spans="3:15">
      <c r="C56" s="41" t="s">
        <v>60</v>
      </c>
      <c r="D56" s="41"/>
      <c r="E56" s="37">
        <v>11977</v>
      </c>
      <c r="F56" s="37">
        <v>11964</v>
      </c>
      <c r="G56" s="37"/>
      <c r="H56" s="193" t="e">
        <f>H135</f>
        <v>#DIV/0!</v>
      </c>
      <c r="I56" s="193" t="e">
        <f>I135</f>
        <v>#DIV/0!</v>
      </c>
      <c r="J56" s="193" t="e">
        <f>J135</f>
        <v>#DIV/0!</v>
      </c>
      <c r="K56" s="193" t="e">
        <f>K135</f>
        <v>#DIV/0!</v>
      </c>
      <c r="L56" s="193" t="e">
        <f>L135</f>
        <v>#DIV/0!</v>
      </c>
      <c r="N56" s="5" t="s">
        <v>187</v>
      </c>
    </row>
    <row r="57" spans="3:15">
      <c r="C57" s="41" t="s">
        <v>122</v>
      </c>
      <c r="D57" s="41"/>
      <c r="E57" s="37">
        <f>6496+97207</f>
        <v>103703</v>
      </c>
      <c r="F57" s="37">
        <f>8784+93735</f>
        <v>102519</v>
      </c>
      <c r="G57" s="37"/>
      <c r="H57" s="193">
        <f>G57</f>
        <v>0</v>
      </c>
      <c r="I57" s="193">
        <f t="shared" ref="I57:L57" si="23">H57</f>
        <v>0</v>
      </c>
      <c r="J57" s="193">
        <f t="shared" si="23"/>
        <v>0</v>
      </c>
      <c r="K57" s="193">
        <f t="shared" si="23"/>
        <v>0</v>
      </c>
      <c r="L57" s="193">
        <f t="shared" si="23"/>
        <v>0</v>
      </c>
      <c r="N57" s="5" t="s">
        <v>100</v>
      </c>
    </row>
    <row r="58" spans="3:15" ht="15.75" customHeight="1">
      <c r="C58" s="41" t="s">
        <v>59</v>
      </c>
      <c r="D58" s="41"/>
      <c r="E58" s="37">
        <v>40415</v>
      </c>
      <c r="F58" s="37">
        <v>45180</v>
      </c>
      <c r="G58" s="37"/>
      <c r="H58" s="193">
        <f>G58*(1+H36)</f>
        <v>0</v>
      </c>
      <c r="I58" s="193">
        <f t="shared" ref="I58:L58" si="24">H58*(1+I36)</f>
        <v>0</v>
      </c>
      <c r="J58" s="193">
        <f t="shared" si="24"/>
        <v>0</v>
      </c>
      <c r="K58" s="193">
        <f t="shared" si="24"/>
        <v>0</v>
      </c>
      <c r="L58" s="193">
        <f t="shared" si="24"/>
        <v>0</v>
      </c>
      <c r="M58" s="6"/>
      <c r="N58" t="s">
        <v>103</v>
      </c>
    </row>
    <row r="59" spans="3:15">
      <c r="C59" s="39" t="s">
        <v>24</v>
      </c>
      <c r="D59" s="39"/>
      <c r="E59" s="43">
        <f t="shared" ref="E59:F59" si="25">SUM(E53:E58)</f>
        <v>241272</v>
      </c>
      <c r="F59" s="43">
        <f t="shared" si="25"/>
        <v>258578</v>
      </c>
      <c r="G59" s="43">
        <f t="shared" ref="G59:L59" si="26">SUM(G53:G58)</f>
        <v>0</v>
      </c>
      <c r="H59" s="194" t="e">
        <f t="shared" si="26"/>
        <v>#DIV/0!</v>
      </c>
      <c r="I59" s="194" t="e">
        <f t="shared" si="26"/>
        <v>#DIV/0!</v>
      </c>
      <c r="J59" s="194" t="e">
        <f t="shared" si="26"/>
        <v>#DIV/0!</v>
      </c>
      <c r="K59" s="194" t="e">
        <f t="shared" si="26"/>
        <v>#DIV/0!</v>
      </c>
      <c r="L59" s="194" t="e">
        <f t="shared" si="26"/>
        <v>#DIV/0!</v>
      </c>
    </row>
    <row r="60" spans="3:15">
      <c r="C60" s="39"/>
      <c r="D60" s="39"/>
      <c r="E60" s="43"/>
      <c r="F60" s="43"/>
      <c r="G60" s="43"/>
      <c r="H60" s="57"/>
      <c r="I60" s="57"/>
      <c r="J60" s="57"/>
      <c r="K60" s="57"/>
      <c r="L60" s="57"/>
    </row>
    <row r="61" spans="3:15">
      <c r="C61" s="41" t="s">
        <v>61</v>
      </c>
      <c r="D61" s="41"/>
      <c r="E61" s="37">
        <v>35867</v>
      </c>
      <c r="F61" s="3">
        <v>40201</v>
      </c>
      <c r="G61" s="3"/>
      <c r="H61" s="193">
        <f>G61+H32</f>
        <v>0</v>
      </c>
      <c r="I61" s="193">
        <f t="shared" ref="I61:L61" si="27">H61+I32</f>
        <v>0</v>
      </c>
      <c r="J61" s="193">
        <f t="shared" si="27"/>
        <v>0</v>
      </c>
      <c r="K61" s="193">
        <f t="shared" si="27"/>
        <v>0</v>
      </c>
      <c r="L61" s="193">
        <f t="shared" si="27"/>
        <v>0</v>
      </c>
      <c r="N61" s="5" t="s">
        <v>155</v>
      </c>
    </row>
    <row r="62" spans="3:15" ht="15.75" customHeight="1">
      <c r="C62" s="41" t="s">
        <v>44</v>
      </c>
      <c r="D62" s="41"/>
      <c r="E62" s="38">
        <f>98330</f>
        <v>98330</v>
      </c>
      <c r="F62" s="3">
        <v>70400</v>
      </c>
      <c r="G62" s="3"/>
      <c r="H62" s="193">
        <f>H119</f>
        <v>188993.44</v>
      </c>
      <c r="I62" s="193">
        <f t="shared" ref="I62:L62" si="28">I119</f>
        <v>397016.00636</v>
      </c>
      <c r="J62" s="193">
        <f t="shared" si="28"/>
        <v>625380.70879883994</v>
      </c>
      <c r="K62" s="193">
        <f t="shared" si="28"/>
        <v>875491.15470595984</v>
      </c>
      <c r="L62" s="193">
        <f t="shared" si="28"/>
        <v>1148847.8003806709</v>
      </c>
      <c r="N62" s="5" t="s">
        <v>107</v>
      </c>
      <c r="O62" s="34"/>
    </row>
    <row r="63" spans="3:15" ht="15.75" customHeight="1">
      <c r="C63" s="41" t="s">
        <v>121</v>
      </c>
      <c r="D63" s="41"/>
      <c r="E63" s="37">
        <v>-150</v>
      </c>
      <c r="F63" s="3">
        <v>-3454</v>
      </c>
      <c r="G63" s="3"/>
      <c r="H63" s="193">
        <f>G63</f>
        <v>0</v>
      </c>
      <c r="I63" s="193">
        <f>H63</f>
        <v>0</v>
      </c>
      <c r="J63" s="193">
        <f>I63</f>
        <v>0</v>
      </c>
      <c r="K63" s="193">
        <f>J63</f>
        <v>0</v>
      </c>
      <c r="L63" s="193">
        <f>K63</f>
        <v>0</v>
      </c>
      <c r="N63" s="5" t="s">
        <v>100</v>
      </c>
    </row>
    <row r="64" spans="3:15">
      <c r="C64" s="39" t="s">
        <v>25</v>
      </c>
      <c r="D64" s="39"/>
      <c r="E64" s="44">
        <f t="shared" ref="E64:F64" si="29">SUM(E61:E63)</f>
        <v>134047</v>
      </c>
      <c r="F64" s="44">
        <f t="shared" si="29"/>
        <v>107147</v>
      </c>
      <c r="G64" s="44">
        <f t="shared" ref="G64:L64" si="30">SUM(G61:G63)</f>
        <v>0</v>
      </c>
      <c r="H64" s="194">
        <f t="shared" si="30"/>
        <v>188993.44</v>
      </c>
      <c r="I64" s="194">
        <f t="shared" si="30"/>
        <v>397016.00636</v>
      </c>
      <c r="J64" s="194">
        <f t="shared" si="30"/>
        <v>625380.70879883994</v>
      </c>
      <c r="K64" s="194">
        <f t="shared" si="30"/>
        <v>875491.15470595984</v>
      </c>
      <c r="L64" s="194">
        <f t="shared" si="30"/>
        <v>1148847.8003806709</v>
      </c>
    </row>
    <row r="65" spans="3:15">
      <c r="C65" s="6"/>
      <c r="D65" s="6"/>
      <c r="E65" s="45"/>
      <c r="F65" s="45"/>
      <c r="G65" s="45"/>
    </row>
    <row r="66" spans="3:15">
      <c r="C66" s="14" t="s">
        <v>26</v>
      </c>
      <c r="D66" s="14"/>
      <c r="E66" s="46">
        <f>ROUND(E51-E59-E64,3)</f>
        <v>0</v>
      </c>
      <c r="F66" s="46">
        <f t="shared" ref="F66" si="31">ROUND(F51-F59-F64,3)</f>
        <v>0</v>
      </c>
      <c r="G66" s="46">
        <f t="shared" ref="G66:L66" si="32">ROUND(G51-G59-G64,3)</f>
        <v>0</v>
      </c>
      <c r="H66" s="46" t="e">
        <f t="shared" si="32"/>
        <v>#DIV/0!</v>
      </c>
      <c r="I66" s="46" t="e">
        <f t="shared" si="32"/>
        <v>#DIV/0!</v>
      </c>
      <c r="J66" s="46" t="e">
        <f t="shared" si="32"/>
        <v>#DIV/0!</v>
      </c>
      <c r="K66" s="46" t="e">
        <f t="shared" si="32"/>
        <v>#DIV/0!</v>
      </c>
      <c r="L66" s="46" t="e">
        <f t="shared" si="32"/>
        <v>#DIV/0!</v>
      </c>
    </row>
    <row r="67" spans="3:15">
      <c r="F67" s="34"/>
      <c r="G67" s="34"/>
      <c r="I67" s="34"/>
      <c r="J67" s="34"/>
      <c r="K67" s="34"/>
      <c r="L67" s="34"/>
    </row>
    <row r="68" spans="3:15">
      <c r="C68" s="7" t="s">
        <v>32</v>
      </c>
      <c r="D68" s="7"/>
      <c r="E68" s="13"/>
      <c r="F68" s="13"/>
      <c r="G68" s="13"/>
      <c r="H68" s="13"/>
      <c r="I68" s="13"/>
      <c r="J68" s="13"/>
      <c r="K68" s="13"/>
      <c r="L68" s="13"/>
    </row>
    <row r="69" spans="3:15">
      <c r="C69" s="35" t="str">
        <f>C14</f>
        <v xml:space="preserve">Fiscal year  </v>
      </c>
      <c r="D69" s="35"/>
      <c r="E69" s="30"/>
      <c r="F69" s="30"/>
      <c r="G69" s="30"/>
      <c r="H69" s="31">
        <f t="shared" ref="H69:L70" si="33">H14</f>
        <v>2020</v>
      </c>
      <c r="I69" s="31">
        <f t="shared" si="33"/>
        <v>2021</v>
      </c>
      <c r="J69" s="31">
        <f t="shared" si="33"/>
        <v>2022</v>
      </c>
      <c r="K69" s="31">
        <f t="shared" si="33"/>
        <v>2023</v>
      </c>
      <c r="L69" s="31">
        <f t="shared" si="33"/>
        <v>2024</v>
      </c>
    </row>
    <row r="70" spans="3:15">
      <c r="C70" s="9" t="str">
        <f>C15</f>
        <v>Fiscal year end date</v>
      </c>
      <c r="D70" s="9"/>
      <c r="E70" s="32"/>
      <c r="F70" s="32"/>
      <c r="G70" s="32"/>
      <c r="H70" s="32">
        <f t="shared" si="33"/>
        <v>44104</v>
      </c>
      <c r="I70" s="32">
        <f t="shared" si="33"/>
        <v>44469</v>
      </c>
      <c r="J70" s="32">
        <f t="shared" si="33"/>
        <v>44834</v>
      </c>
      <c r="K70" s="32">
        <f t="shared" si="33"/>
        <v>45199</v>
      </c>
      <c r="L70" s="32">
        <f t="shared" si="33"/>
        <v>45565</v>
      </c>
    </row>
    <row r="72" spans="3:15">
      <c r="C72" s="6" t="s">
        <v>2</v>
      </c>
      <c r="D72" s="6"/>
      <c r="E72" s="50"/>
      <c r="F72" s="50"/>
      <c r="G72" s="50"/>
      <c r="H72" s="193">
        <f>H28</f>
        <v>275784.44</v>
      </c>
      <c r="I72" s="193">
        <f t="shared" ref="I72:L72" si="34">I28</f>
        <v>294813.56636</v>
      </c>
      <c r="J72" s="193">
        <f t="shared" si="34"/>
        <v>315155.70243884</v>
      </c>
      <c r="K72" s="193">
        <f t="shared" si="34"/>
        <v>336901.44590711995</v>
      </c>
      <c r="L72" s="193">
        <f t="shared" si="34"/>
        <v>360147.64567471121</v>
      </c>
      <c r="N72" s="24"/>
      <c r="O72"/>
    </row>
    <row r="73" spans="3:15">
      <c r="C73" s="6" t="s">
        <v>33</v>
      </c>
      <c r="D73" s="6"/>
      <c r="E73" s="50"/>
      <c r="F73" s="50"/>
      <c r="G73" s="50"/>
      <c r="H73" s="193">
        <f>H30</f>
        <v>-311.85982873882676</v>
      </c>
      <c r="I73" s="193">
        <f t="shared" ref="I73:L73" si="35">I30</f>
        <v>-457.52405513407757</v>
      </c>
      <c r="J73" s="193">
        <f t="shared" si="35"/>
        <v>-782.72389007691709</v>
      </c>
      <c r="K73" s="193">
        <f t="shared" si="35"/>
        <v>-541.28161849222488</v>
      </c>
      <c r="L73" s="193">
        <f t="shared" si="35"/>
        <v>-262.79376498818783</v>
      </c>
      <c r="N73" s="5" t="s">
        <v>170</v>
      </c>
      <c r="O73"/>
    </row>
    <row r="74" spans="3:15">
      <c r="C74" s="6" t="s">
        <v>74</v>
      </c>
      <c r="D74" s="6"/>
      <c r="E74" s="50"/>
      <c r="F74" s="50"/>
      <c r="G74" s="50"/>
      <c r="H74" s="193">
        <f>H32</f>
        <v>0</v>
      </c>
      <c r="I74" s="193">
        <f t="shared" ref="I74:L74" si="36">I32</f>
        <v>0</v>
      </c>
      <c r="J74" s="193">
        <f t="shared" si="36"/>
        <v>0</v>
      </c>
      <c r="K74" s="193">
        <f t="shared" si="36"/>
        <v>0</v>
      </c>
      <c r="L74" s="193">
        <f t="shared" si="36"/>
        <v>0</v>
      </c>
      <c r="O74"/>
    </row>
    <row r="75" spans="3:15">
      <c r="C75" s="6" t="s">
        <v>65</v>
      </c>
      <c r="D75" s="6"/>
      <c r="E75" s="22"/>
      <c r="F75" s="22"/>
      <c r="G75" s="22"/>
      <c r="H75" s="193" t="e">
        <f>SUM(G46:G48)-SUM(H46:H48)</f>
        <v>#DIV/0!</v>
      </c>
      <c r="I75" s="193" t="e">
        <f t="shared" ref="I75:L75" si="37">SUM(H46:H48)-SUM(I46:I48)</f>
        <v>#DIV/0!</v>
      </c>
      <c r="J75" s="193" t="e">
        <f t="shared" si="37"/>
        <v>#DIV/0!</v>
      </c>
      <c r="K75" s="193" t="e">
        <f t="shared" si="37"/>
        <v>#DIV/0!</v>
      </c>
      <c r="L75" s="193" t="e">
        <f t="shared" si="37"/>
        <v>#DIV/0!</v>
      </c>
      <c r="O75"/>
    </row>
    <row r="76" spans="3:15">
      <c r="C76" s="6" t="s">
        <v>66</v>
      </c>
      <c r="D76" s="6"/>
      <c r="E76" s="22"/>
      <c r="F76" s="22"/>
      <c r="G76" s="22"/>
      <c r="H76" s="193" t="e">
        <f>SUM(H53:H55)-SUM(G53:G55)</f>
        <v>#DIV/0!</v>
      </c>
      <c r="I76" s="193" t="e">
        <f>SUM(I53:I55)-SUM(H53:H55)</f>
        <v>#DIV/0!</v>
      </c>
      <c r="J76" s="193" t="e">
        <f>SUM(J53:J55)-SUM(I53:I55)</f>
        <v>#DIV/0!</v>
      </c>
      <c r="K76" s="193" t="e">
        <f>SUM(K53:K55)-SUM(J53:J55)</f>
        <v>#DIV/0!</v>
      </c>
      <c r="L76" s="193" t="e">
        <f>SUM(L53:L55)-SUM(K53:K55)</f>
        <v>#DIV/0!</v>
      </c>
    </row>
    <row r="77" spans="3:15">
      <c r="C77" s="21" t="s">
        <v>56</v>
      </c>
      <c r="D77" s="21"/>
      <c r="F77" s="6"/>
      <c r="G77" s="6"/>
      <c r="H77" s="193">
        <f>-H111</f>
        <v>9858</v>
      </c>
      <c r="I77" s="193">
        <f t="shared" ref="I77:L77" si="38">-I111</f>
        <v>10538.201999999999</v>
      </c>
      <c r="J77" s="193">
        <f t="shared" si="38"/>
        <v>11265.337938000001</v>
      </c>
      <c r="K77" s="193">
        <f t="shared" si="38"/>
        <v>12042.646255722</v>
      </c>
      <c r="L77" s="193">
        <f t="shared" si="38"/>
        <v>12873.588847366816</v>
      </c>
      <c r="M77" s="6"/>
      <c r="N77" s="5" t="s">
        <v>171</v>
      </c>
    </row>
    <row r="78" spans="3:15">
      <c r="C78" s="21" t="s">
        <v>59</v>
      </c>
      <c r="D78" s="21"/>
      <c r="F78" s="6"/>
      <c r="G78" s="6"/>
      <c r="H78" s="193">
        <f>H58-G58</f>
        <v>0</v>
      </c>
      <c r="I78" s="193">
        <f t="shared" ref="I78:L78" si="39">I58-H58</f>
        <v>0</v>
      </c>
      <c r="J78" s="193">
        <f t="shared" si="39"/>
        <v>0</v>
      </c>
      <c r="K78" s="193">
        <f t="shared" si="39"/>
        <v>0</v>
      </c>
      <c r="L78" s="193">
        <f t="shared" si="39"/>
        <v>0</v>
      </c>
      <c r="M78" s="6"/>
      <c r="N78" s="24"/>
    </row>
    <row r="79" spans="3:15">
      <c r="C79" s="19" t="s">
        <v>34</v>
      </c>
      <c r="D79" s="19"/>
      <c r="H79" s="194" t="e">
        <f>SUM(H72:H78)</f>
        <v>#DIV/0!</v>
      </c>
      <c r="I79" s="194" t="e">
        <f>SUM(I72:I78)</f>
        <v>#DIV/0!</v>
      </c>
      <c r="J79" s="194" t="e">
        <f>SUM(J72:J78)</f>
        <v>#DIV/0!</v>
      </c>
      <c r="K79" s="194" t="e">
        <f>SUM(K72:K78)</f>
        <v>#DIV/0!</v>
      </c>
      <c r="L79" s="194" t="e">
        <f>SUM(L72:L78)</f>
        <v>#DIV/0!</v>
      </c>
    </row>
    <row r="80" spans="3:15">
      <c r="C80" s="6"/>
      <c r="D80" s="6"/>
      <c r="H80" s="57"/>
      <c r="I80" s="57"/>
      <c r="J80" s="57"/>
      <c r="K80" s="57"/>
      <c r="L80" s="57"/>
    </row>
    <row r="81" spans="3:14">
      <c r="C81" s="6" t="s">
        <v>35</v>
      </c>
      <c r="D81" s="6"/>
      <c r="H81" s="193">
        <f>-(H97)</f>
        <v>-13285</v>
      </c>
      <c r="I81" s="193">
        <f t="shared" ref="I81:L81" si="40">-(I97)</f>
        <v>-13649</v>
      </c>
      <c r="J81" s="193">
        <f t="shared" si="40"/>
        <v>-13819</v>
      </c>
      <c r="K81" s="193">
        <f t="shared" si="40"/>
        <v>-14772.510999999999</v>
      </c>
      <c r="L81" s="193">
        <f t="shared" si="40"/>
        <v>-15791.814258999997</v>
      </c>
      <c r="N81" s="5" t="s">
        <v>105</v>
      </c>
    </row>
    <row r="82" spans="3:14">
      <c r="C82" s="19" t="s">
        <v>36</v>
      </c>
      <c r="D82" s="19"/>
      <c r="H82" s="194">
        <f>IFERROR(H81,"NA")</f>
        <v>-13285</v>
      </c>
      <c r="I82" s="194">
        <f>IFERROR(I81,"NA")</f>
        <v>-13649</v>
      </c>
      <c r="J82" s="194">
        <f>IFERROR(J81,"NA")</f>
        <v>-13819</v>
      </c>
      <c r="K82" s="194">
        <f>IFERROR(K81,"NA")</f>
        <v>-14772.510999999999</v>
      </c>
      <c r="L82" s="194">
        <f>IFERROR(L81,"NA")</f>
        <v>-15791.814258999997</v>
      </c>
    </row>
    <row r="83" spans="3:14">
      <c r="C83" s="6"/>
      <c r="D83" s="6"/>
      <c r="H83" s="193"/>
      <c r="I83" s="193"/>
      <c r="J83" s="193"/>
      <c r="K83" s="193"/>
      <c r="L83" s="193"/>
    </row>
    <row r="84" spans="3:14">
      <c r="C84" s="6" t="s">
        <v>67</v>
      </c>
      <c r="D84" s="6"/>
      <c r="H84" s="193">
        <f>H57-G57</f>
        <v>0</v>
      </c>
      <c r="I84" s="193">
        <f t="shared" ref="I84:L84" si="41">I57-H57</f>
        <v>0</v>
      </c>
      <c r="J84" s="193">
        <f t="shared" si="41"/>
        <v>0</v>
      </c>
      <c r="K84" s="193">
        <f t="shared" si="41"/>
        <v>0</v>
      </c>
      <c r="L84" s="193">
        <f t="shared" si="41"/>
        <v>0</v>
      </c>
    </row>
    <row r="85" spans="3:14">
      <c r="C85" s="6" t="s">
        <v>319</v>
      </c>
      <c r="D85" s="6"/>
      <c r="H85" s="193" t="e">
        <f>H56-G56</f>
        <v>#DIV/0!</v>
      </c>
      <c r="I85" s="193" t="e">
        <f t="shared" ref="I85:L85" si="42">I56-H56</f>
        <v>#DIV/0!</v>
      </c>
      <c r="J85" s="193" t="e">
        <f t="shared" si="42"/>
        <v>#DIV/0!</v>
      </c>
      <c r="K85" s="193" t="e">
        <f t="shared" si="42"/>
        <v>#DIV/0!</v>
      </c>
      <c r="L85" s="193" t="e">
        <f t="shared" si="42"/>
        <v>#DIV/0!</v>
      </c>
      <c r="N85" s="5" t="s">
        <v>183</v>
      </c>
    </row>
    <row r="86" spans="3:14">
      <c r="C86" s="21" t="s">
        <v>70</v>
      </c>
      <c r="D86" s="21"/>
      <c r="H86" s="193">
        <f>H118</f>
        <v>-73056</v>
      </c>
      <c r="I86" s="193">
        <f t="shared" ref="I86:L86" si="43">I118</f>
        <v>-73056</v>
      </c>
      <c r="J86" s="193">
        <f t="shared" si="43"/>
        <v>-73056</v>
      </c>
      <c r="K86" s="193">
        <f t="shared" si="43"/>
        <v>-73056</v>
      </c>
      <c r="L86" s="193">
        <f t="shared" si="43"/>
        <v>-73056</v>
      </c>
      <c r="N86" s="5" t="s">
        <v>107</v>
      </c>
    </row>
    <row r="87" spans="3:14">
      <c r="C87" s="21" t="s">
        <v>71</v>
      </c>
      <c r="D87" s="21"/>
      <c r="H87" s="193">
        <f>H117</f>
        <v>-13735</v>
      </c>
      <c r="I87" s="193">
        <f t="shared" ref="I87:L87" si="44">I117</f>
        <v>-13735</v>
      </c>
      <c r="J87" s="193">
        <f t="shared" si="44"/>
        <v>-13735</v>
      </c>
      <c r="K87" s="193">
        <f t="shared" si="44"/>
        <v>-13735</v>
      </c>
      <c r="L87" s="193">
        <f t="shared" si="44"/>
        <v>-13735</v>
      </c>
      <c r="N87" s="5" t="s">
        <v>107</v>
      </c>
    </row>
    <row r="88" spans="3:14">
      <c r="C88" s="19" t="s">
        <v>37</v>
      </c>
      <c r="D88" s="19"/>
      <c r="H88" s="194" t="e">
        <f>SUM(H84:H87)</f>
        <v>#DIV/0!</v>
      </c>
      <c r="I88" s="194" t="e">
        <f t="shared" ref="I88:L88" si="45">SUM(I84:I87)</f>
        <v>#DIV/0!</v>
      </c>
      <c r="J88" s="194" t="e">
        <f t="shared" si="45"/>
        <v>#DIV/0!</v>
      </c>
      <c r="K88" s="194" t="e">
        <f t="shared" si="45"/>
        <v>#DIV/0!</v>
      </c>
      <c r="L88" s="194" t="e">
        <f t="shared" si="45"/>
        <v>#DIV/0!</v>
      </c>
    </row>
    <row r="89" spans="3:14">
      <c r="H89" s="193"/>
      <c r="I89" s="193"/>
      <c r="J89" s="193"/>
      <c r="K89" s="193"/>
      <c r="L89" s="193"/>
    </row>
    <row r="90" spans="3:14">
      <c r="C90" s="24" t="s">
        <v>38</v>
      </c>
      <c r="D90" s="24"/>
      <c r="H90" s="194" t="e">
        <f>H79+H82+H88</f>
        <v>#DIV/0!</v>
      </c>
      <c r="I90" s="194" t="e">
        <f>I79+I82+I88</f>
        <v>#DIV/0!</v>
      </c>
      <c r="J90" s="194" t="e">
        <f>J79+J82+J88</f>
        <v>#DIV/0!</v>
      </c>
      <c r="K90" s="194" t="e">
        <f>K79+K82+K88</f>
        <v>#DIV/0!</v>
      </c>
      <c r="L90" s="194" t="e">
        <f>L79+L82+L88</f>
        <v>#DIV/0!</v>
      </c>
    </row>
    <row r="92" spans="3:14">
      <c r="C92" s="7" t="s">
        <v>29</v>
      </c>
      <c r="D92" s="7"/>
      <c r="E92" s="9"/>
      <c r="F92" s="9"/>
      <c r="G92" s="9"/>
      <c r="H92" s="9"/>
      <c r="I92" s="9"/>
      <c r="J92" s="9"/>
      <c r="K92" s="9"/>
      <c r="L92" s="9"/>
    </row>
    <row r="93" spans="3:14">
      <c r="C93" s="35" t="str">
        <f t="shared" ref="C93:L94" si="46">C14</f>
        <v xml:space="preserve">Fiscal year  </v>
      </c>
      <c r="D93" s="35"/>
      <c r="E93" s="30">
        <f t="shared" si="46"/>
        <v>2017</v>
      </c>
      <c r="F93" s="30">
        <f t="shared" si="46"/>
        <v>2018</v>
      </c>
      <c r="G93" s="30">
        <f t="shared" si="46"/>
        <v>2019</v>
      </c>
      <c r="H93" s="31">
        <f t="shared" si="46"/>
        <v>2020</v>
      </c>
      <c r="I93" s="31">
        <f t="shared" si="46"/>
        <v>2021</v>
      </c>
      <c r="J93" s="31">
        <f t="shared" si="46"/>
        <v>2022</v>
      </c>
      <c r="K93" s="31">
        <f t="shared" si="46"/>
        <v>2023</v>
      </c>
      <c r="L93" s="31">
        <f t="shared" si="46"/>
        <v>2024</v>
      </c>
    </row>
    <row r="94" spans="3:14">
      <c r="C94" s="9" t="str">
        <f t="shared" si="46"/>
        <v>Fiscal year end date</v>
      </c>
      <c r="D94" s="9"/>
      <c r="E94" s="32">
        <f t="shared" si="46"/>
        <v>43373</v>
      </c>
      <c r="F94" s="32">
        <f t="shared" si="46"/>
        <v>43737</v>
      </c>
      <c r="G94" s="32">
        <f t="shared" si="46"/>
        <v>43737</v>
      </c>
      <c r="H94" s="32">
        <f t="shared" si="46"/>
        <v>44104</v>
      </c>
      <c r="I94" s="32">
        <f t="shared" si="46"/>
        <v>44469</v>
      </c>
      <c r="J94" s="32">
        <f t="shared" si="46"/>
        <v>44834</v>
      </c>
      <c r="K94" s="32">
        <f t="shared" si="46"/>
        <v>45199</v>
      </c>
      <c r="L94" s="32">
        <f t="shared" si="46"/>
        <v>45565</v>
      </c>
    </row>
    <row r="95" spans="3:14">
      <c r="C95" s="19"/>
      <c r="D95" s="19"/>
      <c r="H95" s="110" t="s">
        <v>116</v>
      </c>
      <c r="I95" s="110"/>
      <c r="J95" s="110"/>
      <c r="K95" s="110"/>
      <c r="L95" s="110"/>
    </row>
    <row r="96" spans="3:14">
      <c r="C96" s="41" t="s">
        <v>27</v>
      </c>
      <c r="D96" s="41"/>
      <c r="G96" s="6"/>
      <c r="H96" s="61">
        <f>G99</f>
        <v>0</v>
      </c>
      <c r="I96" s="61">
        <f>H99</f>
        <v>3738.8598287388268</v>
      </c>
      <c r="J96" s="61">
        <f>I99</f>
        <v>7307.181883872905</v>
      </c>
      <c r="K96" s="61">
        <f>J99</f>
        <v>10643.567835949822</v>
      </c>
      <c r="L96" s="61">
        <f>K99</f>
        <v>13914.714198720043</v>
      </c>
      <c r="M96" s="21"/>
      <c r="N96" s="188" t="s">
        <v>167</v>
      </c>
    </row>
    <row r="97" spans="3:18">
      <c r="C97" s="47" t="s">
        <v>30</v>
      </c>
      <c r="D97" s="47"/>
      <c r="E97" s="3">
        <v>12734</v>
      </c>
      <c r="F97" s="3">
        <v>12451</v>
      </c>
      <c r="G97" s="71">
        <v>13313</v>
      </c>
      <c r="H97" s="17">
        <v>13285</v>
      </c>
      <c r="I97" s="17">
        <v>13649</v>
      </c>
      <c r="J97" s="17">
        <v>13819</v>
      </c>
      <c r="K97" s="17">
        <f>J97*(1+K36)</f>
        <v>14772.510999999999</v>
      </c>
      <c r="L97" s="17">
        <f t="shared" ref="L97" si="47">K97*(1+L36)</f>
        <v>15791.814258999997</v>
      </c>
      <c r="M97" s="21"/>
      <c r="N97" s="188" t="s">
        <v>154</v>
      </c>
    </row>
    <row r="98" spans="3:18">
      <c r="C98" s="103" t="s">
        <v>31</v>
      </c>
      <c r="D98" s="103"/>
      <c r="E98" s="95">
        <v>-8300</v>
      </c>
      <c r="F98" s="95">
        <v>-8200</v>
      </c>
      <c r="G98" s="95">
        <v>-9300</v>
      </c>
      <c r="H98" s="126">
        <f>-(H101*H97)</f>
        <v>-9546.1401712611732</v>
      </c>
      <c r="I98" s="126">
        <f>-(I101*I97)</f>
        <v>-10080.677944865922</v>
      </c>
      <c r="J98" s="126">
        <f>-(J101*J97)</f>
        <v>-10482.614047923083</v>
      </c>
      <c r="K98" s="126">
        <f>-(K101*K97)</f>
        <v>-11501.364637229775</v>
      </c>
      <c r="L98" s="126">
        <f>-(L101*L97)</f>
        <v>-12610.795082378629</v>
      </c>
      <c r="M98" s="21"/>
      <c r="N98" s="188" t="s">
        <v>166</v>
      </c>
    </row>
    <row r="99" spans="3:18">
      <c r="C99" s="54" t="s">
        <v>28</v>
      </c>
      <c r="D99" s="54"/>
      <c r="E99" s="51"/>
      <c r="F99" s="51">
        <f>F49</f>
        <v>41304</v>
      </c>
      <c r="G99" s="51">
        <f>G49</f>
        <v>0</v>
      </c>
      <c r="H99" s="162">
        <f>SUM(H96:H98)</f>
        <v>3738.8598287388268</v>
      </c>
      <c r="I99" s="162">
        <f>SUM(I96:I98)</f>
        <v>7307.181883872905</v>
      </c>
      <c r="J99" s="162">
        <f>SUM(J96:J98)</f>
        <v>10643.567835949822</v>
      </c>
      <c r="K99" s="162">
        <f>SUM(K96:K98)</f>
        <v>13914.714198720043</v>
      </c>
      <c r="L99" s="162">
        <f>SUM(L96:L98)</f>
        <v>17095.733375341413</v>
      </c>
      <c r="M99" s="21"/>
      <c r="N99" s="188" t="s">
        <v>165</v>
      </c>
    </row>
    <row r="100" spans="3:18">
      <c r="C100" s="41"/>
      <c r="D100" s="41"/>
      <c r="G100" s="6"/>
      <c r="H100" s="21"/>
      <c r="I100" s="21"/>
      <c r="J100" s="21"/>
      <c r="K100" s="21"/>
      <c r="L100" s="21"/>
      <c r="M100" s="21"/>
      <c r="N100" s="510" t="s">
        <v>48</v>
      </c>
    </row>
    <row r="101" spans="3:18">
      <c r="C101" s="41" t="s">
        <v>123</v>
      </c>
      <c r="D101" s="41"/>
      <c r="E101" s="4">
        <f>-(E98/E97)</f>
        <v>0.65179833516569818</v>
      </c>
      <c r="F101" s="4">
        <f>-(F98/F97)</f>
        <v>0.6585816400289134</v>
      </c>
      <c r="G101" s="80">
        <f>-(G98/G97)</f>
        <v>0.69856531210095396</v>
      </c>
      <c r="H101" s="189">
        <f>G101+$N$101</f>
        <v>0.71856531210095398</v>
      </c>
      <c r="I101" s="189">
        <f>H101+$N$101</f>
        <v>0.738565312100954</v>
      </c>
      <c r="J101" s="189">
        <f>I101+$N$101</f>
        <v>0.75856531210095401</v>
      </c>
      <c r="K101" s="189">
        <f>J101+$N$101</f>
        <v>0.77856531210095403</v>
      </c>
      <c r="L101" s="189">
        <f>K101+$N$101</f>
        <v>0.79856531210095405</v>
      </c>
      <c r="M101" s="21"/>
      <c r="N101" s="511">
        <v>0.02</v>
      </c>
      <c r="P101" s="98"/>
      <c r="Q101" s="98"/>
      <c r="R101" s="98"/>
    </row>
    <row r="102" spans="3:18">
      <c r="C102" s="41"/>
      <c r="D102" s="41"/>
      <c r="E102" s="4"/>
      <c r="F102" s="4"/>
      <c r="G102" s="80"/>
      <c r="H102" s="189"/>
      <c r="I102" s="189"/>
      <c r="J102" s="189"/>
      <c r="K102" s="189"/>
      <c r="L102" s="189"/>
      <c r="M102" s="21"/>
      <c r="N102" s="188"/>
      <c r="P102" s="98"/>
      <c r="Q102" s="98"/>
      <c r="R102" s="98"/>
    </row>
    <row r="103" spans="3:18">
      <c r="C103" s="128" t="s">
        <v>130</v>
      </c>
      <c r="D103" s="128"/>
      <c r="E103" s="48"/>
      <c r="F103" s="48"/>
      <c r="G103" s="48"/>
      <c r="H103" s="198"/>
      <c r="I103" s="198"/>
      <c r="J103" s="198"/>
      <c r="K103" s="198"/>
      <c r="L103" s="198"/>
      <c r="M103" s="21"/>
      <c r="N103" s="188"/>
      <c r="P103" s="98"/>
      <c r="Q103" s="98"/>
      <c r="R103" s="98"/>
    </row>
    <row r="104" spans="3:18">
      <c r="C104" s="41" t="s">
        <v>156</v>
      </c>
      <c r="D104" s="41"/>
      <c r="E104" s="22">
        <f>E106+E98</f>
        <v>1857</v>
      </c>
      <c r="F104" s="22">
        <f>F106+F98</f>
        <v>2703</v>
      </c>
      <c r="G104" s="22">
        <f>G106+G98</f>
        <v>-9300</v>
      </c>
      <c r="H104" s="63">
        <f>H105*H17</f>
        <v>-9858</v>
      </c>
      <c r="I104" s="63">
        <f>I105*I17</f>
        <v>-10538.201999999999</v>
      </c>
      <c r="J104" s="63">
        <f>J105*J17</f>
        <v>-11265.337938000001</v>
      </c>
      <c r="K104" s="63">
        <f>K105*K17</f>
        <v>-12042.646255722</v>
      </c>
      <c r="L104" s="63">
        <f>L105*L17</f>
        <v>-12873.588847366816</v>
      </c>
      <c r="M104" s="21"/>
      <c r="N104" s="188" t="s">
        <v>238</v>
      </c>
      <c r="P104" s="98"/>
      <c r="Q104" s="98"/>
      <c r="R104" s="98"/>
    </row>
    <row r="105" spans="3:18">
      <c r="C105" s="26" t="s">
        <v>157</v>
      </c>
      <c r="D105" s="26"/>
      <c r="E105" s="93">
        <f>E104/E17</f>
        <v>8.10089253775618E-3</v>
      </c>
      <c r="F105" s="93">
        <f>F104/F17</f>
        <v>1.0177149419228525E-2</v>
      </c>
      <c r="G105" s="100">
        <f>G104/G17</f>
        <v>-3.5745308908653441E-2</v>
      </c>
      <c r="H105" s="189">
        <f>G105</f>
        <v>-3.5745308908653441E-2</v>
      </c>
      <c r="I105" s="189">
        <f>H105</f>
        <v>-3.5745308908653441E-2</v>
      </c>
      <c r="J105" s="189">
        <f>I105</f>
        <v>-3.5745308908653441E-2</v>
      </c>
      <c r="K105" s="189">
        <f>J105</f>
        <v>-3.5745308908653441E-2</v>
      </c>
      <c r="L105" s="189">
        <f>K105</f>
        <v>-3.5745308908653441E-2</v>
      </c>
      <c r="M105" s="21"/>
      <c r="N105" s="188" t="s">
        <v>158</v>
      </c>
    </row>
    <row r="106" spans="3:18">
      <c r="C106" s="39" t="s">
        <v>110</v>
      </c>
      <c r="D106" s="39"/>
      <c r="E106" s="51">
        <f>E30</f>
        <v>10157</v>
      </c>
      <c r="F106" s="51">
        <f>F30</f>
        <v>10903</v>
      </c>
      <c r="G106" s="51">
        <f>G30</f>
        <v>0</v>
      </c>
      <c r="H106" s="20">
        <f>-H98+H104</f>
        <v>-311.85982873882676</v>
      </c>
      <c r="I106" s="20">
        <f>-I98+I104</f>
        <v>-457.52405513407757</v>
      </c>
      <c r="J106" s="20">
        <f>-J98+J104</f>
        <v>-782.72389007691709</v>
      </c>
      <c r="K106" s="20">
        <f>-K98+K104</f>
        <v>-541.28161849222488</v>
      </c>
      <c r="L106" s="20">
        <f>-L98+L104</f>
        <v>-262.79376498818783</v>
      </c>
      <c r="M106" s="188"/>
      <c r="N106" s="188" t="s">
        <v>160</v>
      </c>
    </row>
    <row r="107" spans="3:18">
      <c r="C107" s="41"/>
      <c r="D107" s="41"/>
      <c r="E107" s="22"/>
      <c r="F107" s="22"/>
      <c r="G107" s="22"/>
      <c r="H107" s="21"/>
      <c r="I107" s="61"/>
      <c r="J107" s="61"/>
      <c r="K107" s="61"/>
      <c r="L107" s="61"/>
      <c r="M107" s="188"/>
      <c r="N107" s="188"/>
    </row>
    <row r="108" spans="3:18">
      <c r="C108" s="127" t="s">
        <v>129</v>
      </c>
      <c r="D108" s="127"/>
      <c r="E108" s="9"/>
      <c r="F108" s="9"/>
      <c r="G108" s="9"/>
      <c r="H108" s="21"/>
      <c r="I108" s="61"/>
      <c r="J108" s="61"/>
      <c r="K108" s="61"/>
      <c r="L108" s="61"/>
      <c r="M108" s="188"/>
      <c r="N108" s="188"/>
    </row>
    <row r="109" spans="3:18">
      <c r="C109" s="41" t="s">
        <v>27</v>
      </c>
      <c r="D109" s="41"/>
      <c r="E109" s="22"/>
      <c r="F109" s="6"/>
      <c r="G109" s="6"/>
      <c r="H109" s="154">
        <f>G112</f>
        <v>0</v>
      </c>
      <c r="I109" s="154">
        <f>H112</f>
        <v>0</v>
      </c>
      <c r="J109" s="154">
        <f>I112</f>
        <v>0</v>
      </c>
      <c r="K109" s="154">
        <f>J112</f>
        <v>0</v>
      </c>
      <c r="L109" s="154">
        <f>K112</f>
        <v>0</v>
      </c>
      <c r="M109" s="188"/>
      <c r="N109" s="188" t="s">
        <v>167</v>
      </c>
    </row>
    <row r="110" spans="3:18">
      <c r="C110" s="26" t="s">
        <v>124</v>
      </c>
      <c r="D110" s="26"/>
      <c r="H110" s="61">
        <f>-(H104)</f>
        <v>9858</v>
      </c>
      <c r="I110" s="61">
        <f>-(I104)</f>
        <v>10538.201999999999</v>
      </c>
      <c r="J110" s="61">
        <f>-(J104)</f>
        <v>11265.337938000001</v>
      </c>
      <c r="K110" s="61">
        <f>-(K104)</f>
        <v>12042.646255722</v>
      </c>
      <c r="L110" s="61">
        <f>-(L104)</f>
        <v>12873.588847366816</v>
      </c>
      <c r="M110" s="188"/>
      <c r="N110" s="188" t="s">
        <v>162</v>
      </c>
    </row>
    <row r="111" spans="3:18" ht="15" customHeight="1">
      <c r="C111" s="111" t="s">
        <v>125</v>
      </c>
      <c r="D111" s="111"/>
      <c r="E111" s="101"/>
      <c r="F111" s="101"/>
      <c r="G111" s="101"/>
      <c r="H111" s="133">
        <f>H112-H110-H109</f>
        <v>-9858</v>
      </c>
      <c r="I111" s="133">
        <f>I112-I110-I109</f>
        <v>-10538.201999999999</v>
      </c>
      <c r="J111" s="133">
        <f>J112-J110-J109</f>
        <v>-11265.337938000001</v>
      </c>
      <c r="K111" s="133">
        <f>K112-K110-K109</f>
        <v>-12042.646255722</v>
      </c>
      <c r="L111" s="133">
        <f>L112-L110-L109</f>
        <v>-12873.588847366816</v>
      </c>
      <c r="M111" s="188"/>
      <c r="N111" s="188" t="s">
        <v>168</v>
      </c>
    </row>
    <row r="112" spans="3:18">
      <c r="C112" s="54" t="s">
        <v>28</v>
      </c>
      <c r="D112" s="54"/>
      <c r="E112" s="6"/>
      <c r="F112" s="51">
        <f t="shared" ref="F112:L112" si="48">F50</f>
        <v>22283</v>
      </c>
      <c r="G112" s="51">
        <f t="shared" si="48"/>
        <v>0</v>
      </c>
      <c r="H112" s="162">
        <f t="shared" si="48"/>
        <v>0</v>
      </c>
      <c r="I112" s="162">
        <f t="shared" si="48"/>
        <v>0</v>
      </c>
      <c r="J112" s="162">
        <f t="shared" si="48"/>
        <v>0</v>
      </c>
      <c r="K112" s="162">
        <f t="shared" si="48"/>
        <v>0</v>
      </c>
      <c r="L112" s="162">
        <f t="shared" si="48"/>
        <v>0</v>
      </c>
      <c r="M112" s="188"/>
      <c r="N112" s="188" t="s">
        <v>169</v>
      </c>
    </row>
    <row r="113" spans="3:18">
      <c r="C113" s="26"/>
      <c r="D113" s="26"/>
      <c r="F113" s="34"/>
      <c r="G113" s="34"/>
      <c r="H113" s="21"/>
      <c r="I113" s="61"/>
      <c r="J113" s="61"/>
      <c r="K113" s="61"/>
      <c r="L113" s="61"/>
      <c r="M113" s="188"/>
      <c r="N113" s="188"/>
    </row>
    <row r="114" spans="3:18">
      <c r="C114" s="74" t="s">
        <v>75</v>
      </c>
      <c r="D114" s="74"/>
      <c r="E114" s="70"/>
      <c r="F114" s="70"/>
      <c r="G114" s="70"/>
      <c r="H114" s="190"/>
      <c r="I114" s="190"/>
      <c r="J114" s="190"/>
      <c r="K114" s="190"/>
      <c r="L114" s="190"/>
      <c r="M114" s="188"/>
      <c r="N114" s="188"/>
    </row>
    <row r="115" spans="3:18">
      <c r="C115" s="41" t="s">
        <v>27</v>
      </c>
      <c r="D115" s="41"/>
      <c r="E115" s="6"/>
      <c r="F115" s="6"/>
      <c r="G115" s="6"/>
      <c r="H115" s="193">
        <f>G119</f>
        <v>0</v>
      </c>
      <c r="I115" s="193">
        <f>H119</f>
        <v>188993.44</v>
      </c>
      <c r="J115" s="193">
        <f>I119</f>
        <v>397016.00636</v>
      </c>
      <c r="K115" s="193">
        <f>J119</f>
        <v>625380.70879883994</v>
      </c>
      <c r="L115" s="193">
        <f>K119</f>
        <v>875491.15470595984</v>
      </c>
      <c r="M115" s="188"/>
      <c r="N115" s="188" t="s">
        <v>167</v>
      </c>
    </row>
    <row r="116" spans="3:18">
      <c r="C116" s="26" t="s">
        <v>62</v>
      </c>
      <c r="D116" s="26"/>
      <c r="E116" s="33">
        <f t="shared" ref="E116:L116" si="49">E28</f>
        <v>48351</v>
      </c>
      <c r="F116" s="33">
        <f t="shared" si="49"/>
        <v>59531</v>
      </c>
      <c r="G116" s="33">
        <f t="shared" si="49"/>
        <v>260174</v>
      </c>
      <c r="H116" s="193">
        <f t="shared" si="49"/>
        <v>275784.44</v>
      </c>
      <c r="I116" s="193">
        <f t="shared" si="49"/>
        <v>294813.56636</v>
      </c>
      <c r="J116" s="193">
        <f t="shared" si="49"/>
        <v>315155.70243884</v>
      </c>
      <c r="K116" s="193">
        <f t="shared" si="49"/>
        <v>336901.44590711995</v>
      </c>
      <c r="L116" s="193">
        <f t="shared" si="49"/>
        <v>360147.64567471121</v>
      </c>
      <c r="M116" s="188"/>
      <c r="N116" s="188" t="s">
        <v>101</v>
      </c>
    </row>
    <row r="117" spans="3:18">
      <c r="C117" s="26" t="s">
        <v>63</v>
      </c>
      <c r="D117" s="26"/>
      <c r="E117" s="3">
        <v>-12188</v>
      </c>
      <c r="F117" s="3">
        <v>-12803</v>
      </c>
      <c r="G117" s="3">
        <v>-13735</v>
      </c>
      <c r="H117" s="193">
        <f>G117</f>
        <v>-13735</v>
      </c>
      <c r="I117" s="193">
        <f t="shared" ref="I117:L118" si="50">H117</f>
        <v>-13735</v>
      </c>
      <c r="J117" s="193">
        <f t="shared" si="50"/>
        <v>-13735</v>
      </c>
      <c r="K117" s="193">
        <f t="shared" si="50"/>
        <v>-13735</v>
      </c>
      <c r="L117" s="193">
        <f t="shared" si="50"/>
        <v>-13735</v>
      </c>
      <c r="M117" s="188"/>
      <c r="N117" s="188" t="s">
        <v>163</v>
      </c>
    </row>
    <row r="118" spans="3:18">
      <c r="C118" s="104" t="s">
        <v>64</v>
      </c>
      <c r="D118" s="104"/>
      <c r="E118" s="95">
        <v>-29000</v>
      </c>
      <c r="F118" s="95">
        <v>-33001</v>
      </c>
      <c r="G118" s="95">
        <v>-73056</v>
      </c>
      <c r="H118" s="199">
        <f>G118</f>
        <v>-73056</v>
      </c>
      <c r="I118" s="199">
        <f t="shared" si="50"/>
        <v>-73056</v>
      </c>
      <c r="J118" s="199">
        <f t="shared" si="50"/>
        <v>-73056</v>
      </c>
      <c r="K118" s="199">
        <f t="shared" si="50"/>
        <v>-73056</v>
      </c>
      <c r="L118" s="199">
        <f t="shared" si="50"/>
        <v>-73056</v>
      </c>
      <c r="M118" s="188"/>
      <c r="N118" s="188" t="s">
        <v>236</v>
      </c>
    </row>
    <row r="119" spans="3:18">
      <c r="C119" s="83" t="s">
        <v>28</v>
      </c>
      <c r="D119" s="83"/>
      <c r="E119" s="23">
        <f>E62</f>
        <v>98330</v>
      </c>
      <c r="F119" s="23">
        <f>F62</f>
        <v>70400</v>
      </c>
      <c r="G119" s="23">
        <f>G62</f>
        <v>0</v>
      </c>
      <c r="H119" s="162">
        <f>SUM(H115:H118)</f>
        <v>188993.44</v>
      </c>
      <c r="I119" s="162">
        <f>SUM(I115:I118)</f>
        <v>397016.00636</v>
      </c>
      <c r="J119" s="162">
        <f>SUM(J115:J118)</f>
        <v>625380.70879883994</v>
      </c>
      <c r="K119" s="162">
        <f>SUM(K115:K118)</f>
        <v>875491.15470595984</v>
      </c>
      <c r="L119" s="162">
        <f>SUM(L115:L118)</f>
        <v>1148847.8003806709</v>
      </c>
      <c r="M119" s="188"/>
      <c r="N119" s="188" t="s">
        <v>164</v>
      </c>
    </row>
    <row r="120" spans="3:18">
      <c r="F120" s="68"/>
      <c r="G120" s="68"/>
      <c r="H120" s="188"/>
      <c r="I120" s="188"/>
      <c r="J120" s="188"/>
      <c r="K120" s="188"/>
      <c r="L120" s="188"/>
      <c r="M120" s="188"/>
      <c r="N120" s="188"/>
    </row>
    <row r="121" spans="3:18">
      <c r="C121" s="7" t="s">
        <v>131</v>
      </c>
      <c r="D121" s="7"/>
      <c r="E121" s="9"/>
      <c r="F121" s="9"/>
      <c r="G121" s="9"/>
      <c r="H121" s="190"/>
      <c r="I121" s="190"/>
      <c r="J121" s="190"/>
      <c r="K121" s="190"/>
      <c r="L121" s="190"/>
      <c r="M121" s="188"/>
      <c r="N121" s="188"/>
      <c r="P121" s="98"/>
      <c r="Q121" s="98"/>
    </row>
    <row r="122" spans="3:18">
      <c r="C122" s="35" t="str">
        <f t="shared" ref="C122:L123" si="51">C14</f>
        <v xml:space="preserve">Fiscal year  </v>
      </c>
      <c r="D122" s="35"/>
      <c r="E122" s="30">
        <f t="shared" si="51"/>
        <v>2017</v>
      </c>
      <c r="F122" s="30">
        <f t="shared" si="51"/>
        <v>2018</v>
      </c>
      <c r="G122" s="30">
        <f t="shared" si="51"/>
        <v>2019</v>
      </c>
      <c r="H122" s="191">
        <f t="shared" si="51"/>
        <v>2020</v>
      </c>
      <c r="I122" s="191">
        <f t="shared" si="51"/>
        <v>2021</v>
      </c>
      <c r="J122" s="191">
        <f t="shared" si="51"/>
        <v>2022</v>
      </c>
      <c r="K122" s="191">
        <f t="shared" si="51"/>
        <v>2023</v>
      </c>
      <c r="L122" s="191">
        <f t="shared" si="51"/>
        <v>2024</v>
      </c>
      <c r="M122" s="188"/>
      <c r="N122" s="188"/>
      <c r="P122" s="98"/>
      <c r="Q122" s="98"/>
    </row>
    <row r="123" spans="3:18">
      <c r="C123" s="9" t="str">
        <f t="shared" si="51"/>
        <v>Fiscal year end date</v>
      </c>
      <c r="D123" s="9"/>
      <c r="E123" s="32">
        <f t="shared" si="51"/>
        <v>43373</v>
      </c>
      <c r="F123" s="32">
        <f t="shared" si="51"/>
        <v>43737</v>
      </c>
      <c r="G123" s="32">
        <f t="shared" si="51"/>
        <v>43737</v>
      </c>
      <c r="H123" s="192">
        <f t="shared" si="51"/>
        <v>44104</v>
      </c>
      <c r="I123" s="192">
        <f t="shared" si="51"/>
        <v>44469</v>
      </c>
      <c r="J123" s="192">
        <f t="shared" si="51"/>
        <v>44834</v>
      </c>
      <c r="K123" s="192">
        <f t="shared" si="51"/>
        <v>45199</v>
      </c>
      <c r="L123" s="192">
        <f t="shared" si="51"/>
        <v>45565</v>
      </c>
      <c r="M123" s="188"/>
      <c r="N123" s="188"/>
      <c r="P123" s="98"/>
      <c r="Q123" s="98"/>
    </row>
    <row r="124" spans="3:18">
      <c r="C124" s="19"/>
      <c r="D124" s="19"/>
      <c r="H124" s="188"/>
      <c r="I124" s="188"/>
      <c r="J124" s="188"/>
      <c r="K124" s="188"/>
      <c r="L124" s="188"/>
      <c r="M124" s="188"/>
      <c r="N124" s="188"/>
      <c r="P124" s="98"/>
      <c r="Q124" s="98"/>
    </row>
    <row r="125" spans="3:18">
      <c r="C125" s="53" t="s">
        <v>39</v>
      </c>
      <c r="D125" s="53"/>
      <c r="H125" s="188"/>
      <c r="I125" s="188"/>
      <c r="J125" s="188"/>
      <c r="K125" s="188"/>
      <c r="L125" s="188"/>
      <c r="M125" s="188"/>
      <c r="N125" s="188"/>
      <c r="P125" s="98"/>
      <c r="Q125" s="98"/>
      <c r="R125" s="98"/>
    </row>
    <row r="126" spans="3:18">
      <c r="C126" s="26" t="s">
        <v>45</v>
      </c>
      <c r="D126" s="26"/>
      <c r="H126" s="57">
        <f>G45</f>
        <v>0</v>
      </c>
      <c r="I126" s="57" t="e">
        <f>H45</f>
        <v>#DIV/0!</v>
      </c>
      <c r="J126" s="57" t="e">
        <f>I45</f>
        <v>#DIV/0!</v>
      </c>
      <c r="K126" s="57" t="e">
        <f>J45</f>
        <v>#DIV/0!</v>
      </c>
      <c r="L126" s="57" t="e">
        <f>K45</f>
        <v>#DIV/0!</v>
      </c>
      <c r="M126" s="188"/>
      <c r="N126" s="188" t="s">
        <v>172</v>
      </c>
      <c r="P126" s="98"/>
      <c r="Q126" s="98"/>
    </row>
    <row r="127" spans="3:18">
      <c r="C127" s="26" t="s">
        <v>69</v>
      </c>
      <c r="D127" s="26"/>
      <c r="H127" s="200">
        <v>-50000</v>
      </c>
      <c r="I127" s="200">
        <v>-50000</v>
      </c>
      <c r="J127" s="200">
        <v>-50000</v>
      </c>
      <c r="K127" s="200">
        <v>-50000</v>
      </c>
      <c r="L127" s="200">
        <v>-50000</v>
      </c>
      <c r="M127" s="188"/>
      <c r="N127" s="188" t="s">
        <v>126</v>
      </c>
      <c r="P127" s="98"/>
      <c r="Q127" s="98"/>
    </row>
    <row r="128" spans="3:18">
      <c r="C128" s="111" t="s">
        <v>40</v>
      </c>
      <c r="D128" s="111"/>
      <c r="E128" s="101"/>
      <c r="F128" s="101"/>
      <c r="G128" s="101"/>
      <c r="H128" s="126" t="e">
        <f>SUM(H79,H82,H84,H86,H87)</f>
        <v>#DIV/0!</v>
      </c>
      <c r="I128" s="126" t="e">
        <f>SUM(I79,I82,I84,I86,I87)</f>
        <v>#DIV/0!</v>
      </c>
      <c r="J128" s="126" t="e">
        <f>SUM(J79,J82,J84,J86,J87)</f>
        <v>#DIV/0!</v>
      </c>
      <c r="K128" s="126" t="e">
        <f>SUM(K79,K82,K84,K86,K87)</f>
        <v>#DIV/0!</v>
      </c>
      <c r="L128" s="126" t="e">
        <f>SUM(L79,L82,L84,L86,L87)</f>
        <v>#DIV/0!</v>
      </c>
      <c r="M128" s="188"/>
      <c r="N128" s="188" t="s">
        <v>174</v>
      </c>
    </row>
    <row r="129" spans="3:20">
      <c r="C129" s="54" t="s">
        <v>102</v>
      </c>
      <c r="D129" s="54"/>
      <c r="E129" s="6"/>
      <c r="F129" s="6"/>
      <c r="G129" s="6"/>
      <c r="H129" s="162" t="e">
        <f>SUM(H126:H128)</f>
        <v>#DIV/0!</v>
      </c>
      <c r="I129" s="162" t="e">
        <f>SUM(I126:I128)</f>
        <v>#DIV/0!</v>
      </c>
      <c r="J129" s="162" t="e">
        <f>SUM(J126:J128)</f>
        <v>#DIV/0!</v>
      </c>
      <c r="K129" s="162" t="e">
        <f>SUM(K126:K128)</f>
        <v>#DIV/0!</v>
      </c>
      <c r="L129" s="162" t="e">
        <f>SUM(L126:L128)</f>
        <v>#DIV/0!</v>
      </c>
      <c r="M129" s="188"/>
      <c r="N129" s="188"/>
    </row>
    <row r="130" spans="3:20">
      <c r="C130" s="6"/>
      <c r="D130" s="6"/>
      <c r="H130" s="188"/>
      <c r="I130" s="188"/>
      <c r="J130" s="188"/>
      <c r="K130" s="188"/>
      <c r="L130" s="188"/>
      <c r="M130" s="188"/>
      <c r="N130" s="188"/>
    </row>
    <row r="131" spans="3:20">
      <c r="C131" s="19" t="s">
        <v>113</v>
      </c>
      <c r="D131" s="19"/>
      <c r="H131" s="188"/>
      <c r="I131" s="188"/>
      <c r="J131" s="188"/>
      <c r="K131" s="188"/>
      <c r="L131" s="188"/>
      <c r="M131" s="188"/>
      <c r="N131" s="188"/>
    </row>
    <row r="132" spans="3:20">
      <c r="C132" s="26" t="s">
        <v>27</v>
      </c>
      <c r="D132" s="26"/>
      <c r="H132" s="57">
        <f>G135</f>
        <v>0</v>
      </c>
      <c r="I132" s="57" t="e">
        <f>H135</f>
        <v>#DIV/0!</v>
      </c>
      <c r="J132" s="57" t="e">
        <f>I135</f>
        <v>#DIV/0!</v>
      </c>
      <c r="K132" s="57" t="e">
        <f>J135</f>
        <v>#DIV/0!</v>
      </c>
      <c r="L132" s="57" t="e">
        <f>K135</f>
        <v>#DIV/0!</v>
      </c>
      <c r="M132" s="188"/>
      <c r="N132" s="188" t="s">
        <v>167</v>
      </c>
    </row>
    <row r="133" spans="3:20">
      <c r="C133" s="47" t="s">
        <v>176</v>
      </c>
      <c r="D133" s="47"/>
      <c r="H133" s="57" t="e">
        <f>-MIN(H129,H132)</f>
        <v>#DIV/0!</v>
      </c>
      <c r="I133" s="57" t="e">
        <f>-MIN(I129,I132)</f>
        <v>#DIV/0!</v>
      </c>
      <c r="J133" s="57" t="e">
        <f>-MIN(J129,J132)</f>
        <v>#DIV/0!</v>
      </c>
      <c r="K133" s="57" t="e">
        <f>-MIN(K129,K132)</f>
        <v>#DIV/0!</v>
      </c>
      <c r="L133" s="57" t="e">
        <f>-MIN(L129,L132)</f>
        <v>#DIV/0!</v>
      </c>
      <c r="M133" s="188"/>
      <c r="N133" s="188" t="s">
        <v>175</v>
      </c>
    </row>
    <row r="134" spans="3:20">
      <c r="C134" s="103" t="s">
        <v>128</v>
      </c>
      <c r="D134" s="103"/>
      <c r="E134" s="101"/>
      <c r="F134" s="101"/>
      <c r="G134" s="101"/>
      <c r="H134" s="201">
        <v>12000</v>
      </c>
      <c r="I134" s="201">
        <v>12000</v>
      </c>
      <c r="J134" s="201">
        <v>12000</v>
      </c>
      <c r="K134" s="201">
        <v>12000</v>
      </c>
      <c r="L134" s="201">
        <v>12000</v>
      </c>
      <c r="M134" s="188"/>
      <c r="N134" s="188" t="s">
        <v>126</v>
      </c>
    </row>
    <row r="135" spans="3:20">
      <c r="C135" s="26" t="s">
        <v>28</v>
      </c>
      <c r="D135" s="26"/>
      <c r="E135" s="102">
        <f>E56</f>
        <v>11977</v>
      </c>
      <c r="F135" s="102">
        <f>F56</f>
        <v>11964</v>
      </c>
      <c r="G135" s="102">
        <f>G56</f>
        <v>0</v>
      </c>
      <c r="H135" s="202" t="e">
        <f>SUM(H132:H134)</f>
        <v>#DIV/0!</v>
      </c>
      <c r="I135" s="202" t="e">
        <f>SUM(I132:I134)</f>
        <v>#DIV/0!</v>
      </c>
      <c r="J135" s="202" t="e">
        <f>SUM(J132:J134)</f>
        <v>#DIV/0!</v>
      </c>
      <c r="K135" s="202" t="e">
        <f>SUM(K132:K134)</f>
        <v>#DIV/0!</v>
      </c>
      <c r="L135" s="202" t="e">
        <f>SUM(L132:L134)</f>
        <v>#DIV/0!</v>
      </c>
      <c r="M135" s="188"/>
      <c r="N135" s="188"/>
    </row>
    <row r="136" spans="3:20">
      <c r="C136" s="117" t="s">
        <v>119</v>
      </c>
      <c r="D136" s="513"/>
      <c r="E136" s="122"/>
      <c r="F136" s="122"/>
      <c r="G136" s="123"/>
      <c r="H136" s="203" t="e">
        <f>IF(H135&lt;0,"Negative Debt","OK")</f>
        <v>#DIV/0!</v>
      </c>
      <c r="I136" s="203" t="e">
        <f>IF(I135&lt;0,"Negative Debt","OK")</f>
        <v>#DIV/0!</v>
      </c>
      <c r="J136" s="203" t="e">
        <f>IF(J135&lt;0,"Negative Debt","OK")</f>
        <v>#DIV/0!</v>
      </c>
      <c r="K136" s="203" t="e">
        <f>IF(K135&lt;0,"Negative Debt","OK")</f>
        <v>#DIV/0!</v>
      </c>
      <c r="L136" s="204" t="e">
        <f>IF(L135&lt;0,"Negative Debt","OK")</f>
        <v>#DIV/0!</v>
      </c>
      <c r="M136" s="21"/>
      <c r="N136" s="188"/>
      <c r="T136" s="68"/>
    </row>
    <row r="137" spans="3:20">
      <c r="E137" s="22"/>
      <c r="F137" s="22"/>
      <c r="G137" s="120"/>
      <c r="H137" s="205"/>
      <c r="I137" s="205"/>
      <c r="J137" s="205"/>
      <c r="K137" s="205"/>
      <c r="L137" s="205"/>
      <c r="M137" s="21"/>
      <c r="N137" s="188"/>
      <c r="T137" s="68"/>
    </row>
    <row r="138" spans="3:20">
      <c r="C138" s="7" t="s">
        <v>43</v>
      </c>
      <c r="D138" s="7"/>
      <c r="E138" s="48"/>
      <c r="F138" s="48"/>
      <c r="G138" s="48"/>
      <c r="H138" s="206"/>
      <c r="I138" s="206"/>
      <c r="J138" s="206"/>
      <c r="K138" s="206"/>
      <c r="L138" s="206"/>
      <c r="M138" s="188"/>
      <c r="N138" s="188"/>
      <c r="S138" s="99"/>
    </row>
    <row r="139" spans="3:20">
      <c r="C139" s="35" t="str">
        <f t="shared" ref="C139:L140" si="52">C14</f>
        <v xml:space="preserve">Fiscal year  </v>
      </c>
      <c r="D139" s="35"/>
      <c r="E139" s="30">
        <f t="shared" si="52"/>
        <v>2017</v>
      </c>
      <c r="F139" s="30">
        <f t="shared" si="52"/>
        <v>2018</v>
      </c>
      <c r="G139" s="30">
        <f t="shared" si="52"/>
        <v>2019</v>
      </c>
      <c r="H139" s="191">
        <f t="shared" si="52"/>
        <v>2020</v>
      </c>
      <c r="I139" s="191">
        <f t="shared" si="52"/>
        <v>2021</v>
      </c>
      <c r="J139" s="191">
        <f t="shared" si="52"/>
        <v>2022</v>
      </c>
      <c r="K139" s="191">
        <f t="shared" si="52"/>
        <v>2023</v>
      </c>
      <c r="L139" s="191">
        <f t="shared" si="52"/>
        <v>2024</v>
      </c>
      <c r="M139" s="188"/>
      <c r="N139" s="188"/>
      <c r="S139" s="99"/>
      <c r="T139" s="68"/>
    </row>
    <row r="140" spans="3:20">
      <c r="C140" s="9" t="str">
        <f t="shared" si="52"/>
        <v>Fiscal year end date</v>
      </c>
      <c r="D140" s="9"/>
      <c r="E140" s="32">
        <f t="shared" si="52"/>
        <v>43373</v>
      </c>
      <c r="F140" s="32">
        <f t="shared" si="52"/>
        <v>43737</v>
      </c>
      <c r="G140" s="32">
        <f t="shared" si="52"/>
        <v>43737</v>
      </c>
      <c r="H140" s="192">
        <f t="shared" si="52"/>
        <v>44104</v>
      </c>
      <c r="I140" s="192">
        <f t="shared" si="52"/>
        <v>44469</v>
      </c>
      <c r="J140" s="192">
        <f t="shared" si="52"/>
        <v>44834</v>
      </c>
      <c r="K140" s="192">
        <f t="shared" si="52"/>
        <v>45199</v>
      </c>
      <c r="L140" s="192">
        <f t="shared" si="52"/>
        <v>45565</v>
      </c>
      <c r="M140" s="188"/>
      <c r="N140" s="188"/>
      <c r="S140" s="99"/>
    </row>
    <row r="141" spans="3:20">
      <c r="C141" s="26"/>
      <c r="D141" s="26"/>
      <c r="E141" s="34"/>
      <c r="F141" s="34"/>
      <c r="G141" s="34"/>
      <c r="H141" s="207"/>
      <c r="I141" s="207"/>
      <c r="J141" s="207"/>
      <c r="K141" s="207"/>
      <c r="L141" s="207"/>
      <c r="M141" s="188"/>
      <c r="N141" s="188"/>
      <c r="S141" s="99"/>
    </row>
    <row r="142" spans="3:20">
      <c r="C142" s="41" t="s">
        <v>120</v>
      </c>
      <c r="D142" s="41"/>
      <c r="E142" s="34">
        <f>-(E24)</f>
        <v>2323</v>
      </c>
      <c r="F142" s="34">
        <f>-(F24)</f>
        <v>3240</v>
      </c>
      <c r="G142" s="22">
        <f>-(G24)</f>
        <v>0</v>
      </c>
      <c r="H142" s="61">
        <f>H147+H152</f>
        <v>0</v>
      </c>
      <c r="I142" s="61">
        <f>I147+I152</f>
        <v>0</v>
      </c>
      <c r="J142" s="61">
        <f>J147+J152</f>
        <v>0</v>
      </c>
      <c r="K142" s="61">
        <f>K147+K152</f>
        <v>0</v>
      </c>
      <c r="L142" s="61">
        <f>L147+L152</f>
        <v>0</v>
      </c>
      <c r="M142" s="21"/>
      <c r="N142" s="188" t="s">
        <v>178</v>
      </c>
      <c r="S142" s="68"/>
    </row>
    <row r="143" spans="3:20">
      <c r="C143" s="60"/>
      <c r="D143" s="60"/>
      <c r="G143" s="6"/>
      <c r="H143" s="208"/>
      <c r="I143" s="208"/>
      <c r="J143" s="208"/>
      <c r="K143" s="208"/>
      <c r="L143" s="208"/>
      <c r="M143" s="21"/>
      <c r="N143" s="188"/>
      <c r="S143" s="68"/>
    </row>
    <row r="144" spans="3:20">
      <c r="C144" s="94" t="s">
        <v>68</v>
      </c>
      <c r="D144" s="94"/>
      <c r="G144" s="6"/>
      <c r="H144" s="208"/>
      <c r="I144" s="208"/>
      <c r="J144" s="208"/>
      <c r="K144" s="208"/>
      <c r="L144" s="208"/>
      <c r="M144" s="21"/>
      <c r="N144" s="188"/>
      <c r="S144" s="68"/>
    </row>
    <row r="145" spans="3:19">
      <c r="C145" s="26" t="s">
        <v>111</v>
      </c>
      <c r="D145" s="26"/>
      <c r="F145" s="56">
        <v>1.2E-2</v>
      </c>
      <c r="G145" s="124">
        <v>2.18E-2</v>
      </c>
      <c r="H145" s="209">
        <f>G145</f>
        <v>2.18E-2</v>
      </c>
      <c r="I145" s="209">
        <f>H145</f>
        <v>2.18E-2</v>
      </c>
      <c r="J145" s="209">
        <f>I145</f>
        <v>2.18E-2</v>
      </c>
      <c r="K145" s="209">
        <f>J145</f>
        <v>2.18E-2</v>
      </c>
      <c r="L145" s="209">
        <f>K145</f>
        <v>2.18E-2</v>
      </c>
      <c r="M145" s="21"/>
      <c r="N145" s="188" t="s">
        <v>132</v>
      </c>
    </row>
    <row r="146" spans="3:19">
      <c r="C146" s="26" t="s">
        <v>112</v>
      </c>
      <c r="D146" s="26"/>
      <c r="E146" s="102"/>
      <c r="F146" s="102">
        <f t="shared" ref="F146:L146" si="53">F56</f>
        <v>11964</v>
      </c>
      <c r="G146" s="102">
        <f t="shared" si="53"/>
        <v>0</v>
      </c>
      <c r="H146" s="61" t="e">
        <f t="shared" si="53"/>
        <v>#DIV/0!</v>
      </c>
      <c r="I146" s="61" t="e">
        <f t="shared" si="53"/>
        <v>#DIV/0!</v>
      </c>
      <c r="J146" s="61" t="e">
        <f t="shared" si="53"/>
        <v>#DIV/0!</v>
      </c>
      <c r="K146" s="61" t="e">
        <f t="shared" si="53"/>
        <v>#DIV/0!</v>
      </c>
      <c r="L146" s="61" t="e">
        <f t="shared" si="53"/>
        <v>#DIV/0!</v>
      </c>
      <c r="M146" s="21"/>
      <c r="N146" s="188" t="s">
        <v>181</v>
      </c>
    </row>
    <row r="147" spans="3:19">
      <c r="C147" s="163" t="s">
        <v>41</v>
      </c>
      <c r="D147" s="514"/>
      <c r="E147" s="22"/>
      <c r="F147" s="51">
        <f>AVERAGE(E146:F146)*F145</f>
        <v>143.56800000000001</v>
      </c>
      <c r="G147" s="51">
        <f>AVERAGE(F146:G146)*G145</f>
        <v>130.4076</v>
      </c>
      <c r="H147" s="164">
        <f>IF($D$7=1,AVERAGE(G146,H146)*H145,0)</f>
        <v>0</v>
      </c>
      <c r="I147" s="164">
        <f t="shared" ref="I147:L147" si="54">IF($D$7=1,AVERAGE(H146,I146)*I145,0)</f>
        <v>0</v>
      </c>
      <c r="J147" s="164">
        <f t="shared" si="54"/>
        <v>0</v>
      </c>
      <c r="K147" s="164">
        <f t="shared" si="54"/>
        <v>0</v>
      </c>
      <c r="L147" s="164">
        <f t="shared" si="54"/>
        <v>0</v>
      </c>
      <c r="M147" s="21"/>
      <c r="N147" s="188" t="s">
        <v>180</v>
      </c>
    </row>
    <row r="148" spans="3:19">
      <c r="C148" s="81"/>
      <c r="D148" s="81"/>
      <c r="E148" s="34"/>
      <c r="F148" s="34"/>
      <c r="G148" s="22"/>
      <c r="H148" s="208"/>
      <c r="I148" s="208"/>
      <c r="J148" s="208"/>
      <c r="K148" s="208"/>
      <c r="L148" s="208"/>
      <c r="M148" s="21"/>
      <c r="N148" s="188"/>
    </row>
    <row r="149" spans="3:19">
      <c r="C149" s="94" t="s">
        <v>67</v>
      </c>
      <c r="D149" s="94"/>
      <c r="E149" s="34"/>
      <c r="F149" s="34"/>
      <c r="G149" s="22"/>
      <c r="H149" s="208"/>
      <c r="I149" s="208"/>
      <c r="J149" s="208"/>
      <c r="K149" s="208"/>
      <c r="L149" s="208"/>
      <c r="M149" s="21"/>
      <c r="N149" s="188"/>
    </row>
    <row r="150" spans="3:19">
      <c r="C150" s="26" t="s">
        <v>112</v>
      </c>
      <c r="D150" s="26"/>
      <c r="E150" s="34"/>
      <c r="F150" s="34">
        <f t="shared" ref="F150:L150" si="55">F57</f>
        <v>102519</v>
      </c>
      <c r="G150" s="22">
        <f t="shared" si="55"/>
        <v>0</v>
      </c>
      <c r="H150" s="61">
        <f t="shared" si="55"/>
        <v>0</v>
      </c>
      <c r="I150" s="61">
        <f t="shared" si="55"/>
        <v>0</v>
      </c>
      <c r="J150" s="61">
        <f t="shared" si="55"/>
        <v>0</v>
      </c>
      <c r="K150" s="61">
        <f t="shared" si="55"/>
        <v>0</v>
      </c>
      <c r="L150" s="61">
        <f t="shared" si="55"/>
        <v>0</v>
      </c>
      <c r="M150" s="21"/>
      <c r="N150" s="188" t="s">
        <v>183</v>
      </c>
    </row>
    <row r="151" spans="3:19">
      <c r="C151" s="26" t="s">
        <v>111</v>
      </c>
      <c r="D151" s="26"/>
      <c r="F151" s="93">
        <f t="shared" ref="F151" si="56">F152/AVERAGE(E150:F150)</f>
        <v>3.0203493986480551E-2</v>
      </c>
      <c r="G151" s="100">
        <f>G152/AVERAGE(F150:G150)</f>
        <v>-2.5440669534427763E-3</v>
      </c>
      <c r="H151" s="512">
        <f>G151</f>
        <v>-2.5440669534427763E-3</v>
      </c>
      <c r="I151" s="512">
        <f>H151</f>
        <v>-2.5440669534427763E-3</v>
      </c>
      <c r="J151" s="512">
        <f>I151</f>
        <v>-2.5440669534427763E-3</v>
      </c>
      <c r="K151" s="512">
        <f>J151</f>
        <v>-2.5440669534427763E-3</v>
      </c>
      <c r="L151" s="512">
        <f>K151</f>
        <v>-2.5440669534427763E-3</v>
      </c>
      <c r="M151" s="21"/>
      <c r="N151" s="188" t="s">
        <v>132</v>
      </c>
      <c r="S151" s="99"/>
    </row>
    <row r="152" spans="3:19">
      <c r="C152" s="54" t="s">
        <v>186</v>
      </c>
      <c r="D152" s="54"/>
      <c r="E152" s="52"/>
      <c r="F152" s="52">
        <f>F142-F147</f>
        <v>3096.4319999999998</v>
      </c>
      <c r="G152" s="51">
        <f>G142-G147</f>
        <v>-130.4076</v>
      </c>
      <c r="H152" s="20">
        <f>H151*AVERAGE(G150:H150)</f>
        <v>0</v>
      </c>
      <c r="I152" s="20">
        <f>I151*AVERAGE(H150:I150)</f>
        <v>0</v>
      </c>
      <c r="J152" s="20">
        <f>J151*AVERAGE(I150:J150)</f>
        <v>0</v>
      </c>
      <c r="K152" s="20">
        <f>K151*AVERAGE(J150:K150)</f>
        <v>0</v>
      </c>
      <c r="L152" s="20">
        <f>L151*AVERAGE(K150:L150)</f>
        <v>0</v>
      </c>
      <c r="M152" s="21"/>
      <c r="N152" s="188" t="s">
        <v>114</v>
      </c>
    </row>
    <row r="153" spans="3:19">
      <c r="F153" s="34"/>
      <c r="G153" s="6"/>
      <c r="H153" s="208"/>
      <c r="I153" s="208"/>
      <c r="J153" s="208"/>
      <c r="K153" s="208"/>
      <c r="L153" s="208"/>
      <c r="M153" s="21"/>
      <c r="N153" s="188"/>
    </row>
    <row r="154" spans="3:19">
      <c r="C154" s="60" t="s">
        <v>42</v>
      </c>
      <c r="D154" s="60"/>
      <c r="F154" s="34"/>
      <c r="G154" s="22"/>
      <c r="H154" s="208"/>
      <c r="I154" s="208"/>
      <c r="J154" s="208"/>
      <c r="K154" s="208"/>
      <c r="L154" s="208"/>
      <c r="M154" s="21"/>
      <c r="N154" s="188"/>
    </row>
    <row r="155" spans="3:19" ht="15" customHeight="1">
      <c r="C155" s="26" t="s">
        <v>115</v>
      </c>
      <c r="D155" s="26"/>
      <c r="E155" s="55">
        <v>1.7299999999999999E-2</v>
      </c>
      <c r="F155" s="56">
        <v>1.9900000000000001E-2</v>
      </c>
      <c r="G155" s="124">
        <v>2.1600000000000001E-2</v>
      </c>
      <c r="H155" s="210">
        <f>G155</f>
        <v>2.1600000000000001E-2</v>
      </c>
      <c r="I155" s="210">
        <f>H155</f>
        <v>2.1600000000000001E-2</v>
      </c>
      <c r="J155" s="210">
        <f>I155</f>
        <v>2.1600000000000001E-2</v>
      </c>
      <c r="K155" s="210">
        <f>J155</f>
        <v>2.1600000000000001E-2</v>
      </c>
      <c r="L155" s="210">
        <f>K155</f>
        <v>2.1600000000000001E-2</v>
      </c>
      <c r="M155" s="21"/>
      <c r="N155" s="188" t="s">
        <v>132</v>
      </c>
    </row>
    <row r="156" spans="3:19" ht="15" customHeight="1">
      <c r="C156" s="26" t="s">
        <v>4</v>
      </c>
      <c r="D156" s="26"/>
      <c r="E156" s="34">
        <f>E23</f>
        <v>5201</v>
      </c>
      <c r="F156" s="34">
        <f>F23</f>
        <v>5686</v>
      </c>
      <c r="G156" s="22">
        <f>G23</f>
        <v>0</v>
      </c>
      <c r="H156" s="38">
        <f>IF($D$7=1,AVERAGE(G45,H45)*H155,0)</f>
        <v>0</v>
      </c>
      <c r="I156" s="38">
        <f t="shared" ref="I156:L156" si="57">IF($D$7=1,AVERAGE(H45,I45)*I155,0)</f>
        <v>0</v>
      </c>
      <c r="J156" s="38">
        <f t="shared" si="57"/>
        <v>0</v>
      </c>
      <c r="K156" s="38">
        <f t="shared" si="57"/>
        <v>0</v>
      </c>
      <c r="L156" s="38">
        <f t="shared" si="57"/>
        <v>0</v>
      </c>
      <c r="M156" s="21"/>
      <c r="N156" s="188" t="s">
        <v>184</v>
      </c>
    </row>
    <row r="157" spans="3:19">
      <c r="C157" s="65"/>
      <c r="D157" s="65"/>
      <c r="E157" s="100"/>
      <c r="F157" s="93"/>
      <c r="G157" s="93"/>
      <c r="H157" s="100"/>
      <c r="I157" s="100"/>
      <c r="J157" s="6"/>
      <c r="K157" s="6"/>
      <c r="L157" s="6"/>
    </row>
    <row r="158" spans="3:19">
      <c r="C158" s="7" t="s">
        <v>214</v>
      </c>
      <c r="D158" s="7"/>
      <c r="E158" s="7"/>
      <c r="F158" s="7"/>
      <c r="G158" s="7"/>
      <c r="H158" s="7"/>
      <c r="I158" s="7"/>
      <c r="J158" s="7"/>
      <c r="K158" s="7"/>
      <c r="L158" s="7"/>
    </row>
    <row r="159" spans="3:19">
      <c r="C159" s="35" t="str">
        <f t="shared" ref="C159:K159" si="58">C14</f>
        <v xml:space="preserve">Fiscal year  </v>
      </c>
      <c r="D159" s="35"/>
      <c r="E159" s="30">
        <f t="shared" si="58"/>
        <v>2017</v>
      </c>
      <c r="F159" s="30">
        <f t="shared" si="58"/>
        <v>2018</v>
      </c>
      <c r="G159" s="30">
        <f t="shared" si="58"/>
        <v>2019</v>
      </c>
      <c r="H159" s="191">
        <f t="shared" si="58"/>
        <v>2020</v>
      </c>
      <c r="I159" s="191">
        <f t="shared" si="58"/>
        <v>2021</v>
      </c>
      <c r="J159" s="191">
        <f t="shared" si="58"/>
        <v>2022</v>
      </c>
      <c r="K159" s="191">
        <f t="shared" si="58"/>
        <v>2023</v>
      </c>
      <c r="L159" s="191">
        <f>L14</f>
        <v>2024</v>
      </c>
    </row>
    <row r="160" spans="3:19">
      <c r="C160" s="9" t="str">
        <f t="shared" ref="C160:L160" si="59">C15</f>
        <v>Fiscal year end date</v>
      </c>
      <c r="D160" s="9"/>
      <c r="E160" s="32">
        <f t="shared" si="59"/>
        <v>43373</v>
      </c>
      <c r="F160" s="32">
        <f t="shared" si="59"/>
        <v>43737</v>
      </c>
      <c r="G160" s="32">
        <f t="shared" si="59"/>
        <v>43737</v>
      </c>
      <c r="H160" s="192">
        <f t="shared" si="59"/>
        <v>44104</v>
      </c>
      <c r="I160" s="192">
        <f t="shared" si="59"/>
        <v>44469</v>
      </c>
      <c r="J160" s="192">
        <f t="shared" si="59"/>
        <v>44834</v>
      </c>
      <c r="K160" s="192">
        <f t="shared" si="59"/>
        <v>45199</v>
      </c>
      <c r="L160" s="192">
        <f t="shared" si="59"/>
        <v>45565</v>
      </c>
    </row>
    <row r="161" spans="3:14">
      <c r="H161" s="66"/>
      <c r="I161" s="66"/>
      <c r="J161" s="66"/>
      <c r="K161" s="27"/>
      <c r="L161" s="27"/>
    </row>
    <row r="162" spans="3:14">
      <c r="C162" s="5" t="s">
        <v>2</v>
      </c>
      <c r="E162" s="57">
        <f>E28</f>
        <v>48351</v>
      </c>
      <c r="F162" s="57">
        <f t="shared" ref="F162:L162" si="60">F28</f>
        <v>59531</v>
      </c>
      <c r="G162" s="57">
        <f t="shared" si="60"/>
        <v>260174</v>
      </c>
      <c r="H162" s="57">
        <f t="shared" si="60"/>
        <v>275784.44</v>
      </c>
      <c r="I162" s="57">
        <f t="shared" si="60"/>
        <v>294813.56636</v>
      </c>
      <c r="J162" s="57">
        <f t="shared" si="60"/>
        <v>315155.70243884</v>
      </c>
      <c r="K162" s="57">
        <f t="shared" si="60"/>
        <v>336901.44590711995</v>
      </c>
      <c r="L162" s="57">
        <f t="shared" si="60"/>
        <v>360147.64567471121</v>
      </c>
      <c r="N162" s="5" t="s">
        <v>223</v>
      </c>
    </row>
    <row r="163" spans="3:14">
      <c r="C163" s="5" t="s">
        <v>215</v>
      </c>
      <c r="E163" s="200">
        <v>5470.82</v>
      </c>
      <c r="F163" s="200">
        <v>5217.2420000000002</v>
      </c>
      <c r="G163" s="200">
        <v>4955.3770000000004</v>
      </c>
      <c r="H163" s="57">
        <f>G163+(-H169+H170)/H171</f>
        <v>4549.5103333333336</v>
      </c>
      <c r="I163" s="57">
        <f t="shared" ref="I163:L163" si="61">H163+(-I169+I170)/I171</f>
        <v>4196.5827971014496</v>
      </c>
      <c r="J163" s="57">
        <f t="shared" si="61"/>
        <v>3889.6892873345937</v>
      </c>
      <c r="K163" s="57">
        <f t="shared" si="61"/>
        <v>3622.8253657981973</v>
      </c>
      <c r="L163" s="57">
        <f t="shared" si="61"/>
        <v>3390.7697818535048</v>
      </c>
      <c r="N163" s="5" t="s">
        <v>301</v>
      </c>
    </row>
    <row r="164" spans="3:14">
      <c r="C164" s="24" t="s">
        <v>216</v>
      </c>
      <c r="D164" s="24"/>
      <c r="E164" s="397">
        <f t="shared" ref="E164:L164" si="62">E162/E163</f>
        <v>8.837980412442743</v>
      </c>
      <c r="F164" s="397">
        <f t="shared" si="62"/>
        <v>11.410434861944299</v>
      </c>
      <c r="G164" s="397">
        <f t="shared" si="62"/>
        <v>52.503371590092939</v>
      </c>
      <c r="H164" s="397">
        <f t="shared" si="62"/>
        <v>60.618488539169526</v>
      </c>
      <c r="I164" s="397">
        <f t="shared" si="62"/>
        <v>70.250863765544111</v>
      </c>
      <c r="J164" s="397">
        <f t="shared" si="62"/>
        <v>81.023361805539011</v>
      </c>
      <c r="K164" s="397">
        <f t="shared" si="62"/>
        <v>92.994116991585187</v>
      </c>
      <c r="L164" s="397">
        <f t="shared" si="62"/>
        <v>106.21412506449872</v>
      </c>
      <c r="N164" s="5" t="s">
        <v>226</v>
      </c>
    </row>
    <row r="165" spans="3:14">
      <c r="E165" s="200"/>
      <c r="F165" s="200"/>
      <c r="G165" s="200"/>
      <c r="H165" s="57"/>
      <c r="I165" s="188"/>
      <c r="J165" s="188"/>
      <c r="K165" s="188"/>
      <c r="L165" s="188"/>
    </row>
    <row r="166" spans="3:14">
      <c r="C166" s="5" t="s">
        <v>217</v>
      </c>
      <c r="E166" s="200">
        <v>5500.2809999999999</v>
      </c>
      <c r="F166" s="200">
        <v>5251.692</v>
      </c>
      <c r="G166" s="200">
        <v>5000.1090000000004</v>
      </c>
      <c r="H166" s="57">
        <f>H163+G166-G163</f>
        <v>4594.2423333333336</v>
      </c>
      <c r="I166" s="57">
        <f t="shared" ref="I166:L166" si="63">I163+H166-H163</f>
        <v>4241.3147971014496</v>
      </c>
      <c r="J166" s="57">
        <f t="shared" si="63"/>
        <v>3934.4212873345932</v>
      </c>
      <c r="K166" s="57">
        <f t="shared" si="63"/>
        <v>3667.5573657981963</v>
      </c>
      <c r="L166" s="57">
        <f t="shared" si="63"/>
        <v>3435.5017818535039</v>
      </c>
      <c r="N166" s="5" t="s">
        <v>227</v>
      </c>
    </row>
    <row r="167" spans="3:14">
      <c r="C167" s="24" t="s">
        <v>218</v>
      </c>
      <c r="D167" s="24"/>
      <c r="E167" s="397">
        <f>E162/E166</f>
        <v>8.7906417872105074</v>
      </c>
      <c r="F167" s="397">
        <f t="shared" ref="F167:L167" si="64">F162/F166</f>
        <v>11.335584798194564</v>
      </c>
      <c r="G167" s="397">
        <f t="shared" si="64"/>
        <v>52.033665666088474</v>
      </c>
      <c r="H167" s="397">
        <f t="shared" si="64"/>
        <v>60.028274520709871</v>
      </c>
      <c r="I167" s="397">
        <f t="shared" si="64"/>
        <v>69.50994690643526</v>
      </c>
      <c r="J167" s="397">
        <f t="shared" si="64"/>
        <v>80.102174989080765</v>
      </c>
      <c r="K167" s="397">
        <f t="shared" si="64"/>
        <v>91.859898102452092</v>
      </c>
      <c r="L167" s="397">
        <f t="shared" si="64"/>
        <v>104.8311625326552</v>
      </c>
      <c r="N167" s="5" t="s">
        <v>228</v>
      </c>
    </row>
    <row r="168" spans="3:14">
      <c r="E168" s="188"/>
      <c r="F168" s="188"/>
      <c r="G168" s="188"/>
      <c r="H168" s="515"/>
      <c r="I168" s="188"/>
      <c r="J168" s="188"/>
      <c r="K168" s="188"/>
      <c r="L168" s="188"/>
    </row>
    <row r="169" spans="3:14">
      <c r="C169" s="5" t="s">
        <v>224</v>
      </c>
      <c r="E169" s="188"/>
      <c r="F169" s="188"/>
      <c r="G169" s="188"/>
      <c r="H169" s="57">
        <f>-(H86)</f>
        <v>73056</v>
      </c>
      <c r="I169" s="57">
        <f t="shared" ref="I169:L169" si="65">-(I86)</f>
        <v>73056</v>
      </c>
      <c r="J169" s="57">
        <f t="shared" si="65"/>
        <v>73056</v>
      </c>
      <c r="K169" s="57">
        <f t="shared" si="65"/>
        <v>73056</v>
      </c>
      <c r="L169" s="57">
        <f t="shared" si="65"/>
        <v>73056</v>
      </c>
      <c r="N169" s="5" t="s">
        <v>221</v>
      </c>
    </row>
    <row r="170" spans="3:14">
      <c r="C170" s="5" t="s">
        <v>225</v>
      </c>
      <c r="E170" s="188"/>
      <c r="F170" s="188"/>
      <c r="G170" s="188"/>
      <c r="H170" s="38">
        <f>H32</f>
        <v>0</v>
      </c>
      <c r="I170" s="38">
        <f t="shared" ref="I170:L170" si="66">I32</f>
        <v>0</v>
      </c>
      <c r="J170" s="38">
        <f t="shared" si="66"/>
        <v>0</v>
      </c>
      <c r="K170" s="38">
        <f t="shared" si="66"/>
        <v>0</v>
      </c>
      <c r="L170" s="38">
        <f t="shared" si="66"/>
        <v>0</v>
      </c>
      <c r="N170" s="5" t="s">
        <v>222</v>
      </c>
    </row>
    <row r="171" spans="3:14">
      <c r="C171" s="5" t="s">
        <v>220</v>
      </c>
      <c r="E171" s="188"/>
      <c r="F171" s="188"/>
      <c r="G171" s="188"/>
      <c r="H171" s="516">
        <v>180</v>
      </c>
      <c r="I171" s="515">
        <f>H171*(1+I172)</f>
        <v>206.99999999999997</v>
      </c>
      <c r="J171" s="515">
        <f>I171*(1+J172)</f>
        <v>238.04999999999995</v>
      </c>
      <c r="K171" s="515">
        <f>J171*(1+K172)</f>
        <v>273.75749999999994</v>
      </c>
      <c r="L171" s="515">
        <f>K171*(1+L172)</f>
        <v>314.82112499999988</v>
      </c>
      <c r="N171" s="5" t="s">
        <v>229</v>
      </c>
    </row>
    <row r="172" spans="3:14">
      <c r="C172" s="5" t="s">
        <v>219</v>
      </c>
      <c r="E172" s="188"/>
      <c r="F172" s="188"/>
      <c r="G172" s="188"/>
      <c r="H172" s="188"/>
      <c r="I172" s="399">
        <v>0.15</v>
      </c>
      <c r="J172" s="399">
        <v>0.15</v>
      </c>
      <c r="K172" s="399">
        <v>0.15</v>
      </c>
      <c r="L172" s="399">
        <v>0.15</v>
      </c>
      <c r="N172" s="5" t="s">
        <v>300</v>
      </c>
    </row>
    <row r="173" spans="3:14">
      <c r="E173" s="188"/>
      <c r="F173" s="188"/>
      <c r="G173" s="188"/>
      <c r="H173" s="21"/>
      <c r="I173" s="188"/>
      <c r="J173" s="188"/>
      <c r="K173" s="188"/>
      <c r="L173" s="188"/>
      <c r="N173" s="25" t="s">
        <v>302</v>
      </c>
    </row>
    <row r="174" spans="3:14">
      <c r="C174" s="24" t="s">
        <v>295</v>
      </c>
      <c r="D174" s="24"/>
      <c r="E174" s="520"/>
      <c r="F174" s="520"/>
      <c r="G174" s="521" t="s">
        <v>303</v>
      </c>
      <c r="H174" s="518">
        <f>D11</f>
        <v>4745.3980000000001</v>
      </c>
      <c r="I174" s="162">
        <f>H176</f>
        <v>4339.5313333333334</v>
      </c>
      <c r="J174" s="194">
        <f t="shared" ref="J174:L174" si="67">I176</f>
        <v>3986.6037971014493</v>
      </c>
      <c r="K174" s="194">
        <f t="shared" si="67"/>
        <v>3679.7102873345934</v>
      </c>
      <c r="L174" s="194">
        <f t="shared" si="67"/>
        <v>3412.846365798197</v>
      </c>
      <c r="N174" s="5" t="s">
        <v>304</v>
      </c>
    </row>
    <row r="175" spans="3:14">
      <c r="C175" s="5" t="s">
        <v>296</v>
      </c>
      <c r="E175" s="188"/>
      <c r="F175" s="188"/>
      <c r="G175" s="188"/>
      <c r="H175" s="61">
        <f>(-H169+H170)/H171</f>
        <v>-405.86666666666667</v>
      </c>
      <c r="I175" s="57">
        <f t="shared" ref="I175:L175" si="68">(-I169+I170)/I171</f>
        <v>-352.92753623188412</v>
      </c>
      <c r="J175" s="57">
        <f t="shared" si="68"/>
        <v>-306.89350976685574</v>
      </c>
      <c r="K175" s="57">
        <f t="shared" si="68"/>
        <v>-266.86392153639633</v>
      </c>
      <c r="L175" s="57">
        <f t="shared" si="68"/>
        <v>-232.0555839446925</v>
      </c>
      <c r="N175" s="5" t="s">
        <v>305</v>
      </c>
    </row>
    <row r="176" spans="3:14">
      <c r="C176" s="5" t="s">
        <v>297</v>
      </c>
      <c r="E176" s="188"/>
      <c r="F176" s="188"/>
      <c r="G176" s="188"/>
      <c r="H176" s="57">
        <f>SUM(H174:H175)</f>
        <v>4339.5313333333334</v>
      </c>
      <c r="I176" s="57">
        <f t="shared" ref="I176:L176" si="69">SUM(I174:I175)</f>
        <v>3986.6037971014493</v>
      </c>
      <c r="J176" s="57">
        <f t="shared" si="69"/>
        <v>3679.7102873345934</v>
      </c>
      <c r="K176" s="57">
        <f t="shared" si="69"/>
        <v>3412.846365798197</v>
      </c>
      <c r="L176" s="57">
        <f t="shared" si="69"/>
        <v>3180.7907818535045</v>
      </c>
      <c r="N176" s="5" t="s">
        <v>306</v>
      </c>
    </row>
    <row r="177" spans="3:14">
      <c r="C177" s="24" t="s">
        <v>298</v>
      </c>
      <c r="D177" s="24"/>
      <c r="E177" s="520"/>
      <c r="F177" s="520"/>
      <c r="G177" s="520"/>
      <c r="H177" s="194">
        <f>AVERAGE(H176,H174)</f>
        <v>4542.4646666666667</v>
      </c>
      <c r="I177" s="194">
        <f t="shared" ref="I177:L177" si="70">AVERAGE(I176,I174)</f>
        <v>4163.0675652173913</v>
      </c>
      <c r="J177" s="194">
        <f t="shared" si="70"/>
        <v>3833.1570422180212</v>
      </c>
      <c r="K177" s="194">
        <f t="shared" si="70"/>
        <v>3546.2783265663952</v>
      </c>
      <c r="L177" s="194">
        <f t="shared" si="70"/>
        <v>3296.8185738258508</v>
      </c>
      <c r="N177" s="5" t="s">
        <v>307</v>
      </c>
    </row>
    <row r="178" spans="3:14">
      <c r="E178" s="188"/>
      <c r="F178" s="188"/>
      <c r="G178" s="188"/>
      <c r="H178" s="188"/>
      <c r="I178" s="188"/>
      <c r="J178" s="188"/>
      <c r="K178" s="188"/>
      <c r="L178" s="188"/>
      <c r="N178" s="25" t="s">
        <v>308</v>
      </c>
    </row>
    <row r="179" spans="3:14">
      <c r="C179" s="24" t="s">
        <v>2</v>
      </c>
      <c r="D179" s="24"/>
      <c r="E179" s="194">
        <f>E162</f>
        <v>48351</v>
      </c>
      <c r="F179" s="194">
        <f t="shared" ref="F179:L179" si="71">F162</f>
        <v>59531</v>
      </c>
      <c r="G179" s="194">
        <f t="shared" si="71"/>
        <v>260174</v>
      </c>
      <c r="H179" s="194">
        <f t="shared" si="71"/>
        <v>275784.44</v>
      </c>
      <c r="I179" s="194">
        <f t="shared" si="71"/>
        <v>294813.56636</v>
      </c>
      <c r="J179" s="194">
        <f t="shared" si="71"/>
        <v>315155.70243884</v>
      </c>
      <c r="K179" s="194">
        <f t="shared" si="71"/>
        <v>336901.44590711995</v>
      </c>
      <c r="L179" s="194">
        <f t="shared" si="71"/>
        <v>360147.64567471121</v>
      </c>
      <c r="N179" s="5" t="s">
        <v>309</v>
      </c>
    </row>
    <row r="180" spans="3:14">
      <c r="C180" s="211" t="s">
        <v>299</v>
      </c>
      <c r="D180" s="211"/>
      <c r="E180" s="188"/>
      <c r="F180" s="407">
        <f>F179/E179-1</f>
        <v>0.23122582780087275</v>
      </c>
      <c r="G180" s="522">
        <f t="shared" ref="G180:L180" si="72">G179/F179-1</f>
        <v>3.3703952562530448</v>
      </c>
      <c r="H180" s="522">
        <f>H179/G179-1</f>
        <v>6.0000000000000053E-2</v>
      </c>
      <c r="I180" s="522">
        <f t="shared" si="72"/>
        <v>6.899999999999995E-2</v>
      </c>
      <c r="J180" s="522">
        <f t="shared" si="72"/>
        <v>6.899999999999995E-2</v>
      </c>
      <c r="K180" s="522">
        <f t="shared" si="72"/>
        <v>6.899999999999995E-2</v>
      </c>
      <c r="L180" s="522">
        <f t="shared" si="72"/>
        <v>6.899999999999995E-2</v>
      </c>
      <c r="N180" s="5" t="s">
        <v>310</v>
      </c>
    </row>
  </sheetData>
  <conditionalFormatting sqref="C39:D39">
    <cfRule type="expression" dxfId="3" priority="1">
      <formula>#REF!=$C39</formula>
    </cfRule>
  </conditionalFormatting>
  <dataValidations disablePrompts="1" count="2">
    <dataValidation type="list" allowBlank="1" showInputMessage="1" showErrorMessage="1" sqref="C3" xr:uid="{A0F726F8-3E4E-46A6-AB28-D2D6451E40B1}">
      <formula1>"$ bns except per share, $ mm except per share,$ in thousands except per share"</formula1>
    </dataValidation>
    <dataValidation type="list" allowBlank="1" showInputMessage="1" showErrorMessage="1" sqref="D7" xr:uid="{050D85DF-956A-49BE-A1BE-8EABC4CAA5F5}">
      <formula1>"0,1"</formula1>
    </dataValidation>
  </dataValidations>
  <pageMargins left="0.7" right="0.7" top="0.75" bottom="0.75" header="0.3" footer="0.3"/>
  <pageSetup scale="30"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CA839-0641-471C-88E3-3ECD02D0554E}">
  <sheetPr>
    <pageSetUpPr fitToPage="1"/>
  </sheetPr>
  <dimension ref="C1:R135"/>
  <sheetViews>
    <sheetView tabSelected="1" topLeftCell="A69" zoomScaleNormal="100" workbookViewId="0">
      <selection activeCell="C71" sqref="C71"/>
    </sheetView>
  </sheetViews>
  <sheetFormatPr defaultColWidth="8.85546875" defaultRowHeight="15"/>
  <cols>
    <col min="1" max="2" width="1.7109375" style="5" customWidth="1"/>
    <col min="3" max="3" width="48" style="5" customWidth="1"/>
    <col min="4" max="11" width="11.7109375" style="5" customWidth="1"/>
    <col min="12" max="12" width="2.7109375" style="188" customWidth="1"/>
    <col min="13" max="15" width="15.7109375" style="5" customWidth="1"/>
    <col min="16" max="18" width="11" style="5" bestFit="1" customWidth="1"/>
    <col min="19" max="16384" width="8.85546875" style="5"/>
  </cols>
  <sheetData>
    <row r="1" spans="3:16" ht="15.75" thickBot="1">
      <c r="L1" s="5"/>
    </row>
    <row r="2" spans="3:16" ht="15.75" thickBot="1">
      <c r="C2" s="96" t="str">
        <f>"Financial Statement Model for "&amp;D5</f>
        <v xml:space="preserve">Financial Statement Model for Qualcomm </v>
      </c>
      <c r="D2" s="79"/>
      <c r="E2" s="79"/>
      <c r="F2" s="79"/>
      <c r="H2" s="87"/>
      <c r="L2" s="5"/>
    </row>
    <row r="3" spans="3:16">
      <c r="C3" s="2" t="s">
        <v>338</v>
      </c>
      <c r="D3" s="64"/>
      <c r="E3" s="64"/>
      <c r="F3" s="64"/>
      <c r="L3" s="5"/>
    </row>
    <row r="4" spans="3:16">
      <c r="J4" s="6"/>
      <c r="K4" s="6"/>
      <c r="L4" s="6"/>
    </row>
    <row r="5" spans="3:16">
      <c r="C5" s="1" t="s">
        <v>5</v>
      </c>
      <c r="D5" s="112" t="s">
        <v>331</v>
      </c>
      <c r="F5"/>
      <c r="J5" s="6"/>
      <c r="K5" s="6"/>
      <c r="L5" s="6"/>
    </row>
    <row r="6" spans="3:16">
      <c r="C6" s="1" t="s">
        <v>6</v>
      </c>
      <c r="D6" s="112" t="s">
        <v>330</v>
      </c>
      <c r="F6"/>
      <c r="J6" s="6"/>
      <c r="K6" s="6"/>
      <c r="L6" s="6"/>
    </row>
    <row r="7" spans="3:16">
      <c r="C7" s="5" t="s">
        <v>109</v>
      </c>
      <c r="D7" s="113">
        <v>1</v>
      </c>
      <c r="F7"/>
      <c r="I7"/>
      <c r="J7" s="6"/>
      <c r="K7" s="6"/>
      <c r="L7" s="6"/>
    </row>
    <row r="8" spans="3:16">
      <c r="C8" s="5" t="s">
        <v>73</v>
      </c>
      <c r="D8" s="114"/>
      <c r="F8"/>
      <c r="J8" s="6"/>
      <c r="K8" s="6"/>
      <c r="L8" s="6"/>
    </row>
    <row r="9" spans="3:16">
      <c r="C9" s="5" t="s">
        <v>9</v>
      </c>
      <c r="D9" s="115"/>
      <c r="F9"/>
      <c r="J9" s="6"/>
      <c r="K9" s="6"/>
      <c r="L9" s="6"/>
    </row>
    <row r="10" spans="3:16">
      <c r="C10" s="1" t="s">
        <v>8</v>
      </c>
      <c r="D10" s="116">
        <v>44465</v>
      </c>
      <c r="J10" s="6"/>
      <c r="K10" s="6"/>
      <c r="L10" s="6"/>
    </row>
    <row r="11" spans="3:16" ht="15" customHeight="1">
      <c r="C11" t="s">
        <v>292</v>
      </c>
      <c r="D11" s="130"/>
      <c r="H11"/>
      <c r="I11"/>
      <c r="J11"/>
      <c r="K11" s="6"/>
      <c r="L11" s="6"/>
    </row>
    <row r="12" spans="3:16">
      <c r="H12"/>
      <c r="I12"/>
      <c r="J12"/>
      <c r="K12" s="524"/>
      <c r="L12" s="524"/>
      <c r="M12" s="266"/>
    </row>
    <row r="13" spans="3:16">
      <c r="C13" s="7" t="s">
        <v>19</v>
      </c>
      <c r="D13" s="9"/>
      <c r="E13" s="9"/>
      <c r="F13" s="9"/>
      <c r="H13"/>
      <c r="I13"/>
      <c r="J13"/>
      <c r="K13" s="525"/>
      <c r="L13" s="525"/>
      <c r="M13" s="1"/>
    </row>
    <row r="14" spans="3:16">
      <c r="C14" s="6" t="s">
        <v>10</v>
      </c>
      <c r="D14" s="10">
        <f>E14-1</f>
        <v>2019</v>
      </c>
      <c r="E14" s="10">
        <f>F14-1</f>
        <v>2020</v>
      </c>
      <c r="F14" s="10">
        <f>YEAR(D10)</f>
        <v>2021</v>
      </c>
      <c r="G14" s="538">
        <f>F14+1</f>
        <v>2022</v>
      </c>
      <c r="H14" s="538">
        <f t="shared" ref="H14:K14" si="0">G14+1</f>
        <v>2023</v>
      </c>
      <c r="I14" s="538">
        <f t="shared" si="0"/>
        <v>2024</v>
      </c>
      <c r="J14" s="538">
        <f t="shared" si="0"/>
        <v>2025</v>
      </c>
      <c r="K14" s="538">
        <f t="shared" si="0"/>
        <v>2026</v>
      </c>
      <c r="L14" s="551"/>
      <c r="M14" s="266"/>
    </row>
    <row r="15" spans="3:16">
      <c r="C15" s="12" t="s">
        <v>7</v>
      </c>
      <c r="D15" s="89">
        <f>EOMONTH(E15,-12)</f>
        <v>43738</v>
      </c>
      <c r="E15" s="89">
        <f>EOMONTH(F15,-12)</f>
        <v>44104</v>
      </c>
      <c r="F15" s="89">
        <f>D10</f>
        <v>44465</v>
      </c>
      <c r="G15" s="89">
        <f>EOMONTH($D$10,12)</f>
        <v>44834</v>
      </c>
      <c r="H15" s="89">
        <f t="shared" ref="H15:K15" si="1">EOMONTH($D$10,12)</f>
        <v>44834</v>
      </c>
      <c r="I15" s="89">
        <f t="shared" si="1"/>
        <v>44834</v>
      </c>
      <c r="J15" s="89">
        <f t="shared" si="1"/>
        <v>44834</v>
      </c>
      <c r="K15" s="89">
        <f t="shared" si="1"/>
        <v>44834</v>
      </c>
      <c r="L15" s="402"/>
      <c r="M15" s="84" t="s">
        <v>86</v>
      </c>
      <c r="P15"/>
    </row>
    <row r="16" spans="3:16">
      <c r="C16" s="14"/>
      <c r="D16" s="15"/>
      <c r="E16" s="16"/>
      <c r="F16" s="16"/>
      <c r="H16"/>
      <c r="I16"/>
      <c r="J16"/>
      <c r="K16"/>
      <c r="L16" s="382"/>
      <c r="N16"/>
      <c r="O16"/>
      <c r="P16"/>
    </row>
    <row r="17" spans="3:15">
      <c r="C17" s="6" t="s">
        <v>11</v>
      </c>
      <c r="D17" s="17">
        <v>24273</v>
      </c>
      <c r="E17" s="17">
        <v>23531</v>
      </c>
      <c r="F17" s="17">
        <v>33566</v>
      </c>
      <c r="G17" s="559">
        <f>F17*(1+G36)</f>
        <v>44149.635920000008</v>
      </c>
      <c r="H17" s="559">
        <f t="shared" ref="H17:K17" si="2">G17*(1+H36)</f>
        <v>46728.549620000005</v>
      </c>
      <c r="I17" s="559">
        <f t="shared" si="2"/>
        <v>49458.105465364439</v>
      </c>
      <c r="J17" s="559">
        <f t="shared" si="2"/>
        <v>52347.102919200588</v>
      </c>
      <c r="K17" s="559">
        <f t="shared" si="2"/>
        <v>55404.855447856913</v>
      </c>
      <c r="L17" s="17"/>
      <c r="M17" s="5" t="s">
        <v>87</v>
      </c>
      <c r="N17"/>
      <c r="O17"/>
    </row>
    <row r="18" spans="3:15" ht="15" customHeight="1">
      <c r="C18" s="6" t="s">
        <v>14</v>
      </c>
      <c r="D18" s="37">
        <v>-8599</v>
      </c>
      <c r="E18" s="37">
        <v>-9255</v>
      </c>
      <c r="F18" s="37">
        <v>-14262</v>
      </c>
      <c r="G18" s="559">
        <f>G19-G17</f>
        <v>-18287.984483124619</v>
      </c>
      <c r="H18" s="559">
        <f t="shared" ref="H18:K18" si="3">H19-H17</f>
        <v>-19485.805191540003</v>
      </c>
      <c r="I18" s="559">
        <f t="shared" si="3"/>
        <v>-20516.122284552639</v>
      </c>
      <c r="J18" s="559">
        <f t="shared" si="3"/>
        <v>-21742.290676835586</v>
      </c>
      <c r="K18" s="559">
        <f t="shared" si="3"/>
        <v>-23033.030244293579</v>
      </c>
      <c r="L18" s="17"/>
      <c r="M18" s="5" t="s">
        <v>88</v>
      </c>
      <c r="N18"/>
      <c r="O18"/>
    </row>
    <row r="19" spans="3:15" ht="15" customHeight="1">
      <c r="C19" s="19" t="s">
        <v>13</v>
      </c>
      <c r="D19" s="43">
        <f>D17+D18</f>
        <v>15674</v>
      </c>
      <c r="E19" s="43">
        <v>14276</v>
      </c>
      <c r="F19" s="43">
        <v>19304</v>
      </c>
      <c r="G19" s="560">
        <f>G17*G37</f>
        <v>25861.651436875389</v>
      </c>
      <c r="H19" s="560">
        <f t="shared" ref="H19:K19" si="4">H17*H37</f>
        <v>27242.744428460002</v>
      </c>
      <c r="I19" s="560">
        <f t="shared" si="4"/>
        <v>28941.9831808118</v>
      </c>
      <c r="J19" s="560">
        <f t="shared" si="4"/>
        <v>30604.812242365002</v>
      </c>
      <c r="K19" s="560">
        <f t="shared" si="4"/>
        <v>32371.825203563334</v>
      </c>
      <c r="L19" s="17"/>
      <c r="M19" s="87" t="s">
        <v>89</v>
      </c>
      <c r="N19"/>
      <c r="O19"/>
    </row>
    <row r="20" spans="3:15" ht="15" customHeight="1">
      <c r="C20" s="21" t="s">
        <v>52</v>
      </c>
      <c r="D20" s="37">
        <v>-5398</v>
      </c>
      <c r="E20" s="37">
        <v>-5975</v>
      </c>
      <c r="F20" s="37">
        <v>-7176</v>
      </c>
      <c r="G20" s="559">
        <f>G38*-G17</f>
        <v>-10155.816337489176</v>
      </c>
      <c r="H20" s="559">
        <f t="shared" ref="H20:K20" si="5">H38*-H17</f>
        <v>-10398.213684365755</v>
      </c>
      <c r="I20" s="559">
        <f t="shared" si="5"/>
        <v>-10634.276884249459</v>
      </c>
      <c r="J20" s="559">
        <f t="shared" si="5"/>
        <v>-10862.43886434709</v>
      </c>
      <c r="K20" s="559">
        <f t="shared" si="5"/>
        <v>-11080.971089571383</v>
      </c>
      <c r="L20" s="17"/>
      <c r="M20" s="87" t="s">
        <v>233</v>
      </c>
      <c r="N20"/>
      <c r="O20"/>
    </row>
    <row r="21" spans="3:15" ht="15" customHeight="1">
      <c r="C21" s="21" t="s">
        <v>16</v>
      </c>
      <c r="D21" s="37">
        <f>-2195-414</f>
        <v>-2609</v>
      </c>
      <c r="E21" s="37">
        <v>-2046</v>
      </c>
      <c r="F21" s="37">
        <v>-2339</v>
      </c>
      <c r="G21" s="559">
        <f>G39*-G17</f>
        <v>-3886.9107388227144</v>
      </c>
      <c r="H21" s="559">
        <f t="shared" ref="H21:K21" si="6">H39*-H17</f>
        <v>-3961.6280143846161</v>
      </c>
      <c r="I21" s="559">
        <f t="shared" si="6"/>
        <v>-4031.8117585318423</v>
      </c>
      <c r="J21" s="559">
        <f t="shared" si="6"/>
        <v>-4096.6773952987251</v>
      </c>
      <c r="K21" s="559">
        <f t="shared" si="6"/>
        <v>-4155.3641585892683</v>
      </c>
      <c r="L21" s="17"/>
      <c r="M21" s="87" t="s">
        <v>235</v>
      </c>
      <c r="N21"/>
      <c r="O21"/>
    </row>
    <row r="22" spans="3:15">
      <c r="C22" s="19" t="s">
        <v>3</v>
      </c>
      <c r="D22" s="20">
        <f>SUM(D19:D21)</f>
        <v>7667</v>
      </c>
      <c r="E22" s="20">
        <v>6255</v>
      </c>
      <c r="F22" s="20">
        <v>9789</v>
      </c>
      <c r="G22" s="560">
        <f>SUM(G19:G21)</f>
        <v>11818.924360563498</v>
      </c>
      <c r="H22" s="560">
        <f t="shared" ref="H22:K22" si="7">SUM(H19:H21)</f>
        <v>12882.902729709633</v>
      </c>
      <c r="I22" s="560">
        <f t="shared" si="7"/>
        <v>14275.894538030498</v>
      </c>
      <c r="J22" s="560">
        <f t="shared" si="7"/>
        <v>15645.695982719186</v>
      </c>
      <c r="K22" s="560">
        <f t="shared" si="7"/>
        <v>17135.489955402682</v>
      </c>
      <c r="L22" s="17"/>
      <c r="M22" s="24" t="s">
        <v>90</v>
      </c>
      <c r="N22"/>
      <c r="O22"/>
    </row>
    <row r="23" spans="3:15">
      <c r="C23" s="6" t="s">
        <v>4</v>
      </c>
      <c r="D23" s="17">
        <v>0</v>
      </c>
      <c r="E23" s="17">
        <v>0</v>
      </c>
      <c r="F23" s="17">
        <v>0</v>
      </c>
      <c r="G23" s="166"/>
      <c r="H23" s="166"/>
      <c r="I23" s="166"/>
      <c r="J23" s="166"/>
      <c r="K23" s="166"/>
      <c r="L23" s="17"/>
      <c r="M23" s="5" t="s">
        <v>95</v>
      </c>
      <c r="N23"/>
      <c r="O23"/>
    </row>
    <row r="24" spans="3:15">
      <c r="C24" s="6" t="s">
        <v>17</v>
      </c>
      <c r="D24" s="17">
        <v>-627</v>
      </c>
      <c r="E24" s="17">
        <v>-602</v>
      </c>
      <c r="F24" s="17">
        <v>-559</v>
      </c>
      <c r="G24" s="166"/>
      <c r="H24" s="166"/>
      <c r="I24" s="166"/>
      <c r="J24" s="166"/>
      <c r="K24" s="166"/>
      <c r="L24" s="17"/>
      <c r="M24" s="5" t="s">
        <v>94</v>
      </c>
      <c r="N24"/>
      <c r="O24"/>
    </row>
    <row r="25" spans="3:15">
      <c r="C25" s="21" t="s">
        <v>53</v>
      </c>
      <c r="D25" s="17">
        <v>441</v>
      </c>
      <c r="E25" s="17">
        <v>66</v>
      </c>
      <c r="F25" s="17">
        <v>1044</v>
      </c>
      <c r="G25" s="562">
        <f>AVERAGE($D$25:$F$25)</f>
        <v>517</v>
      </c>
      <c r="H25" s="562">
        <f t="shared" ref="H25:K25" si="8">AVERAGE($D$25:$F$25)</f>
        <v>517</v>
      </c>
      <c r="I25" s="562">
        <f t="shared" si="8"/>
        <v>517</v>
      </c>
      <c r="J25" s="562">
        <f t="shared" si="8"/>
        <v>517</v>
      </c>
      <c r="K25" s="562">
        <f t="shared" si="8"/>
        <v>517</v>
      </c>
      <c r="L25" s="17"/>
      <c r="M25" s="5" t="s">
        <v>345</v>
      </c>
      <c r="N25"/>
      <c r="O25"/>
    </row>
    <row r="26" spans="3:15">
      <c r="C26" s="19" t="s">
        <v>12</v>
      </c>
      <c r="D26" s="20">
        <f>SUM(D22:D25)</f>
        <v>7481</v>
      </c>
      <c r="E26" s="20">
        <v>5719</v>
      </c>
      <c r="F26" s="20">
        <v>10274</v>
      </c>
      <c r="G26" s="560">
        <f>SUM(G22:G25)</f>
        <v>12335.924360563498</v>
      </c>
      <c r="H26" s="560">
        <f t="shared" ref="H26:K26" si="9">SUM(H22:H25)</f>
        <v>13399.902729709633</v>
      </c>
      <c r="I26" s="560">
        <f t="shared" si="9"/>
        <v>14792.894538030498</v>
      </c>
      <c r="J26" s="560">
        <f t="shared" si="9"/>
        <v>16162.695982719186</v>
      </c>
      <c r="K26" s="560">
        <f t="shared" si="9"/>
        <v>17652.489955402682</v>
      </c>
      <c r="L26" s="17"/>
      <c r="M26" s="24" t="s">
        <v>96</v>
      </c>
      <c r="N26"/>
      <c r="O26"/>
    </row>
    <row r="27" spans="3:15">
      <c r="C27" s="6" t="s">
        <v>15</v>
      </c>
      <c r="D27" s="17">
        <v>-3095</v>
      </c>
      <c r="E27" s="17">
        <v>-521</v>
      </c>
      <c r="F27" s="17">
        <v>-1231</v>
      </c>
      <c r="G27" s="559">
        <f>-G40*G26</f>
        <v>-1728.3999316753482</v>
      </c>
      <c r="H27" s="559">
        <f t="shared" ref="H27:K27" si="10">-H40*H26</f>
        <v>-1881.1976043309328</v>
      </c>
      <c r="I27" s="559">
        <f t="shared" si="10"/>
        <v>-2078.4016825932849</v>
      </c>
      <c r="J27" s="559">
        <f t="shared" si="10"/>
        <v>-2268.1650029082593</v>
      </c>
      <c r="K27" s="559">
        <f t="shared" si="10"/>
        <v>-2478.5404143029837</v>
      </c>
      <c r="L27" s="17"/>
      <c r="M27" s="5" t="s">
        <v>92</v>
      </c>
      <c r="N27"/>
      <c r="O27"/>
    </row>
    <row r="28" spans="3:15">
      <c r="C28" s="19" t="s">
        <v>2</v>
      </c>
      <c r="D28" s="20">
        <f>SUM(D26:D27)</f>
        <v>4386</v>
      </c>
      <c r="E28" s="20">
        <v>5198</v>
      </c>
      <c r="F28" s="20">
        <v>9043</v>
      </c>
      <c r="G28" s="560">
        <f>SUM(G26:G27)</f>
        <v>10607.524428888149</v>
      </c>
      <c r="H28" s="560">
        <f t="shared" ref="H28:K28" si="11">SUM(H26:H27)</f>
        <v>11518.705125378699</v>
      </c>
      <c r="I28" s="560">
        <f t="shared" si="11"/>
        <v>12714.492855437213</v>
      </c>
      <c r="J28" s="560">
        <f t="shared" si="11"/>
        <v>13894.530979810927</v>
      </c>
      <c r="K28" s="560">
        <f t="shared" si="11"/>
        <v>15173.949541099697</v>
      </c>
      <c r="L28" s="17"/>
      <c r="M28" s="24" t="s">
        <v>93</v>
      </c>
      <c r="N28"/>
      <c r="O28"/>
    </row>
    <row r="29" spans="3:15">
      <c r="C29" s="28"/>
      <c r="D29" s="539"/>
      <c r="E29" s="539"/>
      <c r="F29" s="539"/>
    </row>
    <row r="30" spans="3:15">
      <c r="C30" s="72" t="s">
        <v>49</v>
      </c>
      <c r="D30" s="200">
        <v>1401</v>
      </c>
      <c r="E30" s="200">
        <v>1393</v>
      </c>
      <c r="F30" s="200">
        <v>1582</v>
      </c>
      <c r="G30" s="157">
        <f>G112</f>
        <v>3271.413963908677</v>
      </c>
      <c r="H30" s="157">
        <f t="shared" ref="H30:K30" si="12">H112</f>
        <v>3201.1255211792718</v>
      </c>
      <c r="I30" s="157">
        <f t="shared" si="12"/>
        <v>3117.5743423955178</v>
      </c>
      <c r="J30" s="157">
        <f t="shared" si="12"/>
        <v>3177.8700091658038</v>
      </c>
      <c r="K30" s="157">
        <f t="shared" si="12"/>
        <v>3309.4226551504762</v>
      </c>
      <c r="L30" s="17"/>
      <c r="M30" s="5" t="s">
        <v>159</v>
      </c>
    </row>
    <row r="31" spans="3:15">
      <c r="C31" s="73" t="s">
        <v>47</v>
      </c>
      <c r="D31" s="186">
        <f>D22+D30</f>
        <v>9068</v>
      </c>
      <c r="E31" s="186">
        <f t="shared" ref="E31:F31" si="13">E22+E30</f>
        <v>7648</v>
      </c>
      <c r="F31" s="186">
        <f t="shared" si="13"/>
        <v>11371</v>
      </c>
      <c r="G31" s="559">
        <f>G30+G22</f>
        <v>15090.338324472175</v>
      </c>
      <c r="H31" s="559">
        <f t="shared" ref="H31:K31" si="14">H30+H22</f>
        <v>16084.028250888905</v>
      </c>
      <c r="I31" s="559">
        <f t="shared" si="14"/>
        <v>17393.468880426015</v>
      </c>
      <c r="J31" s="559">
        <f t="shared" si="14"/>
        <v>18823.565991884989</v>
      </c>
      <c r="K31" s="559">
        <f t="shared" si="14"/>
        <v>20444.912610553158</v>
      </c>
      <c r="L31" s="17"/>
      <c r="M31" s="24" t="s">
        <v>97</v>
      </c>
    </row>
    <row r="32" spans="3:15">
      <c r="C32" s="72" t="s">
        <v>74</v>
      </c>
      <c r="D32" s="200">
        <v>1037</v>
      </c>
      <c r="E32" s="200">
        <v>1212</v>
      </c>
      <c r="F32" s="200">
        <v>1663</v>
      </c>
      <c r="G32" s="559">
        <f>F32*(1+G36)</f>
        <v>2187.3575801394272</v>
      </c>
      <c r="H32" s="559">
        <f t="shared" ref="H32:K32" si="15">G32*(1+H36)</f>
        <v>2315.1277488547939</v>
      </c>
      <c r="I32" s="559">
        <f t="shared" si="15"/>
        <v>2450.3613593785699</v>
      </c>
      <c r="J32" s="559">
        <f t="shared" si="15"/>
        <v>2593.4943739090327</v>
      </c>
      <c r="K32" s="559">
        <f t="shared" si="15"/>
        <v>2744.9882205143913</v>
      </c>
      <c r="L32" s="17"/>
      <c r="M32" s="5" t="s">
        <v>346</v>
      </c>
    </row>
    <row r="33" spans="3:16">
      <c r="C33" s="73" t="s">
        <v>72</v>
      </c>
      <c r="D33" s="186">
        <f>SUM(D31:D32)</f>
        <v>10105</v>
      </c>
      <c r="E33" s="186">
        <f t="shared" ref="E33:F33" si="16">SUM(E31:E32)</f>
        <v>8860</v>
      </c>
      <c r="F33" s="186">
        <f t="shared" si="16"/>
        <v>13034</v>
      </c>
      <c r="G33" s="560">
        <f>SUM(G31:G32)</f>
        <v>17277.695904611603</v>
      </c>
      <c r="H33" s="560">
        <f t="shared" ref="H33:K33" si="17">SUM(H31:H32)</f>
        <v>18399.1559997437</v>
      </c>
      <c r="I33" s="560">
        <f t="shared" si="17"/>
        <v>19843.830239804585</v>
      </c>
      <c r="J33" s="560">
        <f t="shared" si="17"/>
        <v>21417.060365794023</v>
      </c>
      <c r="K33" s="560">
        <f t="shared" si="17"/>
        <v>23189.900831067549</v>
      </c>
      <c r="L33" s="17"/>
      <c r="M33" s="24" t="s">
        <v>98</v>
      </c>
    </row>
    <row r="34" spans="3:16">
      <c r="C34" s="28"/>
      <c r="D34" s="539"/>
      <c r="E34" s="539"/>
      <c r="F34" s="539"/>
      <c r="H34"/>
    </row>
    <row r="35" spans="3:16">
      <c r="C35" s="25" t="s">
        <v>143</v>
      </c>
      <c r="D35" s="539"/>
      <c r="E35" s="539"/>
      <c r="F35" s="539"/>
      <c r="H35"/>
    </row>
    <row r="36" spans="3:16">
      <c r="C36" s="26" t="s">
        <v>1</v>
      </c>
      <c r="D36" s="540"/>
      <c r="E36" s="541">
        <f>E17/D17-1</f>
        <v>-3.056894491822193E-2</v>
      </c>
      <c r="F36" s="541">
        <f t="shared" ref="F36" si="18">F17/E17-1</f>
        <v>0.42645871403680258</v>
      </c>
      <c r="G36" s="557">
        <v>0.31530822618125498</v>
      </c>
      <c r="H36" s="557">
        <v>5.8413023035411599E-2</v>
      </c>
      <c r="I36" s="561">
        <f>H36</f>
        <v>5.8413023035411599E-2</v>
      </c>
      <c r="J36" s="561">
        <f t="shared" ref="J36:K36" si="19">I36</f>
        <v>5.8413023035411599E-2</v>
      </c>
      <c r="K36" s="561">
        <f t="shared" si="19"/>
        <v>5.8413023035411599E-2</v>
      </c>
      <c r="L36" s="17"/>
      <c r="M36" s="5" t="s">
        <v>352</v>
      </c>
      <c r="N36" s="59"/>
      <c r="O36" s="59"/>
      <c r="P36" s="59"/>
    </row>
    <row r="37" spans="3:16">
      <c r="C37" s="26" t="s">
        <v>231</v>
      </c>
      <c r="D37" s="541">
        <f>D19/D17</f>
        <v>0.64573806286820745</v>
      </c>
      <c r="E37" s="541">
        <f t="shared" ref="E37:F37" si="20">E19/E17</f>
        <v>0.606689048489227</v>
      </c>
      <c r="F37" s="541">
        <f t="shared" si="20"/>
        <v>0.57510576178275641</v>
      </c>
      <c r="G37" s="557">
        <v>0.58577270000000004</v>
      </c>
      <c r="H37" s="557">
        <v>0.58299999999999996</v>
      </c>
      <c r="I37" s="557">
        <v>0.58518179999999997</v>
      </c>
      <c r="J37" s="561">
        <f>AVERAGE(G37:I37)</f>
        <v>0.58465149999999999</v>
      </c>
      <c r="K37" s="561">
        <f>AVERAGE(H37:J37)</f>
        <v>0.58427776666666664</v>
      </c>
      <c r="L37" s="17"/>
      <c r="M37" s="5" t="s">
        <v>344</v>
      </c>
      <c r="N37" s="59"/>
      <c r="O37" s="59"/>
      <c r="P37" s="59"/>
    </row>
    <row r="38" spans="3:16">
      <c r="C38" s="26" t="s">
        <v>232</v>
      </c>
      <c r="D38" s="541">
        <f>-D20/D17</f>
        <v>0.22238701437811559</v>
      </c>
      <c r="E38" s="541">
        <f t="shared" ref="E38:F38" si="21">-E20/E17</f>
        <v>0.25392036037567467</v>
      </c>
      <c r="F38" s="541">
        <f t="shared" si="21"/>
        <v>0.21378776142525174</v>
      </c>
      <c r="G38" s="439">
        <f>AVERAGE(D38:F38)</f>
        <v>0.23003171205968065</v>
      </c>
      <c r="H38" s="561">
        <f>G38-(($G$38-$K$38)/($K$14-$G$14))</f>
        <v>0.22252378404476048</v>
      </c>
      <c r="I38" s="561">
        <f t="shared" ref="I38:J38" si="22">H38-(($G$38-$K$38)/($K$14-$G$14))</f>
        <v>0.2150158560298403</v>
      </c>
      <c r="J38" s="561">
        <f t="shared" si="22"/>
        <v>0.20750792801492013</v>
      </c>
      <c r="K38" s="557">
        <v>0.2</v>
      </c>
      <c r="L38" s="17"/>
      <c r="M38" s="5" t="s">
        <v>347</v>
      </c>
      <c r="N38" s="59"/>
      <c r="O38" s="59"/>
      <c r="P38" s="59"/>
    </row>
    <row r="39" spans="3:16">
      <c r="C39" s="26" t="s">
        <v>234</v>
      </c>
      <c r="D39" s="541">
        <f>-D21/D17</f>
        <v>0.10748568368145676</v>
      </c>
      <c r="E39" s="541">
        <f t="shared" ref="E39:F39" si="23">-E21/E17</f>
        <v>8.6949130933661981E-2</v>
      </c>
      <c r="F39" s="541">
        <f t="shared" si="23"/>
        <v>6.9683608413275339E-2</v>
      </c>
      <c r="G39" s="439">
        <f>AVERAGE(D39:F39)</f>
        <v>8.8039474342798019E-2</v>
      </c>
      <c r="H39" s="561">
        <f>G39-(($G$39-$K$39)/($K$14-$G$14))</f>
        <v>8.4779605757098517E-2</v>
      </c>
      <c r="I39" s="561">
        <f t="shared" ref="I39:J39" si="24">H39-(($G$39-$K$39)/($K$14-$G$14))</f>
        <v>8.1519737171399015E-2</v>
      </c>
      <c r="J39" s="561">
        <f t="shared" si="24"/>
        <v>7.8259868585699513E-2</v>
      </c>
      <c r="K39" s="557">
        <v>7.4999999999999997E-2</v>
      </c>
      <c r="L39" s="17"/>
      <c r="M39" s="5" t="s">
        <v>347</v>
      </c>
      <c r="N39" s="59"/>
      <c r="O39" s="59"/>
      <c r="P39" s="59"/>
    </row>
    <row r="40" spans="3:16">
      <c r="C40" s="26" t="s">
        <v>0</v>
      </c>
      <c r="D40" s="541">
        <f>-D27/D26</f>
        <v>0.41371474401817937</v>
      </c>
      <c r="E40" s="541">
        <f t="shared" ref="E40:F40" si="25">-E27/E26</f>
        <v>9.1099842629830396E-2</v>
      </c>
      <c r="F40" s="541">
        <f t="shared" si="25"/>
        <v>0.11981701382129648</v>
      </c>
      <c r="G40" s="557">
        <v>0.14011109999999999</v>
      </c>
      <c r="H40" s="557">
        <v>0.14038890000000001</v>
      </c>
      <c r="I40" s="557">
        <v>0.14050000000000001</v>
      </c>
      <c r="J40" s="561">
        <f>AVERAGE(G40:I40)</f>
        <v>0.14033333333333334</v>
      </c>
      <c r="K40" s="561">
        <f t="shared" ref="K40" si="26">AVERAGE(H40:J40)</f>
        <v>0.1404074111111111</v>
      </c>
      <c r="L40" s="17"/>
      <c r="M40" s="5" t="s">
        <v>344</v>
      </c>
      <c r="N40" s="29"/>
      <c r="O40" s="29"/>
      <c r="P40" s="29"/>
    </row>
    <row r="41" spans="3:16">
      <c r="C41" s="28"/>
      <c r="D41" s="188"/>
      <c r="E41" s="188"/>
      <c r="F41" s="188"/>
      <c r="G41" s="558"/>
      <c r="H41" s="558"/>
      <c r="I41" s="558"/>
    </row>
    <row r="42" spans="3:16">
      <c r="C42" s="7" t="s">
        <v>20</v>
      </c>
      <c r="D42" s="196"/>
      <c r="E42" s="196"/>
      <c r="F42" s="196"/>
      <c r="G42"/>
      <c r="H42"/>
      <c r="I42"/>
      <c r="J42"/>
    </row>
    <row r="43" spans="3:16">
      <c r="C43" s="35" t="str">
        <f>C14</f>
        <v xml:space="preserve">Fiscal year  </v>
      </c>
      <c r="D43" s="403"/>
      <c r="E43" s="403">
        <f>$E$14</f>
        <v>2020</v>
      </c>
      <c r="F43" s="403">
        <f>$F$14</f>
        <v>2021</v>
      </c>
      <c r="G43" s="538">
        <f>F43+1</f>
        <v>2022</v>
      </c>
      <c r="H43" s="538">
        <f t="shared" ref="H43:K43" si="27">G43+1</f>
        <v>2023</v>
      </c>
      <c r="I43" s="538">
        <f t="shared" si="27"/>
        <v>2024</v>
      </c>
      <c r="J43" s="538">
        <f t="shared" si="27"/>
        <v>2025</v>
      </c>
      <c r="K43" s="538">
        <f t="shared" si="27"/>
        <v>2026</v>
      </c>
      <c r="L43" s="552"/>
    </row>
    <row r="44" spans="3:16">
      <c r="C44" s="9" t="str">
        <f>C15</f>
        <v>Fiscal year end date</v>
      </c>
      <c r="D44" s="192"/>
      <c r="E44" s="192">
        <f>$E$15</f>
        <v>44104</v>
      </c>
      <c r="F44" s="192">
        <f>$F$15</f>
        <v>44465</v>
      </c>
      <c r="G44" s="89">
        <f>EOMONTH($D$10,12)</f>
        <v>44834</v>
      </c>
      <c r="H44" s="89">
        <f t="shared" ref="H44:K44" si="28">EOMONTH($D$10,12)</f>
        <v>44834</v>
      </c>
      <c r="I44" s="89">
        <f t="shared" si="28"/>
        <v>44834</v>
      </c>
      <c r="J44" s="89">
        <f t="shared" si="28"/>
        <v>44834</v>
      </c>
      <c r="K44" s="89">
        <f t="shared" si="28"/>
        <v>44834</v>
      </c>
      <c r="L44" s="402"/>
    </row>
    <row r="45" spans="3:16">
      <c r="C45" s="5" t="s">
        <v>138</v>
      </c>
      <c r="D45" s="36"/>
      <c r="E45" s="36">
        <v>11214</v>
      </c>
      <c r="F45" s="36">
        <v>12414</v>
      </c>
      <c r="G45" s="559">
        <f>F45+G96</f>
        <v>22785.934693551742</v>
      </c>
      <c r="H45" s="559">
        <f>G45+H96</f>
        <v>36321.492522655448</v>
      </c>
      <c r="I45" s="559">
        <f>H45+I96</f>
        <v>50876.521295424624</v>
      </c>
      <c r="J45" s="559">
        <f>I45+J96</f>
        <v>66607.304853408175</v>
      </c>
      <c r="K45" s="559">
        <f t="shared" ref="H45:K45" si="29">J45+K96</f>
        <v>83670.170945682999</v>
      </c>
      <c r="L45" s="17"/>
      <c r="M45" s="5" t="s">
        <v>118</v>
      </c>
    </row>
    <row r="46" spans="3:16">
      <c r="C46" s="5" t="s">
        <v>54</v>
      </c>
      <c r="D46" s="36"/>
      <c r="E46" s="36">
        <v>4003</v>
      </c>
      <c r="F46" s="36">
        <v>3579</v>
      </c>
      <c r="G46" s="559">
        <f>F46*(1+G36)</f>
        <v>4707.4881415027112</v>
      </c>
      <c r="H46" s="559">
        <f t="shared" ref="H46:K46" si="30">G46*(1+H36)</f>
        <v>4982.4667547512363</v>
      </c>
      <c r="I46" s="559">
        <f t="shared" si="30"/>
        <v>5273.5077000696929</v>
      </c>
      <c r="J46" s="559">
        <f t="shared" si="30"/>
        <v>5581.5492268312846</v>
      </c>
      <c r="K46" s="559">
        <f t="shared" si="30"/>
        <v>5907.5843903914647</v>
      </c>
      <c r="L46" s="17"/>
      <c r="M46" s="5" t="s">
        <v>103</v>
      </c>
    </row>
    <row r="47" spans="3:16">
      <c r="C47" s="5" t="s">
        <v>55</v>
      </c>
      <c r="D47" s="36"/>
      <c r="E47" s="36">
        <v>2598</v>
      </c>
      <c r="F47" s="36">
        <v>3228</v>
      </c>
      <c r="G47" s="559">
        <f>F47*(1+(G$18/F$18-1))</f>
        <v>4139.2240857892493</v>
      </c>
      <c r="H47" s="559">
        <f t="shared" ref="H47:K47" si="31">G47*(1+(H$18/G$18-1))</f>
        <v>4410.3336950141029</v>
      </c>
      <c r="I47" s="559">
        <f t="shared" si="31"/>
        <v>4643.5312532979897</v>
      </c>
      <c r="J47" s="559">
        <f t="shared" si="31"/>
        <v>4921.0569558845382</v>
      </c>
      <c r="K47" s="559">
        <f t="shared" si="31"/>
        <v>5213.1974217206343</v>
      </c>
      <c r="L47" s="17"/>
      <c r="M47" s="5" t="s">
        <v>104</v>
      </c>
    </row>
    <row r="48" spans="3:16">
      <c r="C48" s="6" t="s">
        <v>108</v>
      </c>
      <c r="D48" s="37"/>
      <c r="E48" s="37">
        <v>704</v>
      </c>
      <c r="F48" s="37">
        <v>854</v>
      </c>
      <c r="G48" s="559">
        <f>F48*(1+G$36)</f>
        <v>1123.2732251587918</v>
      </c>
      <c r="H48" s="559">
        <f t="shared" ref="H48:K48" si="32">G48*(1+H$36)</f>
        <v>1188.8870099350534</v>
      </c>
      <c r="I48" s="559">
        <f t="shared" si="32"/>
        <v>1258.3334942328913</v>
      </c>
      <c r="J48" s="559">
        <f t="shared" si="32"/>
        <v>1331.8365576177473</v>
      </c>
      <c r="K48" s="559">
        <f t="shared" si="32"/>
        <v>1409.6331571372762</v>
      </c>
      <c r="L48" s="17"/>
      <c r="M48" s="5" t="s">
        <v>103</v>
      </c>
    </row>
    <row r="49" spans="3:13">
      <c r="C49" s="21" t="s">
        <v>21</v>
      </c>
      <c r="D49" s="37"/>
      <c r="E49" s="37">
        <v>3711</v>
      </c>
      <c r="F49" s="37">
        <v>4559</v>
      </c>
      <c r="G49" s="563">
        <f>G105</f>
        <v>4197.0581537288135</v>
      </c>
      <c r="H49" s="563">
        <f t="shared" ref="H49:K49" si="33">H105</f>
        <v>3832.7470776809241</v>
      </c>
      <c r="I49" s="563">
        <f t="shared" si="33"/>
        <v>3723.7495781466978</v>
      </c>
      <c r="J49" s="563">
        <f t="shared" si="33"/>
        <v>3730.1964802680473</v>
      </c>
      <c r="K49" s="563">
        <f t="shared" si="33"/>
        <v>3791.0963134957915</v>
      </c>
      <c r="L49" s="17"/>
      <c r="M49" s="5" t="s">
        <v>105</v>
      </c>
    </row>
    <row r="50" spans="3:13">
      <c r="C50" s="21" t="s">
        <v>332</v>
      </c>
      <c r="D50" s="37"/>
      <c r="E50" s="37">
        <v>1351</v>
      </c>
      <c r="F50" s="37">
        <v>1591</v>
      </c>
      <c r="G50" s="559">
        <f>F50*(1+G$36)</f>
        <v>2092.6553878543768</v>
      </c>
      <c r="H50" s="559">
        <f t="shared" ref="H50:K50" si="34">G50*(1+H$36)</f>
        <v>2214.8937152302929</v>
      </c>
      <c r="I50" s="559">
        <f t="shared" si="34"/>
        <v>2344.2723528390284</v>
      </c>
      <c r="J50" s="559">
        <f t="shared" si="34"/>
        <v>2481.208387786693</v>
      </c>
      <c r="K50" s="559">
        <f t="shared" si="34"/>
        <v>2626.1432704981335</v>
      </c>
      <c r="L50" s="17"/>
    </row>
    <row r="51" spans="3:13">
      <c r="C51" s="21" t="s">
        <v>333</v>
      </c>
      <c r="D51" s="37"/>
      <c r="E51" s="37">
        <v>6323</v>
      </c>
      <c r="F51" s="37">
        <v>7246</v>
      </c>
      <c r="G51" s="559">
        <f t="shared" ref="G51:K52" si="35">F51*(1+G$36)</f>
        <v>9530.7234069093738</v>
      </c>
      <c r="H51" s="559">
        <f t="shared" si="35"/>
        <v>10087.441772821308</v>
      </c>
      <c r="I51" s="559">
        <f t="shared" si="35"/>
        <v>10676.679741465494</v>
      </c>
      <c r="J51" s="559">
        <f t="shared" si="35"/>
        <v>11300.336881145431</v>
      </c>
      <c r="K51" s="559">
        <f t="shared" si="35"/>
        <v>11960.423719691691</v>
      </c>
      <c r="L51" s="17"/>
    </row>
    <row r="52" spans="3:13">
      <c r="C52" s="21" t="s">
        <v>334</v>
      </c>
      <c r="D52" s="37"/>
      <c r="E52" s="37">
        <v>1653</v>
      </c>
      <c r="F52" s="37">
        <v>1458</v>
      </c>
      <c r="G52" s="559">
        <f t="shared" si="35"/>
        <v>1917.7193937722698</v>
      </c>
      <c r="H52" s="559">
        <f t="shared" si="35"/>
        <v>2029.7391808961449</v>
      </c>
      <c r="I52" s="559">
        <f t="shared" si="35"/>
        <v>2148.3023824257089</v>
      </c>
      <c r="J52" s="559">
        <f t="shared" si="35"/>
        <v>2273.7912189773715</v>
      </c>
      <c r="K52" s="559">
        <f t="shared" si="35"/>
        <v>2406.6102378292135</v>
      </c>
      <c r="L52" s="17"/>
      <c r="M52"/>
    </row>
    <row r="53" spans="3:13">
      <c r="C53" s="21" t="s">
        <v>56</v>
      </c>
      <c r="D53" s="37"/>
      <c r="E53" s="37">
        <v>4037</v>
      </c>
      <c r="F53" s="37">
        <v>6311</v>
      </c>
      <c r="G53" s="559">
        <f>F53*(1+G36)</f>
        <v>8300.9102154298998</v>
      </c>
      <c r="H53" s="559">
        <f t="shared" ref="H53:K53" si="36">G53*(1+H36)</f>
        <v>8785.7914750586897</v>
      </c>
      <c r="I53" s="559">
        <f t="shared" si="36"/>
        <v>9298.9961148756156</v>
      </c>
      <c r="J53" s="559">
        <f t="shared" si="36"/>
        <v>9842.1785891400486</v>
      </c>
      <c r="K53" s="559">
        <f t="shared" si="36"/>
        <v>10417.089993786121</v>
      </c>
      <c r="L53" s="17"/>
      <c r="M53" s="5" t="s">
        <v>103</v>
      </c>
    </row>
    <row r="54" spans="3:13">
      <c r="C54" s="39" t="s">
        <v>22</v>
      </c>
      <c r="D54" s="43"/>
      <c r="E54" s="43">
        <f>SUM(E45:E53)</f>
        <v>35594</v>
      </c>
      <c r="F54" s="43">
        <f>SUM(F45:F53)</f>
        <v>41240</v>
      </c>
      <c r="G54" s="560">
        <f>SUM(G45:G53)</f>
        <v>58794.986703697228</v>
      </c>
      <c r="H54" s="560">
        <f t="shared" ref="H54:K54" si="37">SUM(H45:H53)</f>
        <v>73853.793204043192</v>
      </c>
      <c r="I54" s="560">
        <f t="shared" si="37"/>
        <v>90243.893912777741</v>
      </c>
      <c r="J54" s="560">
        <f t="shared" si="37"/>
        <v>108069.45915105933</v>
      </c>
      <c r="K54" s="560">
        <f t="shared" si="37"/>
        <v>127401.94945023331</v>
      </c>
      <c r="L54" s="17"/>
      <c r="M54"/>
    </row>
    <row r="55" spans="3:13">
      <c r="C55" s="41"/>
      <c r="D55" s="42"/>
      <c r="E55" s="138"/>
      <c r="F55" s="138"/>
      <c r="H55"/>
      <c r="I55" s="68"/>
      <c r="J55" s="68"/>
      <c r="K55"/>
      <c r="L55" s="382"/>
      <c r="M55"/>
    </row>
    <row r="56" spans="3:13">
      <c r="C56" s="41" t="s">
        <v>57</v>
      </c>
      <c r="D56" s="37"/>
      <c r="E56" s="37">
        <v>2248</v>
      </c>
      <c r="F56" s="37">
        <v>2750</v>
      </c>
      <c r="G56" s="559">
        <f t="shared" ref="G56:K57" si="38">F56*(1+(G$18/F$18-1))</f>
        <v>3526.2906554896017</v>
      </c>
      <c r="H56" s="559">
        <f>G56*(1+(H$18/G$18-1))</f>
        <v>3757.2545419110224</v>
      </c>
      <c r="I56" s="559">
        <f>H56*(1+(I$18/H$18-1))</f>
        <v>3955.9203675865765</v>
      </c>
      <c r="J56" s="559">
        <f t="shared" si="38"/>
        <v>4192.3502567170008</v>
      </c>
      <c r="K56" s="559">
        <f t="shared" si="38"/>
        <v>4441.230765096574</v>
      </c>
      <c r="L56" s="17"/>
      <c r="M56" t="s">
        <v>349</v>
      </c>
    </row>
    <row r="57" spans="3:13">
      <c r="C57" s="41" t="s">
        <v>335</v>
      </c>
      <c r="D57" s="37"/>
      <c r="E57" s="37">
        <v>1053</v>
      </c>
      <c r="F57" s="37">
        <v>1531</v>
      </c>
      <c r="G57" s="559">
        <f t="shared" si="38"/>
        <v>1963.1821794743928</v>
      </c>
      <c r="H57" s="559">
        <f t="shared" si="38"/>
        <v>2091.7660740602819</v>
      </c>
      <c r="I57" s="559">
        <f t="shared" si="38"/>
        <v>2202.3687573727448</v>
      </c>
      <c r="J57" s="559">
        <f t="shared" si="38"/>
        <v>2333.9957247395373</v>
      </c>
      <c r="K57" s="559">
        <f t="shared" si="38"/>
        <v>2472.5542914046746</v>
      </c>
      <c r="L57" s="17"/>
      <c r="M57" t="s">
        <v>349</v>
      </c>
    </row>
    <row r="58" spans="3:13">
      <c r="C58" s="41" t="s">
        <v>58</v>
      </c>
      <c r="D58" s="37"/>
      <c r="E58" s="37">
        <v>568</v>
      </c>
      <c r="F58" s="37">
        <v>612</v>
      </c>
      <c r="G58" s="559">
        <f t="shared" ref="G58:K59" si="39">F58*(1+G$36)</f>
        <v>804.96863442292806</v>
      </c>
      <c r="H58" s="559">
        <f t="shared" si="39"/>
        <v>851.98928580825839</v>
      </c>
      <c r="I58" s="559">
        <f t="shared" si="39"/>
        <v>901.75655558610003</v>
      </c>
      <c r="J58" s="559">
        <f t="shared" si="39"/>
        <v>954.4308820398843</v>
      </c>
      <c r="K58" s="559">
        <f t="shared" si="39"/>
        <v>1010.1820751381883</v>
      </c>
      <c r="L58" s="17"/>
      <c r="M58" t="s">
        <v>348</v>
      </c>
    </row>
    <row r="59" spans="3:13">
      <c r="C59" s="41" t="s">
        <v>117</v>
      </c>
      <c r="D59" s="37"/>
      <c r="E59" s="37">
        <v>4303</v>
      </c>
      <c r="F59" s="37">
        <v>5014</v>
      </c>
      <c r="G59" s="559">
        <f t="shared" si="39"/>
        <v>6594.9554460728123</v>
      </c>
      <c r="H59" s="559">
        <f t="shared" si="39"/>
        <v>6980.1867304617772</v>
      </c>
      <c r="I59" s="559">
        <f t="shared" si="39"/>
        <v>7387.920538739716</v>
      </c>
      <c r="J59" s="559">
        <f t="shared" si="39"/>
        <v>7819.4713113529097</v>
      </c>
      <c r="K59" s="559">
        <f t="shared" si="39"/>
        <v>8276.2302691877067</v>
      </c>
      <c r="L59" s="17"/>
      <c r="M59" t="s">
        <v>348</v>
      </c>
    </row>
    <row r="60" spans="3:13">
      <c r="C60" s="41" t="s">
        <v>60</v>
      </c>
      <c r="D60" s="37"/>
      <c r="E60" s="37">
        <v>500</v>
      </c>
      <c r="F60" s="37">
        <v>500</v>
      </c>
      <c r="G60" s="563"/>
      <c r="H60" s="563"/>
      <c r="I60" s="563"/>
      <c r="J60" s="563"/>
      <c r="K60" s="563"/>
      <c r="L60" s="17"/>
      <c r="M60" s="5" t="s">
        <v>187</v>
      </c>
    </row>
    <row r="61" spans="3:13">
      <c r="C61" s="41" t="s">
        <v>337</v>
      </c>
      <c r="D61" s="37"/>
      <c r="E61" s="37">
        <v>761</v>
      </c>
      <c r="F61" s="37">
        <v>364</v>
      </c>
      <c r="G61" s="559">
        <f t="shared" ref="G61:K62" si="40">F61*(1+G$36)</f>
        <v>478.7721943299768</v>
      </c>
      <c r="H61" s="559">
        <f t="shared" si="40"/>
        <v>506.73872554608829</v>
      </c>
      <c r="I61" s="559">
        <f t="shared" si="40"/>
        <v>536.33886639434706</v>
      </c>
      <c r="J61" s="559">
        <f t="shared" si="40"/>
        <v>567.66804095182658</v>
      </c>
      <c r="K61" s="559">
        <f t="shared" si="40"/>
        <v>600.82724730441259</v>
      </c>
      <c r="L61" s="17"/>
      <c r="M61"/>
    </row>
    <row r="62" spans="3:13">
      <c r="C62" s="41" t="s">
        <v>336</v>
      </c>
      <c r="D62" s="37"/>
      <c r="E62" s="37">
        <v>1872</v>
      </c>
      <c r="F62" s="37">
        <v>1713</v>
      </c>
      <c r="G62" s="559">
        <f t="shared" ref="G62:K62" si="41">F62*(1+G$36)</f>
        <v>2253.1229914484898</v>
      </c>
      <c r="H62" s="559">
        <f t="shared" si="41"/>
        <v>2384.7347166495861</v>
      </c>
      <c r="I62" s="559">
        <f t="shared" si="41"/>
        <v>2524.0342805865844</v>
      </c>
      <c r="J62" s="559">
        <f t="shared" si="41"/>
        <v>2671.4707531606573</v>
      </c>
      <c r="K62" s="559">
        <f t="shared" si="41"/>
        <v>2827.5194358034591</v>
      </c>
      <c r="L62" s="17"/>
      <c r="M62"/>
    </row>
    <row r="63" spans="3:13">
      <c r="C63" s="41" t="s">
        <v>122</v>
      </c>
      <c r="D63" s="37"/>
      <c r="E63" s="37">
        <f>15226</f>
        <v>15226</v>
      </c>
      <c r="F63" s="37">
        <f>15245</f>
        <v>15245</v>
      </c>
      <c r="G63" s="559">
        <f>F63</f>
        <v>15245</v>
      </c>
      <c r="H63" s="559">
        <f t="shared" ref="H63:K63" si="42">G63</f>
        <v>15245</v>
      </c>
      <c r="I63" s="559">
        <f t="shared" si="42"/>
        <v>15245</v>
      </c>
      <c r="J63" s="559">
        <f t="shared" si="42"/>
        <v>15245</v>
      </c>
      <c r="K63" s="559">
        <f t="shared" si="42"/>
        <v>15245</v>
      </c>
      <c r="L63" s="17"/>
      <c r="M63" t="s">
        <v>350</v>
      </c>
    </row>
    <row r="64" spans="3:13" ht="15.75" customHeight="1">
      <c r="C64" s="41" t="s">
        <v>59</v>
      </c>
      <c r="D64" s="37"/>
      <c r="E64" s="37">
        <v>2986</v>
      </c>
      <c r="F64" s="37">
        <v>3561</v>
      </c>
      <c r="G64" s="559">
        <f t="shared" ref="G64:K64" si="43">F64*(1+G$36)</f>
        <v>4683.8125934314494</v>
      </c>
      <c r="H64" s="559">
        <f t="shared" si="43"/>
        <v>4957.4082463451114</v>
      </c>
      <c r="I64" s="559">
        <f t="shared" si="43"/>
        <v>5246.9854484348079</v>
      </c>
      <c r="J64" s="559">
        <f t="shared" si="43"/>
        <v>5553.4777303007004</v>
      </c>
      <c r="K64" s="559">
        <f t="shared" si="43"/>
        <v>5877.8731528874005</v>
      </c>
      <c r="L64" s="17"/>
      <c r="M64" t="s">
        <v>103</v>
      </c>
    </row>
    <row r="65" spans="3:14">
      <c r="C65" s="39" t="s">
        <v>24</v>
      </c>
      <c r="D65" s="43"/>
      <c r="E65" s="43">
        <f>SUM(E56:E64)</f>
        <v>29517</v>
      </c>
      <c r="F65" s="43">
        <f>SUM(F56:F64)</f>
        <v>31290</v>
      </c>
      <c r="G65" s="560">
        <f>SUM(G56:G64)</f>
        <v>35550.104694669652</v>
      </c>
      <c r="H65" s="560">
        <f t="shared" ref="H65:K65" si="44">SUM(H56:H64)</f>
        <v>36775.078320782122</v>
      </c>
      <c r="I65" s="560">
        <f t="shared" si="44"/>
        <v>38000.324814700878</v>
      </c>
      <c r="J65" s="560">
        <f t="shared" si="44"/>
        <v>39337.864699262514</v>
      </c>
      <c r="K65" s="560">
        <f t="shared" si="44"/>
        <v>40751.417236822417</v>
      </c>
      <c r="L65" s="17"/>
    </row>
    <row r="66" spans="3:14">
      <c r="C66" s="39"/>
      <c r="D66" s="43"/>
      <c r="E66" s="139"/>
      <c r="F66" s="139"/>
      <c r="H66"/>
      <c r="I66" s="68"/>
      <c r="J66" s="68"/>
    </row>
    <row r="67" spans="3:14">
      <c r="C67" s="41" t="s">
        <v>61</v>
      </c>
      <c r="D67" s="37"/>
      <c r="E67" s="37">
        <v>586</v>
      </c>
      <c r="F67" s="200">
        <v>0</v>
      </c>
      <c r="G67" s="559">
        <f>F67+G32</f>
        <v>2187.3575801394272</v>
      </c>
      <c r="H67" s="559">
        <f t="shared" ref="H67:K67" si="45">G67+H32</f>
        <v>4502.4853289942212</v>
      </c>
      <c r="I67" s="559">
        <f t="shared" si="45"/>
        <v>6952.8466883727906</v>
      </c>
      <c r="J67" s="559">
        <f t="shared" si="45"/>
        <v>9546.3410622818228</v>
      </c>
      <c r="K67" s="559">
        <f t="shared" si="45"/>
        <v>12291.329282796214</v>
      </c>
      <c r="L67" s="17"/>
      <c r="M67" s="5" t="s">
        <v>155</v>
      </c>
    </row>
    <row r="68" spans="3:14" ht="15.75" customHeight="1">
      <c r="C68" s="41" t="s">
        <v>44</v>
      </c>
      <c r="D68" s="38"/>
      <c r="E68" s="37">
        <v>5284</v>
      </c>
      <c r="F68" s="200">
        <v>9822</v>
      </c>
      <c r="G68" s="157"/>
      <c r="H68" s="157"/>
      <c r="I68" s="157"/>
      <c r="J68" s="157"/>
      <c r="K68" s="157"/>
      <c r="L68" s="17"/>
      <c r="M68" s="5" t="s">
        <v>107</v>
      </c>
    </row>
    <row r="69" spans="3:14" ht="15.75" customHeight="1">
      <c r="C69" s="41" t="s">
        <v>121</v>
      </c>
      <c r="D69" s="37"/>
      <c r="E69" s="37">
        <v>207</v>
      </c>
      <c r="F69" s="200">
        <v>128</v>
      </c>
      <c r="G69" s="559">
        <f>AVERAGE($E$69:$F$69)</f>
        <v>167.5</v>
      </c>
      <c r="H69" s="559">
        <f t="shared" ref="H69:K69" si="46">AVERAGE($E$69:$F$69)</f>
        <v>167.5</v>
      </c>
      <c r="I69" s="559">
        <f t="shared" si="46"/>
        <v>167.5</v>
      </c>
      <c r="J69" s="559">
        <f t="shared" si="46"/>
        <v>167.5</v>
      </c>
      <c r="K69" s="559">
        <f t="shared" si="46"/>
        <v>167.5</v>
      </c>
      <c r="L69" s="17"/>
      <c r="M69" s="5" t="s">
        <v>351</v>
      </c>
    </row>
    <row r="70" spans="3:14">
      <c r="C70" s="39" t="s">
        <v>25</v>
      </c>
      <c r="D70" s="44"/>
      <c r="E70" s="43">
        <f>SUM(E67:E69)</f>
        <v>6077</v>
      </c>
      <c r="F70" s="43">
        <f>SUM(F67:F69)</f>
        <v>9950</v>
      </c>
      <c r="G70" s="560">
        <f>SUM(G67:G69)</f>
        <v>2354.8575801394272</v>
      </c>
      <c r="H70" s="560">
        <f t="shared" ref="H70:K70" si="47">SUM(H67:H69)</f>
        <v>4669.9853289942212</v>
      </c>
      <c r="I70" s="560">
        <f t="shared" si="47"/>
        <v>7120.3466883727906</v>
      </c>
      <c r="J70" s="560">
        <f t="shared" si="47"/>
        <v>9713.8410622818228</v>
      </c>
      <c r="K70" s="560">
        <f t="shared" si="47"/>
        <v>12458.829282796214</v>
      </c>
      <c r="L70" s="17"/>
    </row>
    <row r="71" spans="3:14">
      <c r="C71" s="6"/>
      <c r="D71" s="42"/>
      <c r="E71" s="42"/>
      <c r="F71" s="42"/>
      <c r="H71"/>
    </row>
    <row r="72" spans="3:14">
      <c r="C72" s="14" t="s">
        <v>26</v>
      </c>
      <c r="D72" s="195"/>
      <c r="E72" s="195">
        <f>ROUND(E54-E65-E70,3)</f>
        <v>0</v>
      </c>
      <c r="F72" s="195">
        <f>ROUND(F54-F65-F70,3)</f>
        <v>0</v>
      </c>
      <c r="G72" s="286">
        <f t="shared" ref="G72:K72" si="48">ROUND(G54-G65-G70,3)</f>
        <v>20890.024000000001</v>
      </c>
      <c r="H72" s="286">
        <f t="shared" si="48"/>
        <v>32408.73</v>
      </c>
      <c r="I72" s="286">
        <f t="shared" si="48"/>
        <v>45123.222000000002</v>
      </c>
      <c r="J72" s="286">
        <f t="shared" si="48"/>
        <v>59017.752999999997</v>
      </c>
      <c r="K72" s="286">
        <f t="shared" si="48"/>
        <v>74191.702999999994</v>
      </c>
      <c r="L72" s="401"/>
      <c r="M72" s="24"/>
    </row>
    <row r="73" spans="3:14">
      <c r="D73" s="188"/>
      <c r="E73" s="57"/>
      <c r="F73" s="57"/>
      <c r="H73"/>
    </row>
    <row r="74" spans="3:14">
      <c r="C74" s="7" t="s">
        <v>32</v>
      </c>
      <c r="D74" s="188"/>
      <c r="E74" s="57"/>
      <c r="F74" s="57"/>
    </row>
    <row r="75" spans="3:14">
      <c r="C75" s="35" t="str">
        <f>C43</f>
        <v xml:space="preserve">Fiscal year  </v>
      </c>
      <c r="D75" s="546"/>
      <c r="E75" s="546">
        <f>$E$14</f>
        <v>2020</v>
      </c>
      <c r="F75" s="546">
        <f>$F$14</f>
        <v>2021</v>
      </c>
      <c r="G75" s="538">
        <f>F75+1</f>
        <v>2022</v>
      </c>
      <c r="H75" s="538">
        <f t="shared" ref="H75:K75" si="49">G75+1</f>
        <v>2023</v>
      </c>
      <c r="I75" s="538">
        <f t="shared" si="49"/>
        <v>2024</v>
      </c>
      <c r="J75" s="538">
        <f t="shared" si="49"/>
        <v>2025</v>
      </c>
      <c r="K75" s="538">
        <f t="shared" si="49"/>
        <v>2026</v>
      </c>
      <c r="L75" s="552"/>
    </row>
    <row r="76" spans="3:14">
      <c r="C76" s="545" t="str">
        <f>C44</f>
        <v>Fiscal year end date</v>
      </c>
      <c r="D76" s="192"/>
      <c r="E76" s="192">
        <f>$E$15</f>
        <v>44104</v>
      </c>
      <c r="F76" s="192">
        <v>44465</v>
      </c>
      <c r="G76" s="89">
        <f>EOMONTH($D$10,12)</f>
        <v>44834</v>
      </c>
      <c r="H76" s="89">
        <f t="shared" ref="H76:K76" si="50">EOMONTH($D$10,12)</f>
        <v>44834</v>
      </c>
      <c r="I76" s="89">
        <f t="shared" si="50"/>
        <v>44834</v>
      </c>
      <c r="J76" s="89">
        <f t="shared" si="50"/>
        <v>44834</v>
      </c>
      <c r="K76" s="89">
        <f t="shared" si="50"/>
        <v>44834</v>
      </c>
      <c r="L76" s="402"/>
    </row>
    <row r="77" spans="3:14">
      <c r="D77" s="188"/>
      <c r="E77" s="57"/>
      <c r="F77" s="57"/>
      <c r="H77"/>
      <c r="M77" s="5" t="s">
        <v>127</v>
      </c>
    </row>
    <row r="78" spans="3:14">
      <c r="C78" s="6" t="s">
        <v>2</v>
      </c>
      <c r="D78" s="188"/>
      <c r="E78" s="57"/>
      <c r="F78" s="57"/>
      <c r="G78" s="151">
        <f>G28</f>
        <v>10607.524428888149</v>
      </c>
      <c r="H78" s="151">
        <f t="shared" ref="H78:K78" si="51">H28</f>
        <v>11518.705125378699</v>
      </c>
      <c r="I78" s="151">
        <f t="shared" si="51"/>
        <v>12714.492855437213</v>
      </c>
      <c r="J78" s="151">
        <f t="shared" si="51"/>
        <v>13894.530979810927</v>
      </c>
      <c r="K78" s="151">
        <f t="shared" si="51"/>
        <v>15173.949541099697</v>
      </c>
      <c r="L78" s="553"/>
      <c r="M78" s="24"/>
      <c r="N78" s="24"/>
    </row>
    <row r="79" spans="3:14">
      <c r="C79" s="6" t="s">
        <v>33</v>
      </c>
      <c r="D79" s="188"/>
      <c r="E79" s="57"/>
      <c r="F79" s="57"/>
      <c r="G79" s="157">
        <f>G30</f>
        <v>3271.413963908677</v>
      </c>
      <c r="H79" s="157">
        <f t="shared" ref="H79:K79" si="52">H30</f>
        <v>3201.1255211792718</v>
      </c>
      <c r="I79" s="157">
        <f t="shared" si="52"/>
        <v>3117.5743423955178</v>
      </c>
      <c r="J79" s="157">
        <f t="shared" si="52"/>
        <v>3177.8700091658038</v>
      </c>
      <c r="K79" s="157">
        <f t="shared" si="52"/>
        <v>3309.4226551504762</v>
      </c>
      <c r="L79" s="540"/>
      <c r="M79" s="5" t="s">
        <v>170</v>
      </c>
    </row>
    <row r="80" spans="3:14">
      <c r="C80" s="6" t="s">
        <v>74</v>
      </c>
      <c r="D80" s="188"/>
      <c r="E80" s="57"/>
      <c r="F80" s="57"/>
      <c r="G80" s="151">
        <f>G32</f>
        <v>2187.3575801394272</v>
      </c>
      <c r="H80" s="151">
        <f t="shared" ref="H80:K80" si="53">H32</f>
        <v>2315.1277488547939</v>
      </c>
      <c r="I80" s="151">
        <f t="shared" si="53"/>
        <v>2450.3613593785699</v>
      </c>
      <c r="J80" s="151">
        <f t="shared" si="53"/>
        <v>2593.4943739090327</v>
      </c>
      <c r="K80" s="151">
        <f t="shared" si="53"/>
        <v>2744.9882205143913</v>
      </c>
      <c r="L80" s="553"/>
    </row>
    <row r="81" spans="3:14">
      <c r="C81" s="6" t="s">
        <v>65</v>
      </c>
      <c r="D81" s="188"/>
      <c r="E81" s="57"/>
      <c r="F81" s="57"/>
      <c r="G81" s="151">
        <f>-(SUM(G46:G48)-SUM(F46:F48))</f>
        <v>-2308.9854524507518</v>
      </c>
      <c r="H81" s="151">
        <f t="shared" ref="H81:K81" si="54">-(SUM(H46:H48)-SUM(G46:G48))</f>
        <v>-611.70200724963979</v>
      </c>
      <c r="I81" s="151">
        <f t="shared" si="54"/>
        <v>-593.68498790018202</v>
      </c>
      <c r="J81" s="151">
        <f t="shared" si="54"/>
        <v>-659.07029273299668</v>
      </c>
      <c r="K81" s="151">
        <f t="shared" si="54"/>
        <v>-695.9722289158035</v>
      </c>
      <c r="L81" s="553"/>
    </row>
    <row r="82" spans="3:14">
      <c r="C82" s="6" t="s">
        <v>66</v>
      </c>
      <c r="D82" s="188"/>
      <c r="E82" s="57"/>
      <c r="F82" s="57"/>
      <c r="G82" s="151">
        <f>SUM(G56:G59)-SUM(F56:F59)</f>
        <v>2982.3969154597344</v>
      </c>
      <c r="H82" s="151">
        <f t="shared" ref="H82:K82" si="55">SUM(H56:H59)-SUM(G56:G59)</f>
        <v>791.79971678160473</v>
      </c>
      <c r="I82" s="151">
        <f t="shared" si="55"/>
        <v>766.76958704379831</v>
      </c>
      <c r="J82" s="151">
        <f t="shared" si="55"/>
        <v>852.2819555641945</v>
      </c>
      <c r="K82" s="151">
        <f t="shared" si="55"/>
        <v>899.94922597781078</v>
      </c>
      <c r="L82" s="553"/>
    </row>
    <row r="83" spans="3:14">
      <c r="C83" s="21" t="s">
        <v>56</v>
      </c>
      <c r="D83" s="188"/>
      <c r="E83" s="57"/>
      <c r="F83" s="57"/>
      <c r="G83" s="157">
        <f>-G117</f>
        <v>-6001.5177916034099</v>
      </c>
      <c r="H83" s="157">
        <f t="shared" ref="H83:K83" si="56">-H117</f>
        <v>-2086.0828451719026</v>
      </c>
      <c r="I83" s="157">
        <f t="shared" si="56"/>
        <v>-2207.9372504606981</v>
      </c>
      <c r="J83" s="157">
        <f t="shared" si="56"/>
        <v>-2336.909539932607</v>
      </c>
      <c r="K83" s="157">
        <f t="shared" si="56"/>
        <v>-2473.4154907203629</v>
      </c>
      <c r="L83" s="540"/>
      <c r="M83" s="5" t="s">
        <v>171</v>
      </c>
    </row>
    <row r="84" spans="3:14">
      <c r="C84" s="21" t="s">
        <v>59</v>
      </c>
      <c r="D84" s="188"/>
      <c r="E84" s="57"/>
      <c r="F84" s="57"/>
      <c r="G84" s="151">
        <f>SUM(G64,G62,G61)-SUM(F64,F62,F61)</f>
        <v>1777.7077792099153</v>
      </c>
      <c r="H84" s="151">
        <f t="shared" ref="H84:K84" si="57">SUM(H64,H62,H61)-SUM(G64,G62,G61)</f>
        <v>433.17390933087063</v>
      </c>
      <c r="I84" s="151">
        <f t="shared" si="57"/>
        <v>458.47690687495469</v>
      </c>
      <c r="J84" s="151">
        <f t="shared" si="57"/>
        <v>485.25792899744374</v>
      </c>
      <c r="K84" s="151">
        <f t="shared" si="57"/>
        <v>513.60331158208828</v>
      </c>
      <c r="L84" s="553"/>
      <c r="M84" s="24"/>
      <c r="N84" s="24"/>
    </row>
    <row r="85" spans="3:14">
      <c r="C85" s="19" t="s">
        <v>34</v>
      </c>
      <c r="D85" s="188"/>
      <c r="E85" s="57"/>
      <c r="F85" s="57"/>
      <c r="G85" s="147">
        <f>SUM(G78:G84)</f>
        <v>12515.897423551743</v>
      </c>
      <c r="H85" s="147">
        <f t="shared" ref="H85:K85" si="58">SUM(H78:H84)</f>
        <v>15562.147169103704</v>
      </c>
      <c r="I85" s="147">
        <f t="shared" si="58"/>
        <v>16706.052812769172</v>
      </c>
      <c r="J85" s="147">
        <f t="shared" si="58"/>
        <v>18007.455414781798</v>
      </c>
      <c r="K85" s="147">
        <f t="shared" si="58"/>
        <v>19472.525234688299</v>
      </c>
      <c r="L85" s="554"/>
    </row>
    <row r="86" spans="3:14">
      <c r="C86" s="6"/>
      <c r="D86" s="188"/>
      <c r="E86" s="57"/>
      <c r="F86" s="57"/>
      <c r="G86" s="135"/>
      <c r="H86" s="135"/>
      <c r="I86" s="135"/>
      <c r="J86" s="135"/>
      <c r="K86" s="135"/>
      <c r="L86" s="539"/>
    </row>
    <row r="87" spans="3:14">
      <c r="C87" s="6" t="s">
        <v>35</v>
      </c>
      <c r="D87" s="188"/>
      <c r="E87" s="57"/>
      <c r="F87" s="57"/>
      <c r="G87" s="157">
        <f>-G103</f>
        <v>-2143.9627300000002</v>
      </c>
      <c r="H87" s="157">
        <f t="shared" ref="H87:K87" si="59">-H103</f>
        <v>-2026.58934</v>
      </c>
      <c r="I87" s="157">
        <f t="shared" si="59"/>
        <v>-2151.0240399999998</v>
      </c>
      <c r="J87" s="157">
        <f t="shared" si="59"/>
        <v>-2276.6718567982439</v>
      </c>
      <c r="K87" s="157">
        <f t="shared" si="59"/>
        <v>-2409.6591424134731</v>
      </c>
      <c r="L87" s="540"/>
      <c r="M87" s="5" t="s">
        <v>105</v>
      </c>
    </row>
    <row r="88" spans="3:14">
      <c r="C88" s="19" t="s">
        <v>36</v>
      </c>
      <c r="D88" s="188"/>
      <c r="E88" s="57"/>
      <c r="F88" s="57"/>
      <c r="G88" s="147">
        <f>G87</f>
        <v>-2143.9627300000002</v>
      </c>
      <c r="H88" s="147">
        <f t="shared" ref="H88:K88" si="60">H87</f>
        <v>-2026.58934</v>
      </c>
      <c r="I88" s="147">
        <f t="shared" si="60"/>
        <v>-2151.0240399999998</v>
      </c>
      <c r="J88" s="147">
        <f t="shared" si="60"/>
        <v>-2276.6718567982439</v>
      </c>
      <c r="K88" s="147">
        <f t="shared" si="60"/>
        <v>-2409.6591424134731</v>
      </c>
      <c r="L88" s="554"/>
    </row>
    <row r="89" spans="3:14">
      <c r="C89" s="6"/>
      <c r="D89" s="188"/>
      <c r="E89" s="57"/>
      <c r="F89" s="57"/>
      <c r="G89" s="431"/>
      <c r="H89" s="431"/>
      <c r="I89" s="431"/>
      <c r="J89" s="431"/>
      <c r="K89" s="431"/>
      <c r="L89" s="553"/>
    </row>
    <row r="90" spans="3:14">
      <c r="C90" s="6" t="s">
        <v>67</v>
      </c>
      <c r="D90" s="188"/>
      <c r="E90" s="57"/>
      <c r="F90" s="57"/>
      <c r="G90" s="151">
        <f>G63-F63</f>
        <v>0</v>
      </c>
      <c r="H90" s="151">
        <f t="shared" ref="H90:K90" si="61">H63-G63</f>
        <v>0</v>
      </c>
      <c r="I90" s="151">
        <f t="shared" si="61"/>
        <v>0</v>
      </c>
      <c r="J90" s="151">
        <f t="shared" si="61"/>
        <v>0</v>
      </c>
      <c r="K90" s="151">
        <f t="shared" si="61"/>
        <v>0</v>
      </c>
      <c r="L90" s="555"/>
    </row>
    <row r="91" spans="3:14">
      <c r="C91" s="6" t="s">
        <v>23</v>
      </c>
      <c r="D91" s="188"/>
      <c r="E91" s="57"/>
      <c r="F91" s="57"/>
      <c r="G91" s="157"/>
      <c r="H91" s="157"/>
      <c r="I91" s="157"/>
      <c r="J91" s="157"/>
      <c r="K91" s="157"/>
      <c r="L91" s="540"/>
      <c r="M91" s="5" t="s">
        <v>183</v>
      </c>
    </row>
    <row r="92" spans="3:14">
      <c r="C92" s="21" t="s">
        <v>70</v>
      </c>
      <c r="D92" s="188"/>
      <c r="E92" s="57"/>
      <c r="F92" s="57"/>
      <c r="G92" s="157"/>
      <c r="H92" s="157"/>
      <c r="I92" s="157"/>
      <c r="J92" s="157"/>
      <c r="K92" s="157"/>
      <c r="L92" s="540"/>
      <c r="M92" s="5" t="s">
        <v>107</v>
      </c>
    </row>
    <row r="93" spans="3:14">
      <c r="C93" s="21" t="s">
        <v>71</v>
      </c>
      <c r="D93" s="188"/>
      <c r="E93" s="57"/>
      <c r="F93" s="57"/>
      <c r="G93" s="157"/>
      <c r="H93" s="157"/>
      <c r="I93" s="157"/>
      <c r="J93" s="157"/>
      <c r="K93" s="157"/>
      <c r="L93" s="540"/>
      <c r="M93" s="5" t="s">
        <v>107</v>
      </c>
    </row>
    <row r="94" spans="3:14">
      <c r="C94" s="19" t="s">
        <v>37</v>
      </c>
      <c r="D94" s="188"/>
      <c r="E94" s="57"/>
      <c r="F94" s="57"/>
      <c r="G94" s="147">
        <f>SUM(G90:G93)</f>
        <v>0</v>
      </c>
      <c r="H94" s="147">
        <f t="shared" ref="H94:K94" si="62">SUM(H90:H93)</f>
        <v>0</v>
      </c>
      <c r="I94" s="147">
        <f t="shared" si="62"/>
        <v>0</v>
      </c>
      <c r="J94" s="147">
        <f t="shared" si="62"/>
        <v>0</v>
      </c>
      <c r="K94" s="147">
        <f t="shared" si="62"/>
        <v>0</v>
      </c>
      <c r="L94" s="554"/>
    </row>
    <row r="95" spans="3:14">
      <c r="D95" s="188"/>
      <c r="E95" s="57"/>
      <c r="F95" s="57"/>
      <c r="G95" s="431"/>
      <c r="H95" s="431"/>
      <c r="I95" s="431"/>
      <c r="J95" s="431"/>
      <c r="K95" s="431"/>
      <c r="L95" s="553"/>
    </row>
    <row r="96" spans="3:14">
      <c r="C96" s="24" t="s">
        <v>38</v>
      </c>
      <c r="D96" s="188"/>
      <c r="E96" s="57"/>
      <c r="F96" s="57"/>
      <c r="G96" s="147">
        <f>G94+G88+G85</f>
        <v>10371.934693551742</v>
      </c>
      <c r="H96" s="147">
        <f t="shared" ref="H96:K96" si="63">H94+H88+H85</f>
        <v>13535.557829103704</v>
      </c>
      <c r="I96" s="147">
        <f t="shared" si="63"/>
        <v>14555.028772769172</v>
      </c>
      <c r="J96" s="147">
        <f t="shared" si="63"/>
        <v>15730.783557983554</v>
      </c>
      <c r="K96" s="147">
        <f t="shared" si="63"/>
        <v>17062.866092274824</v>
      </c>
      <c r="L96" s="554"/>
      <c r="M96"/>
    </row>
    <row r="97" spans="3:18">
      <c r="C97" s="24"/>
      <c r="D97" s="188"/>
      <c r="E97" s="57"/>
      <c r="F97" s="57"/>
      <c r="G97"/>
      <c r="H97"/>
      <c r="I97"/>
      <c r="J97"/>
      <c r="K97"/>
      <c r="L97" s="382"/>
      <c r="M97"/>
    </row>
    <row r="98" spans="3:18">
      <c r="C98" s="7" t="s">
        <v>29</v>
      </c>
      <c r="D98" s="188"/>
      <c r="E98" s="57"/>
      <c r="F98" s="57"/>
      <c r="G98"/>
      <c r="H98"/>
      <c r="I98"/>
      <c r="J98"/>
      <c r="K98"/>
      <c r="L98" s="382"/>
      <c r="M98"/>
    </row>
    <row r="99" spans="3:18">
      <c r="C99" s="35" t="str">
        <f>C75</f>
        <v xml:space="preserve">Fiscal year  </v>
      </c>
      <c r="D99" s="548"/>
      <c r="E99" s="549">
        <f>$E$14</f>
        <v>2020</v>
      </c>
      <c r="F99" s="549">
        <f>$F$14</f>
        <v>2021</v>
      </c>
      <c r="G99" s="538">
        <f>F99+1</f>
        <v>2022</v>
      </c>
      <c r="H99" s="538">
        <f t="shared" ref="H99:K99" si="64">G99+1</f>
        <v>2023</v>
      </c>
      <c r="I99" s="538">
        <f t="shared" si="64"/>
        <v>2024</v>
      </c>
      <c r="J99" s="538">
        <f t="shared" si="64"/>
        <v>2025</v>
      </c>
      <c r="K99" s="538">
        <f t="shared" si="64"/>
        <v>2026</v>
      </c>
      <c r="L99" s="552"/>
      <c r="M99"/>
    </row>
    <row r="100" spans="3:18">
      <c r="C100" s="545" t="str">
        <f>C76</f>
        <v>Fiscal year end date</v>
      </c>
      <c r="D100" s="547"/>
      <c r="E100" s="550">
        <f>$E$15</f>
        <v>44104</v>
      </c>
      <c r="F100" s="550">
        <v>44465</v>
      </c>
      <c r="G100" s="89">
        <f>EOMONTH($D$10,12)</f>
        <v>44834</v>
      </c>
      <c r="H100" s="89">
        <f t="shared" ref="H100:K100" si="65">EOMONTH($D$10,12)</f>
        <v>44834</v>
      </c>
      <c r="I100" s="89">
        <f t="shared" si="65"/>
        <v>44834</v>
      </c>
      <c r="J100" s="89">
        <f t="shared" si="65"/>
        <v>44834</v>
      </c>
      <c r="K100" s="89">
        <f t="shared" si="65"/>
        <v>44834</v>
      </c>
      <c r="L100" s="402"/>
      <c r="M100"/>
    </row>
    <row r="101" spans="3:18">
      <c r="C101" s="19"/>
      <c r="D101" s="188"/>
      <c r="E101" s="57"/>
      <c r="F101" s="57"/>
      <c r="G101" s="110" t="s">
        <v>116</v>
      </c>
      <c r="H101" s="312"/>
      <c r="I101" s="312"/>
      <c r="J101" s="312"/>
      <c r="K101" s="312"/>
      <c r="L101" s="556"/>
      <c r="M101"/>
    </row>
    <row r="102" spans="3:18">
      <c r="C102" s="41" t="s">
        <v>27</v>
      </c>
      <c r="F102" s="6"/>
      <c r="G102" s="143">
        <f>F105</f>
        <v>4559</v>
      </c>
      <c r="H102" s="143">
        <f>G105</f>
        <v>4197.0581537288135</v>
      </c>
      <c r="I102" s="143">
        <f t="shared" ref="I102:K102" si="66">H105</f>
        <v>3832.7470776809241</v>
      </c>
      <c r="J102" s="143">
        <f t="shared" si="66"/>
        <v>3723.7495781466978</v>
      </c>
      <c r="K102" s="143">
        <f t="shared" si="66"/>
        <v>3730.1964802680473</v>
      </c>
      <c r="L102" s="61"/>
      <c r="M102" s="5" t="s">
        <v>167</v>
      </c>
    </row>
    <row r="103" spans="3:18">
      <c r="C103" s="47" t="s">
        <v>30</v>
      </c>
      <c r="D103" s="3">
        <f>887</f>
        <v>887</v>
      </c>
      <c r="E103" s="3">
        <v>1407</v>
      </c>
      <c r="F103" s="71">
        <v>1888</v>
      </c>
      <c r="G103" s="565">
        <v>2143.9627300000002</v>
      </c>
      <c r="H103" s="565">
        <v>2026.58934</v>
      </c>
      <c r="I103" s="565">
        <v>2151.0240399999998</v>
      </c>
      <c r="J103" s="565">
        <f>I103*(1+J36)</f>
        <v>2276.6718567982439</v>
      </c>
      <c r="K103" s="565">
        <f t="shared" ref="K103" si="67">J103*(1+K36)</f>
        <v>2409.6591424134731</v>
      </c>
      <c r="L103" s="17"/>
      <c r="M103" s="5" t="s">
        <v>353</v>
      </c>
    </row>
    <row r="104" spans="3:18">
      <c r="C104" s="103" t="s">
        <v>31</v>
      </c>
      <c r="D104" s="95">
        <v>-674</v>
      </c>
      <c r="E104" s="564">
        <f>'QCOM FSM Data Input_Empty'!E76</f>
        <v>-772</v>
      </c>
      <c r="F104" s="564">
        <f>'QCOM FSM Data Input_Empty'!F76</f>
        <v>-1000</v>
      </c>
      <c r="G104" s="148">
        <f>G107*-G102</f>
        <v>-2505.9045762711867</v>
      </c>
      <c r="H104" s="148">
        <f t="shared" ref="H104:K104" si="68">H107*-H102</f>
        <v>-2390.9004160478889</v>
      </c>
      <c r="I104" s="148">
        <f t="shared" si="68"/>
        <v>-2260.0215395342266</v>
      </c>
      <c r="J104" s="148">
        <f t="shared" si="68"/>
        <v>-2270.224954676894</v>
      </c>
      <c r="K104" s="148">
        <f t="shared" si="68"/>
        <v>-2348.7593091857284</v>
      </c>
      <c r="L104" s="61"/>
      <c r="M104" s="5" t="s">
        <v>166</v>
      </c>
    </row>
    <row r="105" spans="3:18">
      <c r="C105" s="54" t="s">
        <v>28</v>
      </c>
      <c r="D105" s="51">
        <f>D49</f>
        <v>0</v>
      </c>
      <c r="E105" s="51">
        <f>E49</f>
        <v>3711</v>
      </c>
      <c r="F105" s="51">
        <f>F49</f>
        <v>4559</v>
      </c>
      <c r="G105" s="146">
        <f>SUM(G102:G104)</f>
        <v>4197.0581537288135</v>
      </c>
      <c r="H105" s="146">
        <f t="shared" ref="H105:K105" si="69">SUM(H102:H104)</f>
        <v>3832.7470776809241</v>
      </c>
      <c r="I105" s="146">
        <f t="shared" si="69"/>
        <v>3723.7495781466978</v>
      </c>
      <c r="J105" s="146">
        <f t="shared" si="69"/>
        <v>3730.1964802680473</v>
      </c>
      <c r="K105" s="146">
        <f t="shared" si="69"/>
        <v>3791.0963134957915</v>
      </c>
      <c r="L105" s="162"/>
      <c r="M105" s="5" t="s">
        <v>165</v>
      </c>
    </row>
    <row r="106" spans="3:18">
      <c r="C106" s="41"/>
      <c r="F106" s="6"/>
      <c r="G106" s="6"/>
      <c r="H106" s="6"/>
      <c r="I106" s="6"/>
      <c r="J106" s="6"/>
      <c r="K106" s="6"/>
      <c r="L106" s="21"/>
      <c r="M106" s="25" t="s">
        <v>48</v>
      </c>
      <c r="P106"/>
      <c r="Q106"/>
      <c r="R106"/>
    </row>
    <row r="107" spans="3:18">
      <c r="C107" s="41" t="s">
        <v>123</v>
      </c>
      <c r="D107" s="4">
        <f t="shared" ref="D107:F107" si="70">-D104/D103</f>
        <v>0.75986471251409249</v>
      </c>
      <c r="E107" s="4">
        <f t="shared" si="70"/>
        <v>0.5486851457000711</v>
      </c>
      <c r="F107" s="80">
        <f>-F104/F103</f>
        <v>0.52966101694915257</v>
      </c>
      <c r="G107" s="134">
        <f>F107+$M$107</f>
        <v>0.54966101694915259</v>
      </c>
      <c r="H107" s="134">
        <f t="shared" ref="H107:K107" si="71">G107+$M$107</f>
        <v>0.56966101694915261</v>
      </c>
      <c r="I107" s="134">
        <f t="shared" si="71"/>
        <v>0.58966101694915263</v>
      </c>
      <c r="J107" s="134">
        <f t="shared" si="71"/>
        <v>0.60966101694915265</v>
      </c>
      <c r="K107" s="134">
        <f t="shared" si="71"/>
        <v>0.62966101694915266</v>
      </c>
      <c r="L107" s="189"/>
      <c r="M107" s="88">
        <v>0.02</v>
      </c>
    </row>
    <row r="108" spans="3:18">
      <c r="C108" s="41"/>
      <c r="D108" s="4"/>
      <c r="E108" s="4"/>
      <c r="F108" s="80"/>
      <c r="G108" s="27"/>
      <c r="H108" s="27"/>
      <c r="I108" s="27"/>
      <c r="J108" s="27"/>
      <c r="K108" s="27"/>
      <c r="L108" s="189"/>
    </row>
    <row r="109" spans="3:18">
      <c r="C109" s="128" t="s">
        <v>130</v>
      </c>
      <c r="D109" s="48"/>
      <c r="E109" s="48"/>
      <c r="F109" s="48"/>
      <c r="G109" s="129"/>
      <c r="H109" s="129"/>
      <c r="I109" s="129"/>
      <c r="J109" s="129"/>
      <c r="K109" s="129"/>
      <c r="L109" s="189"/>
    </row>
    <row r="110" spans="3:18">
      <c r="C110" s="41" t="s">
        <v>156</v>
      </c>
      <c r="D110" s="22">
        <f t="shared" ref="D110:F110" si="72">D112+D104</f>
        <v>727</v>
      </c>
      <c r="E110" s="22">
        <f t="shared" si="72"/>
        <v>621</v>
      </c>
      <c r="F110" s="22">
        <f>F112+F104</f>
        <v>582</v>
      </c>
      <c r="G110" s="141">
        <f>G111*G17</f>
        <v>765.50938763749048</v>
      </c>
      <c r="H110" s="141">
        <f t="shared" ref="H110:K110" si="73">H111*H17</f>
        <v>810.22510513138297</v>
      </c>
      <c r="I110" s="141">
        <f t="shared" si="73"/>
        <v>857.5528028612913</v>
      </c>
      <c r="J110" s="141">
        <f t="shared" si="73"/>
        <v>907.64505448890964</v>
      </c>
      <c r="K110" s="141">
        <f t="shared" si="73"/>
        <v>960.66334596474769</v>
      </c>
      <c r="L110" s="63"/>
      <c r="M110" s="5" t="s">
        <v>238</v>
      </c>
    </row>
    <row r="111" spans="3:18">
      <c r="C111" s="26" t="s">
        <v>157</v>
      </c>
      <c r="D111" s="93">
        <f>D110/D17</f>
        <v>2.9950974333621719E-2</v>
      </c>
      <c r="E111" s="93">
        <f t="shared" ref="E111:F111" si="74">E110/E17</f>
        <v>2.6390718626492712E-2</v>
      </c>
      <c r="F111" s="100">
        <f t="shared" si="74"/>
        <v>1.7338973961747006E-2</v>
      </c>
      <c r="G111" s="134">
        <f>F111</f>
        <v>1.7338973961747006E-2</v>
      </c>
      <c r="H111" s="134">
        <f t="shared" ref="H111:K111" si="75">G111</f>
        <v>1.7338973961747006E-2</v>
      </c>
      <c r="I111" s="134">
        <f t="shared" si="75"/>
        <v>1.7338973961747006E-2</v>
      </c>
      <c r="J111" s="134">
        <f t="shared" si="75"/>
        <v>1.7338973961747006E-2</v>
      </c>
      <c r="K111" s="134">
        <f t="shared" si="75"/>
        <v>1.7338973961747006E-2</v>
      </c>
      <c r="L111" s="189"/>
      <c r="M111" s="5" t="s">
        <v>158</v>
      </c>
    </row>
    <row r="112" spans="3:18">
      <c r="C112" s="39" t="s">
        <v>110</v>
      </c>
      <c r="D112" s="566">
        <f t="shared" ref="D112:F112" si="76">D30</f>
        <v>1401</v>
      </c>
      <c r="E112" s="566">
        <f t="shared" si="76"/>
        <v>1393</v>
      </c>
      <c r="F112" s="566">
        <f>F30</f>
        <v>1582</v>
      </c>
      <c r="G112" s="142">
        <f>G110-G104</f>
        <v>3271.413963908677</v>
      </c>
      <c r="H112" s="142">
        <f t="shared" ref="H112:K112" si="77">H110-H104</f>
        <v>3201.1255211792718</v>
      </c>
      <c r="I112" s="142">
        <f t="shared" si="77"/>
        <v>3117.5743423955178</v>
      </c>
      <c r="J112" s="142">
        <f t="shared" si="77"/>
        <v>3177.8700091658038</v>
      </c>
      <c r="K112" s="142">
        <f t="shared" si="77"/>
        <v>3309.4226551504762</v>
      </c>
      <c r="L112" s="20"/>
      <c r="M112" s="5" t="s">
        <v>160</v>
      </c>
    </row>
    <row r="113" spans="3:13">
      <c r="G113" s="6"/>
      <c r="H113" s="22"/>
      <c r="I113" s="22"/>
      <c r="J113" s="22"/>
      <c r="K113" s="22"/>
      <c r="L113" s="61"/>
    </row>
    <row r="114" spans="3:13">
      <c r="C114" s="127" t="s">
        <v>129</v>
      </c>
      <c r="D114" s="9"/>
      <c r="E114" s="9"/>
      <c r="F114" s="9"/>
      <c r="G114" s="6"/>
      <c r="H114" s="22"/>
      <c r="I114" s="22"/>
      <c r="J114" s="22"/>
      <c r="K114" s="22"/>
      <c r="L114" s="61"/>
    </row>
    <row r="115" spans="3:13">
      <c r="C115" s="41" t="s">
        <v>27</v>
      </c>
      <c r="D115" s="22"/>
      <c r="E115" s="6"/>
      <c r="F115" s="22">
        <f>E118</f>
        <v>13364</v>
      </c>
      <c r="G115" s="156">
        <f>F118</f>
        <v>16606</v>
      </c>
      <c r="H115" s="156">
        <f t="shared" ref="H115:K115" si="78">G118</f>
        <v>21842.00840396592</v>
      </c>
      <c r="I115" s="156">
        <f t="shared" si="78"/>
        <v>23117.866144006439</v>
      </c>
      <c r="J115" s="156">
        <f t="shared" si="78"/>
        <v>24468.250591605847</v>
      </c>
      <c r="K115" s="156">
        <f t="shared" si="78"/>
        <v>25897.515077049546</v>
      </c>
      <c r="L115" s="38"/>
      <c r="M115" s="5" t="s">
        <v>167</v>
      </c>
    </row>
    <row r="116" spans="3:13">
      <c r="C116" s="26" t="s">
        <v>161</v>
      </c>
      <c r="E116"/>
      <c r="F116" s="34">
        <f>-F110</f>
        <v>-582</v>
      </c>
      <c r="G116" s="22">
        <f>-G110</f>
        <v>-765.50938763749048</v>
      </c>
      <c r="H116" s="22">
        <f t="shared" ref="H116:K116" si="79">-H110</f>
        <v>-810.22510513138297</v>
      </c>
      <c r="I116" s="22">
        <f t="shared" si="79"/>
        <v>-857.5528028612913</v>
      </c>
      <c r="J116" s="22">
        <f t="shared" si="79"/>
        <v>-907.64505448890964</v>
      </c>
      <c r="K116" s="22">
        <f t="shared" si="79"/>
        <v>-960.66334596474769</v>
      </c>
      <c r="L116" s="61"/>
      <c r="M116" s="5" t="s">
        <v>162</v>
      </c>
    </row>
    <row r="117" spans="3:13">
      <c r="C117" s="111" t="s">
        <v>125</v>
      </c>
      <c r="D117" s="101"/>
      <c r="E117" s="567"/>
      <c r="F117" s="102">
        <f>F118-(F115+F116)</f>
        <v>3824</v>
      </c>
      <c r="G117" s="155">
        <f t="shared" ref="G117:K117" si="80">G118-(G115+G116)</f>
        <v>6001.5177916034099</v>
      </c>
      <c r="H117" s="155">
        <f t="shared" si="80"/>
        <v>2086.0828451719026</v>
      </c>
      <c r="I117" s="155">
        <f t="shared" si="80"/>
        <v>2207.9372504606981</v>
      </c>
      <c r="J117" s="155">
        <f t="shared" si="80"/>
        <v>2336.909539932607</v>
      </c>
      <c r="K117" s="155">
        <f t="shared" si="80"/>
        <v>2473.4154907203629</v>
      </c>
      <c r="L117" s="38"/>
      <c r="M117" s="5" t="s">
        <v>168</v>
      </c>
    </row>
    <row r="118" spans="3:13">
      <c r="C118" s="54" t="s">
        <v>28</v>
      </c>
      <c r="D118" s="6"/>
      <c r="E118" s="51">
        <f>SUM(E50:E53)</f>
        <v>13364</v>
      </c>
      <c r="F118" s="51">
        <f>SUM(F50:F53)</f>
        <v>16606</v>
      </c>
      <c r="G118" s="51">
        <f t="shared" ref="G118:K118" si="81">SUM(G50:G53)</f>
        <v>21842.00840396592</v>
      </c>
      <c r="H118" s="51">
        <f t="shared" si="81"/>
        <v>23117.866144006439</v>
      </c>
      <c r="I118" s="51">
        <f t="shared" si="81"/>
        <v>24468.250591605847</v>
      </c>
      <c r="J118" s="51">
        <f t="shared" si="81"/>
        <v>25897.515077049546</v>
      </c>
      <c r="K118" s="51">
        <f t="shared" si="81"/>
        <v>27410.267221805159</v>
      </c>
      <c r="L118" s="162"/>
      <c r="M118" s="5" t="s">
        <v>169</v>
      </c>
    </row>
    <row r="119" spans="3:13">
      <c r="C119" s="26"/>
      <c r="E119" s="34"/>
      <c r="F119" s="34"/>
      <c r="G119" s="6"/>
      <c r="H119" s="22"/>
      <c r="I119" s="22"/>
      <c r="J119" s="22"/>
      <c r="K119" s="22"/>
      <c r="L119" s="61"/>
    </row>
    <row r="120" spans="3:13">
      <c r="C120" s="74" t="s">
        <v>75</v>
      </c>
      <c r="D120" s="70"/>
      <c r="E120" s="70"/>
      <c r="F120" s="70"/>
      <c r="G120" s="9"/>
      <c r="H120" s="9"/>
      <c r="I120" s="9"/>
      <c r="J120" s="9"/>
      <c r="K120" s="9"/>
      <c r="L120" s="21"/>
    </row>
    <row r="121" spans="3:13">
      <c r="C121" s="41" t="s">
        <v>27</v>
      </c>
      <c r="D121" s="6"/>
      <c r="E121" s="6"/>
      <c r="F121" s="6"/>
      <c r="G121" s="145"/>
      <c r="H121" s="145"/>
      <c r="I121" s="145"/>
      <c r="J121" s="145"/>
      <c r="K121" s="145"/>
      <c r="L121" s="382"/>
      <c r="M121" s="5" t="s">
        <v>167</v>
      </c>
    </row>
    <row r="122" spans="3:13">
      <c r="C122" s="26" t="s">
        <v>62</v>
      </c>
      <c r="D122" s="33"/>
      <c r="E122" s="33"/>
      <c r="F122" s="33"/>
      <c r="G122" s="145"/>
      <c r="H122" s="145"/>
      <c r="I122" s="145"/>
      <c r="J122" s="145"/>
      <c r="K122" s="145"/>
      <c r="L122" s="382"/>
      <c r="M122" s="5" t="s">
        <v>101</v>
      </c>
    </row>
    <row r="123" spans="3:13">
      <c r="C123" s="26" t="s">
        <v>63</v>
      </c>
      <c r="D123" s="3"/>
      <c r="E123" s="3"/>
      <c r="F123" s="3"/>
      <c r="G123" s="145"/>
      <c r="H123" s="145"/>
      <c r="I123" s="145"/>
      <c r="J123" s="145"/>
      <c r="K123" s="145"/>
      <c r="L123" s="382"/>
      <c r="M123" s="5" t="s">
        <v>163</v>
      </c>
    </row>
    <row r="124" spans="3:13">
      <c r="C124" s="104" t="s">
        <v>64</v>
      </c>
      <c r="D124" s="95"/>
      <c r="E124" s="95"/>
      <c r="F124" s="95"/>
      <c r="G124" s="150"/>
      <c r="H124" s="150"/>
      <c r="I124" s="150"/>
      <c r="J124" s="150"/>
      <c r="K124" s="150"/>
      <c r="L124" s="378"/>
      <c r="M124" s="5" t="s">
        <v>236</v>
      </c>
    </row>
    <row r="125" spans="3:13">
      <c r="C125" s="83" t="s">
        <v>28</v>
      </c>
      <c r="D125" s="23"/>
      <c r="E125" s="23"/>
      <c r="F125" s="23"/>
      <c r="G125" s="149"/>
      <c r="H125" s="149"/>
      <c r="I125" s="149"/>
      <c r="J125" s="149"/>
      <c r="K125" s="149"/>
      <c r="L125" s="378"/>
      <c r="M125" s="5" t="s">
        <v>164</v>
      </c>
    </row>
    <row r="129" spans="3:12">
      <c r="C129" s="24" t="s">
        <v>142</v>
      </c>
      <c r="D129" s="542"/>
      <c r="E129" s="57"/>
      <c r="F129" s="57"/>
      <c r="H129"/>
    </row>
    <row r="130" spans="3:12">
      <c r="C130" s="72" t="s">
        <v>147</v>
      </c>
      <c r="D130" s="200">
        <v>-887</v>
      </c>
      <c r="E130" s="200">
        <v>-1407</v>
      </c>
      <c r="F130" s="17">
        <v>-1888</v>
      </c>
      <c r="G130" s="417"/>
      <c r="H130" s="417"/>
      <c r="I130" s="417"/>
      <c r="J130" s="417"/>
      <c r="K130" s="417"/>
      <c r="L130" s="17"/>
    </row>
    <row r="131" spans="3:12">
      <c r="C131" s="72" t="s">
        <v>149</v>
      </c>
      <c r="D131" s="200">
        <v>-674</v>
      </c>
      <c r="E131" s="200">
        <v>-772</v>
      </c>
      <c r="F131" s="17">
        <v>-1000</v>
      </c>
      <c r="G131" s="417"/>
      <c r="H131" s="417"/>
      <c r="I131" s="417"/>
      <c r="J131" s="417"/>
      <c r="K131" s="417"/>
      <c r="L131" s="17"/>
    </row>
    <row r="132" spans="3:12">
      <c r="C132" s="41" t="s">
        <v>139</v>
      </c>
      <c r="D132" s="200">
        <v>-3034</v>
      </c>
      <c r="E132" s="200">
        <v>-2972</v>
      </c>
      <c r="F132" s="200">
        <v>-3097</v>
      </c>
      <c r="G132" s="417"/>
      <c r="H132" s="417"/>
      <c r="I132" s="417"/>
      <c r="J132" s="417"/>
      <c r="K132" s="417"/>
      <c r="L132" s="17"/>
    </row>
    <row r="133" spans="3:12">
      <c r="C133" s="72" t="s">
        <v>140</v>
      </c>
      <c r="D133" s="201">
        <v>-883</v>
      </c>
      <c r="E133" s="17">
        <v>-1408</v>
      </c>
      <c r="F133" s="17">
        <v>-1408</v>
      </c>
      <c r="G133" s="417"/>
      <c r="H133" s="417"/>
      <c r="I133" s="417"/>
      <c r="J133" s="417"/>
      <c r="K133" s="417"/>
      <c r="L133" s="17"/>
    </row>
    <row r="134" spans="3:12">
      <c r="C134" s="72" t="s">
        <v>141</v>
      </c>
      <c r="D134" s="540"/>
      <c r="E134" s="543">
        <v>2.0999999999999999E-3</v>
      </c>
      <c r="F134" s="543">
        <v>1.2999999999999999E-3</v>
      </c>
      <c r="G134" s="417"/>
      <c r="H134" s="417"/>
      <c r="I134" s="417"/>
      <c r="J134" s="417"/>
      <c r="K134" s="417"/>
      <c r="L134" s="17"/>
    </row>
    <row r="135" spans="3:12">
      <c r="C135" s="72" t="s">
        <v>115</v>
      </c>
      <c r="D135" s="544" t="s">
        <v>343</v>
      </c>
      <c r="E135" s="544" t="s">
        <v>343</v>
      </c>
      <c r="F135" s="544" t="s">
        <v>343</v>
      </c>
      <c r="G135" s="417"/>
      <c r="H135" s="417"/>
      <c r="I135" s="417"/>
      <c r="J135" s="417"/>
      <c r="K135" s="417"/>
      <c r="L135" s="17"/>
    </row>
  </sheetData>
  <conditionalFormatting sqref="C39">
    <cfRule type="expression" dxfId="27" priority="1">
      <formula>#REF!=$C39</formula>
    </cfRule>
  </conditionalFormatting>
  <dataValidations disablePrompts="1" count="2">
    <dataValidation type="list" allowBlank="1" showInputMessage="1" showErrorMessage="1" sqref="C3" xr:uid="{4B715BCE-BF31-4535-B028-B1839EE6E31E}">
      <formula1>"$ bns except per share, $ mm except per share,$ in thousands except per share"</formula1>
    </dataValidation>
    <dataValidation type="list" allowBlank="1" showInputMessage="1" showErrorMessage="1" sqref="D7" xr:uid="{32946A11-4F37-466A-AE71-58BFF9B1EC69}">
      <formula1>"0,1"</formula1>
    </dataValidation>
  </dataValidations>
  <pageMargins left="0.7" right="0.7" top="0.75" bottom="0.75" header="0.3" footer="0.3"/>
  <pageSetup scale="58" fitToHeight="0" orientation="portrait"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90268-28DB-4710-99C9-0B499A8FEEA3}">
  <sheetPr>
    <pageSetUpPr fitToPage="1"/>
  </sheetPr>
  <dimension ref="C1:U203"/>
  <sheetViews>
    <sheetView zoomScale="130" zoomScaleNormal="130" workbookViewId="0">
      <selection activeCell="K10" sqref="K10"/>
    </sheetView>
  </sheetViews>
  <sheetFormatPr defaultColWidth="8.85546875" defaultRowHeight="15"/>
  <cols>
    <col min="1" max="2" width="1.7109375" style="5" customWidth="1"/>
    <col min="3" max="3" width="46.7109375" style="5" bestFit="1" customWidth="1"/>
    <col min="4" max="4" width="12.42578125" style="5" bestFit="1" customWidth="1"/>
    <col min="5" max="12" width="11.42578125" style="5" customWidth="1"/>
    <col min="13" max="13" width="3.28515625" style="5" customWidth="1"/>
    <col min="14" max="14" width="11.85546875" style="5" customWidth="1"/>
    <col min="15" max="17" width="10.28515625" style="5" bestFit="1" customWidth="1"/>
    <col min="18" max="19" width="9.42578125" style="5" bestFit="1" customWidth="1"/>
    <col min="20" max="16384" width="8.85546875" style="5"/>
  </cols>
  <sheetData>
    <row r="1" spans="3:20" ht="15.75" thickBot="1"/>
    <row r="2" spans="3:20" ht="15.75" thickBot="1">
      <c r="C2" s="96" t="str">
        <f>"Financial Statement Model for "&amp;D5</f>
        <v>Financial Statement Model for Apple</v>
      </c>
      <c r="D2" s="79"/>
      <c r="E2" s="79"/>
      <c r="F2" s="79"/>
      <c r="G2" s="79"/>
      <c r="H2" s="79"/>
      <c r="I2" s="79"/>
      <c r="J2" s="79"/>
      <c r="K2" s="79"/>
      <c r="L2" s="79"/>
    </row>
    <row r="3" spans="3:20">
      <c r="C3" s="2" t="s">
        <v>46</v>
      </c>
      <c r="D3" s="64"/>
      <c r="E3" s="64"/>
      <c r="F3" s="64"/>
      <c r="G3" s="64"/>
      <c r="H3" s="64"/>
      <c r="I3" s="6"/>
      <c r="J3" s="6"/>
      <c r="K3" s="6"/>
      <c r="L3" s="6"/>
    </row>
    <row r="4" spans="3:20">
      <c r="O4" s="6"/>
      <c r="P4" s="6"/>
    </row>
    <row r="5" spans="3:20">
      <c r="C5" s="1" t="s">
        <v>5</v>
      </c>
      <c r="D5" s="112" t="s">
        <v>50</v>
      </c>
      <c r="I5" t="s">
        <v>82</v>
      </c>
      <c r="L5" s="113" t="s">
        <v>83</v>
      </c>
      <c r="O5" s="6"/>
      <c r="P5" s="6"/>
    </row>
    <row r="6" spans="3:20">
      <c r="C6" s="1" t="s">
        <v>6</v>
      </c>
      <c r="D6" s="112" t="s">
        <v>51</v>
      </c>
      <c r="O6" s="6"/>
      <c r="P6" s="6"/>
    </row>
    <row r="7" spans="3:20">
      <c r="C7" s="5" t="s">
        <v>109</v>
      </c>
      <c r="D7" s="113">
        <v>1</v>
      </c>
      <c r="O7" s="6"/>
      <c r="P7" s="6"/>
    </row>
    <row r="8" spans="3:20">
      <c r="C8" s="5" t="s">
        <v>73</v>
      </c>
      <c r="D8" s="519">
        <v>293.64999999999998</v>
      </c>
      <c r="O8" s="6"/>
      <c r="P8" s="6"/>
    </row>
    <row r="9" spans="3:20">
      <c r="C9" s="5" t="s">
        <v>9</v>
      </c>
      <c r="D9" s="115">
        <v>43830</v>
      </c>
      <c r="O9" s="6"/>
      <c r="P9" s="6"/>
    </row>
    <row r="10" spans="3:20">
      <c r="C10" s="1" t="s">
        <v>8</v>
      </c>
      <c r="D10" s="116">
        <v>43737</v>
      </c>
      <c r="O10" s="6"/>
      <c r="P10" s="6"/>
    </row>
    <row r="11" spans="3:20" ht="15" customHeight="1">
      <c r="C11" t="s">
        <v>292</v>
      </c>
      <c r="D11" s="132">
        <v>4443.2650000000003</v>
      </c>
      <c r="O11" s="6"/>
      <c r="P11" s="6"/>
    </row>
    <row r="12" spans="3:20">
      <c r="O12" s="6"/>
      <c r="P12" s="6"/>
    </row>
    <row r="13" spans="3:20">
      <c r="C13" s="7" t="s">
        <v>19</v>
      </c>
      <c r="D13" s="9"/>
      <c r="E13" s="9"/>
      <c r="F13" s="9"/>
      <c r="G13" s="9"/>
      <c r="H13" s="9"/>
      <c r="I13" s="9"/>
      <c r="J13" s="9"/>
      <c r="K13" s="9"/>
      <c r="L13" s="9"/>
      <c r="Q13" s="6"/>
    </row>
    <row r="14" spans="3:20">
      <c r="C14" s="6" t="s">
        <v>10</v>
      </c>
      <c r="D14" s="10">
        <f>E14-1</f>
        <v>2016</v>
      </c>
      <c r="E14" s="10">
        <f>F14-1</f>
        <v>2017</v>
      </c>
      <c r="F14" s="10">
        <f>G14-1</f>
        <v>2018</v>
      </c>
      <c r="G14" s="10">
        <f>YEAR(D10)</f>
        <v>2019</v>
      </c>
      <c r="H14" s="11">
        <f>G14+1</f>
        <v>2020</v>
      </c>
      <c r="I14" s="11">
        <f>H14+1</f>
        <v>2021</v>
      </c>
      <c r="J14" s="11">
        <f>I14+1</f>
        <v>2022</v>
      </c>
      <c r="K14" s="11">
        <f>J14+1</f>
        <v>2023</v>
      </c>
      <c r="L14" s="11">
        <f>K14+1</f>
        <v>2024</v>
      </c>
      <c r="R14" s="6"/>
    </row>
    <row r="15" spans="3:20">
      <c r="C15" s="12" t="s">
        <v>7</v>
      </c>
      <c r="D15" s="89">
        <f>EOMONTH(E15,-12)</f>
        <v>42643</v>
      </c>
      <c r="E15" s="89">
        <f>EOMONTH(F15,-12)</f>
        <v>43008</v>
      </c>
      <c r="F15" s="89">
        <v>43372</v>
      </c>
      <c r="G15" s="89">
        <f>D10</f>
        <v>43737</v>
      </c>
      <c r="H15" s="89">
        <f>EOMONTH(G15,12)</f>
        <v>44104</v>
      </c>
      <c r="I15" s="89">
        <f>EOMONTH(H15,12)</f>
        <v>44469</v>
      </c>
      <c r="J15" s="89">
        <f>EOMONTH(I15,12)</f>
        <v>44834</v>
      </c>
      <c r="K15" s="89">
        <f>EOMONTH(J15,12)</f>
        <v>45199</v>
      </c>
      <c r="L15" s="89">
        <f>EOMONTH(K15,12)</f>
        <v>45565</v>
      </c>
      <c r="N15" s="84" t="s">
        <v>86</v>
      </c>
      <c r="O15" s="97"/>
      <c r="P15" s="97"/>
      <c r="Q15" s="97"/>
      <c r="R15" s="97"/>
      <c r="S15" s="97"/>
      <c r="T15" s="97"/>
    </row>
    <row r="16" spans="3:20">
      <c r="C16" s="14"/>
      <c r="D16" s="14"/>
      <c r="E16" s="15"/>
      <c r="F16" s="16"/>
      <c r="G16" s="16"/>
      <c r="H16" s="85"/>
      <c r="I16" s="86"/>
      <c r="J16" s="86"/>
      <c r="K16" s="16"/>
      <c r="L16" s="16"/>
    </row>
    <row r="17" spans="3:15">
      <c r="C17" s="6" t="s">
        <v>11</v>
      </c>
      <c r="D17" s="17">
        <v>215639</v>
      </c>
      <c r="E17" s="17">
        <v>229234</v>
      </c>
      <c r="F17" s="17">
        <v>265595</v>
      </c>
      <c r="G17" s="17">
        <v>260174</v>
      </c>
      <c r="H17" s="63">
        <f ca="1">G17*(1+H36)</f>
        <v>275784.44</v>
      </c>
      <c r="I17" s="63">
        <f ca="1">H17*(1+I36)</f>
        <v>294813.56636</v>
      </c>
      <c r="J17" s="63">
        <f ca="1">I17*(1+J36)</f>
        <v>315155.70243884</v>
      </c>
      <c r="K17" s="63">
        <f ca="1">J17*(1+K36)</f>
        <v>336901.44590711995</v>
      </c>
      <c r="L17" s="63">
        <f ca="1">K17*(1+L36)</f>
        <v>360147.64567471121</v>
      </c>
      <c r="N17" s="5" t="s">
        <v>87</v>
      </c>
    </row>
    <row r="18" spans="3:15">
      <c r="C18" s="6" t="s">
        <v>14</v>
      </c>
      <c r="D18" s="17">
        <v>-131376</v>
      </c>
      <c r="E18" s="17">
        <v>-141048</v>
      </c>
      <c r="F18" s="17">
        <v>-163756</v>
      </c>
      <c r="G18" s="17">
        <v>-161782</v>
      </c>
      <c r="H18" s="63">
        <f ca="1">H19-H17</f>
        <v>-171537.92168</v>
      </c>
      <c r="I18" s="63">
        <f ca="1">I19-I17</f>
        <v>-183374.03827592</v>
      </c>
      <c r="J18" s="63">
        <f ca="1">J19-J17</f>
        <v>-196026.84691695849</v>
      </c>
      <c r="K18" s="63">
        <f ca="1">K19-K17</f>
        <v>-209552.69935422862</v>
      </c>
      <c r="L18" s="63">
        <f ca="1">L19-L17</f>
        <v>-224011.83560967038</v>
      </c>
      <c r="N18" s="5" t="s">
        <v>88</v>
      </c>
    </row>
    <row r="19" spans="3:15">
      <c r="C19" s="19" t="s">
        <v>13</v>
      </c>
      <c r="D19" s="20">
        <f>SUM(D17:D18)</f>
        <v>84263</v>
      </c>
      <c r="E19" s="20">
        <f>SUM(E17:E18)</f>
        <v>88186</v>
      </c>
      <c r="F19" s="20">
        <f>SUM(F17:F18)</f>
        <v>101839</v>
      </c>
      <c r="G19" s="20">
        <f>SUM(G17:G18)</f>
        <v>98392</v>
      </c>
      <c r="H19" s="20">
        <f ca="1">H17*H37</f>
        <v>104246.51832</v>
      </c>
      <c r="I19" s="20">
        <f ca="1">I17*I37</f>
        <v>111439.52808408</v>
      </c>
      <c r="J19" s="20">
        <f ca="1">J17*J37</f>
        <v>119128.85552188152</v>
      </c>
      <c r="K19" s="20">
        <f ca="1">K17*K37</f>
        <v>127348.74655289135</v>
      </c>
      <c r="L19" s="20">
        <f ca="1">L17*L37</f>
        <v>136135.81006504083</v>
      </c>
      <c r="N19" s="87" t="s">
        <v>89</v>
      </c>
    </row>
    <row r="20" spans="3:15">
      <c r="C20" s="21" t="s">
        <v>52</v>
      </c>
      <c r="D20" s="17">
        <v>-10045</v>
      </c>
      <c r="E20" s="17">
        <v>-11581</v>
      </c>
      <c r="F20" s="17">
        <v>-14236</v>
      </c>
      <c r="G20" s="17">
        <v>-16217</v>
      </c>
      <c r="H20" s="63">
        <f ca="1">-H38*H17</f>
        <v>-17098.635279999999</v>
      </c>
      <c r="I20" s="63">
        <f ca="1">-I38*I17</f>
        <v>-18278.441114320001</v>
      </c>
      <c r="J20" s="63">
        <f ca="1">-J38*J17</f>
        <v>-19539.653551208081</v>
      </c>
      <c r="K20" s="63">
        <f ca="1">-K38*K17</f>
        <v>-20887.889646241438</v>
      </c>
      <c r="L20" s="63">
        <f ca="1">-L38*L17</f>
        <v>-22329.154031832095</v>
      </c>
      <c r="N20" s="87" t="s">
        <v>233</v>
      </c>
    </row>
    <row r="21" spans="3:15">
      <c r="C21" s="21" t="s">
        <v>16</v>
      </c>
      <c r="D21" s="17">
        <v>-14194</v>
      </c>
      <c r="E21" s="17">
        <v>-15261</v>
      </c>
      <c r="F21" s="17">
        <v>-16705</v>
      </c>
      <c r="G21" s="17">
        <v>-18245</v>
      </c>
      <c r="H21" s="63">
        <f ca="1">-H17*H39</f>
        <v>-19304.910800000001</v>
      </c>
      <c r="I21" s="63">
        <f ca="1">-I17*I39</f>
        <v>-20636.949645200002</v>
      </c>
      <c r="J21" s="63">
        <f ca="1">-J17*J39</f>
        <v>-22060.899170718803</v>
      </c>
      <c r="K21" s="63">
        <f ca="1">-K17*K39</f>
        <v>-23583.101213498398</v>
      </c>
      <c r="L21" s="63">
        <f ca="1">-L17*L39</f>
        <v>-25210.335197229786</v>
      </c>
      <c r="N21" s="87" t="s">
        <v>235</v>
      </c>
    </row>
    <row r="22" spans="3:15">
      <c r="C22" s="19" t="s">
        <v>3</v>
      </c>
      <c r="D22" s="20">
        <f t="shared" ref="D22" si="0">D19+D20+D21</f>
        <v>60024</v>
      </c>
      <c r="E22" s="20">
        <f>E19+E20+E21</f>
        <v>61344</v>
      </c>
      <c r="F22" s="20">
        <f>F19+F20+F21</f>
        <v>70898</v>
      </c>
      <c r="G22" s="20">
        <f>G19+G20+G21</f>
        <v>63930</v>
      </c>
      <c r="H22" s="20">
        <f t="shared" ref="H22:L22" ca="1" si="1">H19+H20+H21</f>
        <v>67842.972240000003</v>
      </c>
      <c r="I22" s="20">
        <f ca="1">I19+I20+I21</f>
        <v>72524.137324559997</v>
      </c>
      <c r="J22" s="20">
        <f t="shared" ca="1" si="1"/>
        <v>77528.302799954632</v>
      </c>
      <c r="K22" s="20">
        <f t="shared" ca="1" si="1"/>
        <v>82877.755693151499</v>
      </c>
      <c r="L22" s="20">
        <f t="shared" ca="1" si="1"/>
        <v>88596.320835978957</v>
      </c>
      <c r="N22" s="24" t="s">
        <v>90</v>
      </c>
    </row>
    <row r="23" spans="3:15">
      <c r="C23" s="6" t="s">
        <v>4</v>
      </c>
      <c r="D23" s="17">
        <v>3999</v>
      </c>
      <c r="E23" s="17">
        <v>5201</v>
      </c>
      <c r="F23" s="17">
        <v>5686</v>
      </c>
      <c r="G23" s="17">
        <v>4961</v>
      </c>
      <c r="H23" s="61">
        <f ca="1">H156</f>
        <v>4386.8465720646718</v>
      </c>
      <c r="I23" s="61">
        <f t="shared" ref="I23:L23" ca="1" si="2">I156</f>
        <v>4119.4834223149901</v>
      </c>
      <c r="J23" s="61">
        <f t="shared" ca="1" si="2"/>
        <v>3871.0561664626944</v>
      </c>
      <c r="K23" s="61">
        <f t="shared" ca="1" si="2"/>
        <v>3709.7511405767555</v>
      </c>
      <c r="L23" s="61">
        <f t="shared" ca="1" si="2"/>
        <v>3643.4636987454537</v>
      </c>
      <c r="N23" s="5" t="s">
        <v>95</v>
      </c>
    </row>
    <row r="24" spans="3:15">
      <c r="C24" s="6" t="s">
        <v>17</v>
      </c>
      <c r="D24" s="17">
        <v>-1456</v>
      </c>
      <c r="E24" s="17">
        <v>-2323</v>
      </c>
      <c r="F24" s="17">
        <v>-3240</v>
      </c>
      <c r="G24" s="17">
        <v>-3576</v>
      </c>
      <c r="H24" s="61">
        <f ca="1">-H142</f>
        <v>-3568.9466179543074</v>
      </c>
      <c r="I24" s="61">
        <f t="shared" ref="I24:L24" ca="1" si="3">-I142</f>
        <v>-3636.3706179543074</v>
      </c>
      <c r="J24" s="61">
        <f t="shared" ca="1" si="3"/>
        <v>-3636.3706179543074</v>
      </c>
      <c r="K24" s="61">
        <f t="shared" ca="1" si="3"/>
        <v>-3636.3706179543074</v>
      </c>
      <c r="L24" s="61">
        <f t="shared" ca="1" si="3"/>
        <v>-3636.3706179543074</v>
      </c>
      <c r="N24" s="5" t="s">
        <v>94</v>
      </c>
    </row>
    <row r="25" spans="3:15">
      <c r="C25" s="21" t="s">
        <v>53</v>
      </c>
      <c r="D25" s="17">
        <v>-1195</v>
      </c>
      <c r="E25" s="17">
        <v>-133</v>
      </c>
      <c r="F25" s="17">
        <v>-441</v>
      </c>
      <c r="G25" s="17">
        <v>422</v>
      </c>
      <c r="H25" s="61">
        <f>G25</f>
        <v>422</v>
      </c>
      <c r="I25" s="61">
        <f>H25</f>
        <v>422</v>
      </c>
      <c r="J25" s="61">
        <f>I25</f>
        <v>422</v>
      </c>
      <c r="K25" s="61">
        <f>J25</f>
        <v>422</v>
      </c>
      <c r="L25" s="61">
        <f>K25</f>
        <v>422</v>
      </c>
      <c r="N25" s="5" t="s">
        <v>91</v>
      </c>
    </row>
    <row r="26" spans="3:15">
      <c r="C26" s="19" t="s">
        <v>12</v>
      </c>
      <c r="D26" s="20">
        <f t="shared" ref="D26" si="4">SUM(D22:D25)</f>
        <v>61372</v>
      </c>
      <c r="E26" s="20">
        <f>SUM(E22:E25)</f>
        <v>64089</v>
      </c>
      <c r="F26" s="20">
        <f>SUM(F22:F25)</f>
        <v>72903</v>
      </c>
      <c r="G26" s="20">
        <f>SUM(G22:G25)</f>
        <v>65737</v>
      </c>
      <c r="H26" s="20">
        <f ca="1">SUM(H22:H25)</f>
        <v>69082.872194110372</v>
      </c>
      <c r="I26" s="20">
        <f ca="1">SUM(I22:I25)</f>
        <v>73429.250128920685</v>
      </c>
      <c r="J26" s="20">
        <f t="shared" ref="J26:L26" ca="1" si="5">SUM(J22:J25)</f>
        <v>78184.988348463012</v>
      </c>
      <c r="K26" s="20">
        <f t="shared" ca="1" si="5"/>
        <v>83373.13621577395</v>
      </c>
      <c r="L26" s="20">
        <f t="shared" ca="1" si="5"/>
        <v>89025.413916770107</v>
      </c>
      <c r="N26" s="24" t="s">
        <v>96</v>
      </c>
      <c r="O26" s="24"/>
    </row>
    <row r="27" spans="3:15">
      <c r="C27" s="6" t="s">
        <v>15</v>
      </c>
      <c r="D27" s="17">
        <v>-15685</v>
      </c>
      <c r="E27" s="17">
        <v>-15738</v>
      </c>
      <c r="F27" s="17">
        <v>-13372</v>
      </c>
      <c r="G27" s="17">
        <v>-10481</v>
      </c>
      <c r="H27" s="63">
        <f ca="1">-H40*H26</f>
        <v>-11014.460402307237</v>
      </c>
      <c r="I27" s="63">
        <f ca="1">-I40*I26</f>
        <v>-11707.439807128676</v>
      </c>
      <c r="J27" s="63">
        <f ca="1">-J40*J26</f>
        <v>-12465.686947689139</v>
      </c>
      <c r="K27" s="63">
        <f ca="1">-K40*K26</f>
        <v>-13292.876776815596</v>
      </c>
      <c r="L27" s="63">
        <f ca="1">-L40*L26</f>
        <v>-14194.066709184593</v>
      </c>
      <c r="N27" s="5" t="s">
        <v>92</v>
      </c>
    </row>
    <row r="28" spans="3:15">
      <c r="C28" s="19" t="s">
        <v>2</v>
      </c>
      <c r="D28" s="23">
        <f t="shared" ref="D28" si="6">SUM(D26:D27)</f>
        <v>45687</v>
      </c>
      <c r="E28" s="23">
        <f t="shared" ref="E28" si="7">SUM(E26:E27)</f>
        <v>48351</v>
      </c>
      <c r="F28" s="23">
        <f t="shared" ref="F28" si="8">SUM(F26:F27)</f>
        <v>59531</v>
      </c>
      <c r="G28" s="23">
        <f t="shared" ref="G28:L28" si="9">SUM(G26:G27)</f>
        <v>55256</v>
      </c>
      <c r="H28" s="20">
        <f t="shared" ca="1" si="9"/>
        <v>58068.411791803133</v>
      </c>
      <c r="I28" s="20">
        <f t="shared" ca="1" si="9"/>
        <v>61721.810321792007</v>
      </c>
      <c r="J28" s="20">
        <f t="shared" ca="1" si="9"/>
        <v>65719.301400773867</v>
      </c>
      <c r="K28" s="20">
        <f t="shared" ca="1" si="9"/>
        <v>70080.259438958354</v>
      </c>
      <c r="L28" s="20">
        <f t="shared" ca="1" si="9"/>
        <v>74831.34720758551</v>
      </c>
      <c r="N28" s="24" t="s">
        <v>93</v>
      </c>
    </row>
    <row r="29" spans="3:15">
      <c r="C29" s="28"/>
      <c r="D29" s="34"/>
      <c r="E29" s="34"/>
      <c r="F29" s="34"/>
      <c r="G29" s="34"/>
      <c r="H29" s="34"/>
      <c r="I29" s="34"/>
      <c r="J29" s="34"/>
      <c r="K29" s="34"/>
      <c r="L29" s="34"/>
    </row>
    <row r="30" spans="3:15">
      <c r="C30" s="72" t="s">
        <v>49</v>
      </c>
      <c r="D30" s="3">
        <v>10505</v>
      </c>
      <c r="E30" s="3">
        <v>10157</v>
      </c>
      <c r="F30" s="3">
        <v>10903</v>
      </c>
      <c r="G30" s="3">
        <v>12547</v>
      </c>
      <c r="H30" s="57">
        <f ca="1">H106</f>
        <v>11808.331069482967</v>
      </c>
      <c r="I30" s="57">
        <f ca="1">I106</f>
        <v>12418.253260687266</v>
      </c>
      <c r="J30" s="57">
        <f ca="1">J106</f>
        <v>13558.159134874686</v>
      </c>
      <c r="K30" s="57">
        <f ca="1">K106</f>
        <v>14796.248715925842</v>
      </c>
      <c r="L30" s="57">
        <f ca="1">L106</f>
        <v>16140.644263520915</v>
      </c>
      <c r="N30" s="5" t="s">
        <v>159</v>
      </c>
    </row>
    <row r="31" spans="3:15">
      <c r="C31" s="73" t="s">
        <v>47</v>
      </c>
      <c r="D31" s="69">
        <f t="shared" ref="D31" si="10">D22+D30</f>
        <v>70529</v>
      </c>
      <c r="E31" s="69">
        <f>E22+E30</f>
        <v>71501</v>
      </c>
      <c r="F31" s="69">
        <f>F22+F30</f>
        <v>81801</v>
      </c>
      <c r="G31" s="69">
        <f>G22+G30</f>
        <v>76477</v>
      </c>
      <c r="H31" s="186">
        <f t="shared" ref="H31:L31" ca="1" si="11">H22+H30</f>
        <v>79651.303309482973</v>
      </c>
      <c r="I31" s="186">
        <f t="shared" ca="1" si="11"/>
        <v>84942.390585247267</v>
      </c>
      <c r="J31" s="186">
        <f t="shared" ca="1" si="11"/>
        <v>91086.46193482932</v>
      </c>
      <c r="K31" s="186">
        <f t="shared" ca="1" si="11"/>
        <v>97674.004409077344</v>
      </c>
      <c r="L31" s="186">
        <f t="shared" ca="1" si="11"/>
        <v>104736.96509949987</v>
      </c>
      <c r="N31" s="24" t="s">
        <v>97</v>
      </c>
    </row>
    <row r="32" spans="3:15">
      <c r="C32" s="72" t="s">
        <v>74</v>
      </c>
      <c r="D32" s="3">
        <v>4210</v>
      </c>
      <c r="E32" s="3">
        <v>4840</v>
      </c>
      <c r="F32" s="3">
        <v>5340</v>
      </c>
      <c r="G32" s="3">
        <v>6068</v>
      </c>
      <c r="H32" s="57">
        <f ca="1">G32*(1+H36)</f>
        <v>6432.08</v>
      </c>
      <c r="I32" s="57">
        <f ca="1">H32*(1+I36)</f>
        <v>6875.8935199999996</v>
      </c>
      <c r="J32" s="57">
        <f ca="1">I32*(1+J36)</f>
        <v>7350.3301728799988</v>
      </c>
      <c r="K32" s="57">
        <f ca="1">J32*(1+K36)</f>
        <v>7857.5029548087186</v>
      </c>
      <c r="L32" s="57">
        <f ca="1">K32*(1+L36)</f>
        <v>8399.6706586905202</v>
      </c>
      <c r="N32" s="5" t="s">
        <v>99</v>
      </c>
    </row>
    <row r="33" spans="3:21">
      <c r="C33" s="73" t="s">
        <v>72</v>
      </c>
      <c r="D33" s="69">
        <f t="shared" ref="D33" si="12">SUM(D31:D32)</f>
        <v>74739</v>
      </c>
      <c r="E33" s="69">
        <f>SUM(E31:E32)</f>
        <v>76341</v>
      </c>
      <c r="F33" s="69">
        <f>SUM(F31:F32)</f>
        <v>87141</v>
      </c>
      <c r="G33" s="69">
        <f>SUM(G31:G32)</f>
        <v>82545</v>
      </c>
      <c r="H33" s="186">
        <f t="shared" ref="H33:L33" ca="1" si="13">SUM(H31:H32)</f>
        <v>86083.383309482975</v>
      </c>
      <c r="I33" s="186">
        <f t="shared" ca="1" si="13"/>
        <v>91818.284105247265</v>
      </c>
      <c r="J33" s="186">
        <f t="shared" ca="1" si="13"/>
        <v>98436.79210770932</v>
      </c>
      <c r="K33" s="186">
        <f t="shared" ca="1" si="13"/>
        <v>105531.50736388606</v>
      </c>
      <c r="L33" s="186">
        <f t="shared" ca="1" si="13"/>
        <v>113136.63575819039</v>
      </c>
      <c r="N33" s="24" t="s">
        <v>98</v>
      </c>
    </row>
    <row r="34" spans="3:21">
      <c r="C34" s="28"/>
      <c r="H34" s="58"/>
    </row>
    <row r="35" spans="3:21">
      <c r="C35" s="25" t="s">
        <v>18</v>
      </c>
    </row>
    <row r="36" spans="3:21">
      <c r="C36" s="26" t="s">
        <v>1</v>
      </c>
      <c r="D36" s="27"/>
      <c r="E36" s="27">
        <f>E17/D17-1</f>
        <v>6.304518199398057E-2</v>
      </c>
      <c r="F36" s="27">
        <f>F17/E17-1</f>
        <v>0.15861957650261305</v>
      </c>
      <c r="G36" s="27">
        <f>G17/F17-1</f>
        <v>-2.04107758052674E-2</v>
      </c>
      <c r="H36" s="27">
        <f ca="1">H183</f>
        <v>0.06</v>
      </c>
      <c r="I36" s="27">
        <f t="shared" ref="I36:L36" ca="1" si="14">I183</f>
        <v>6.9000000000000006E-2</v>
      </c>
      <c r="J36" s="27">
        <f t="shared" ca="1" si="14"/>
        <v>6.9000000000000006E-2</v>
      </c>
      <c r="K36" s="27">
        <f t="shared" ca="1" si="14"/>
        <v>6.9000000000000006E-2</v>
      </c>
      <c r="L36" s="27">
        <f t="shared" ca="1" si="14"/>
        <v>6.9000000000000006E-2</v>
      </c>
      <c r="N36" s="5" t="s">
        <v>322</v>
      </c>
      <c r="P36" s="59"/>
      <c r="Q36" s="59"/>
      <c r="R36" s="59"/>
      <c r="S36" s="59"/>
      <c r="T36" s="59"/>
      <c r="U36" s="59"/>
    </row>
    <row r="37" spans="3:21">
      <c r="C37" s="26" t="s">
        <v>231</v>
      </c>
      <c r="D37" s="27">
        <f>D19/D17</f>
        <v>0.39075955648097049</v>
      </c>
      <c r="E37" s="27">
        <f>E19/E17</f>
        <v>0.38469860491899105</v>
      </c>
      <c r="F37" s="27">
        <f>F19/F17</f>
        <v>0.38343718820007905</v>
      </c>
      <c r="G37" s="27">
        <f>G19/G17</f>
        <v>0.37817768109034722</v>
      </c>
      <c r="H37" s="27">
        <f t="shared" ref="H37:L37" ca="1" si="15">H184</f>
        <v>0.378</v>
      </c>
      <c r="I37" s="27">
        <f t="shared" ca="1" si="15"/>
        <v>0.378</v>
      </c>
      <c r="J37" s="27">
        <f t="shared" ca="1" si="15"/>
        <v>0.378</v>
      </c>
      <c r="K37" s="27">
        <f t="shared" ca="1" si="15"/>
        <v>0.378</v>
      </c>
      <c r="L37" s="27">
        <f t="shared" ca="1" si="15"/>
        <v>0.378</v>
      </c>
      <c r="N37" s="5" t="s">
        <v>323</v>
      </c>
      <c r="P37" s="59"/>
      <c r="Q37" s="59"/>
      <c r="R37" s="59"/>
      <c r="S37" s="59"/>
      <c r="T37" s="59"/>
      <c r="U37" s="59"/>
    </row>
    <row r="38" spans="3:21">
      <c r="C38" s="26" t="s">
        <v>232</v>
      </c>
      <c r="D38" s="27">
        <f>-D20/D17</f>
        <v>4.6582482760539605E-2</v>
      </c>
      <c r="E38" s="27">
        <f>-E20/E17</f>
        <v>5.0520428906706681E-2</v>
      </c>
      <c r="F38" s="27">
        <f>-F20/F17</f>
        <v>5.3600406634161032E-2</v>
      </c>
      <c r="G38" s="27">
        <f>-G20/G17</f>
        <v>6.233136285716482E-2</v>
      </c>
      <c r="H38" s="27">
        <f t="shared" ref="H38:L38" ca="1" si="16">H185</f>
        <v>6.2E-2</v>
      </c>
      <c r="I38" s="27">
        <f t="shared" ca="1" si="16"/>
        <v>6.2E-2</v>
      </c>
      <c r="J38" s="27">
        <f t="shared" ca="1" si="16"/>
        <v>6.2E-2</v>
      </c>
      <c r="K38" s="27">
        <f t="shared" ca="1" si="16"/>
        <v>6.2E-2</v>
      </c>
      <c r="L38" s="27">
        <f t="shared" ca="1" si="16"/>
        <v>6.2E-2</v>
      </c>
      <c r="N38" s="5" t="s">
        <v>323</v>
      </c>
      <c r="P38" s="59"/>
      <c r="Q38" s="59"/>
      <c r="R38" s="59"/>
      <c r="S38" s="59"/>
      <c r="T38" s="59"/>
      <c r="U38" s="59"/>
    </row>
    <row r="39" spans="3:21">
      <c r="C39" s="26" t="s">
        <v>234</v>
      </c>
      <c r="D39" s="27">
        <f>-D21/D17</f>
        <v>6.5822972653369755E-2</v>
      </c>
      <c r="E39" s="27">
        <f>-E21/E17</f>
        <v>6.6573893924984945E-2</v>
      </c>
      <c r="F39" s="27">
        <f>-F21/F17</f>
        <v>6.2896515371147807E-2</v>
      </c>
      <c r="G39" s="27">
        <f>-G21/G17</f>
        <v>7.0126146348213125E-2</v>
      </c>
      <c r="H39" s="27">
        <f t="shared" ref="H39:L39" ca="1" si="17">H186</f>
        <v>7.0000000000000007E-2</v>
      </c>
      <c r="I39" s="27">
        <f t="shared" ca="1" si="17"/>
        <v>7.0000000000000007E-2</v>
      </c>
      <c r="J39" s="27">
        <f t="shared" ca="1" si="17"/>
        <v>7.0000000000000007E-2</v>
      </c>
      <c r="K39" s="27">
        <f t="shared" ca="1" si="17"/>
        <v>7.0000000000000007E-2</v>
      </c>
      <c r="L39" s="27">
        <f t="shared" ca="1" si="17"/>
        <v>7.0000000000000007E-2</v>
      </c>
      <c r="N39" s="5" t="s">
        <v>323</v>
      </c>
      <c r="P39" s="59"/>
      <c r="Q39" s="59"/>
      <c r="R39" s="59"/>
      <c r="S39" s="59"/>
      <c r="T39" s="59"/>
      <c r="U39" s="59"/>
    </row>
    <row r="40" spans="3:21">
      <c r="C40" s="26" t="s">
        <v>0</v>
      </c>
      <c r="D40" s="27">
        <f>-(D27/D26)</f>
        <v>0.25557257381216192</v>
      </c>
      <c r="E40" s="27">
        <f>-(E27/E26)</f>
        <v>0.24556476150353415</v>
      </c>
      <c r="F40" s="27">
        <f>-(F27/F26)</f>
        <v>0.18342180705869443</v>
      </c>
      <c r="G40" s="27">
        <f>-(G27/G26)</f>
        <v>0.15943836804235059</v>
      </c>
      <c r="H40" s="66">
        <f>G40</f>
        <v>0.15943836804235059</v>
      </c>
      <c r="I40" s="66">
        <f t="shared" ref="I40" si="18">H40</f>
        <v>0.15943836804235059</v>
      </c>
      <c r="J40" s="66">
        <f t="shared" ref="J40" si="19">I40</f>
        <v>0.15943836804235059</v>
      </c>
      <c r="K40" s="66">
        <f t="shared" ref="K40" si="20">J40</f>
        <v>0.15943836804235059</v>
      </c>
      <c r="L40" s="66">
        <f t="shared" ref="L40" si="21">K40</f>
        <v>0.15943836804235059</v>
      </c>
      <c r="N40" s="5" t="s">
        <v>323</v>
      </c>
      <c r="P40" s="29"/>
      <c r="Q40" s="29"/>
      <c r="R40" s="29"/>
      <c r="S40" s="29"/>
      <c r="T40" s="29"/>
      <c r="U40" s="29"/>
    </row>
    <row r="41" spans="3:21">
      <c r="C41" s="28"/>
      <c r="D41" s="28"/>
      <c r="H41" s="58"/>
    </row>
    <row r="42" spans="3:21">
      <c r="C42" s="7" t="s">
        <v>20</v>
      </c>
      <c r="D42" s="7"/>
      <c r="E42" s="13"/>
      <c r="F42" s="13"/>
      <c r="G42" s="13"/>
      <c r="H42" s="9"/>
      <c r="I42" s="9"/>
      <c r="J42" s="9"/>
      <c r="K42" s="9"/>
      <c r="L42" s="9"/>
    </row>
    <row r="43" spans="3:21">
      <c r="C43" s="35" t="str">
        <f>C14</f>
        <v xml:space="preserve">Fiscal year  </v>
      </c>
      <c r="D43" s="35"/>
      <c r="E43" s="30">
        <f t="shared" ref="E43" si="22">E14</f>
        <v>2017</v>
      </c>
      <c r="F43" s="30">
        <f t="shared" ref="F43:L44" si="23">F14</f>
        <v>2018</v>
      </c>
      <c r="G43" s="30">
        <f t="shared" si="23"/>
        <v>2019</v>
      </c>
      <c r="H43" s="31">
        <f t="shared" si="23"/>
        <v>2020</v>
      </c>
      <c r="I43" s="31">
        <f t="shared" si="23"/>
        <v>2021</v>
      </c>
      <c r="J43" s="31">
        <f t="shared" si="23"/>
        <v>2022</v>
      </c>
      <c r="K43" s="31">
        <f t="shared" si="23"/>
        <v>2023</v>
      </c>
      <c r="L43" s="31">
        <f t="shared" si="23"/>
        <v>2024</v>
      </c>
    </row>
    <row r="44" spans="3:21">
      <c r="C44" s="9" t="str">
        <f>C15</f>
        <v>Fiscal year end date</v>
      </c>
      <c r="D44" s="9"/>
      <c r="E44" s="32">
        <f t="shared" ref="E44" si="24">E15</f>
        <v>43008</v>
      </c>
      <c r="F44" s="32">
        <f t="shared" si="23"/>
        <v>43372</v>
      </c>
      <c r="G44" s="32">
        <f t="shared" si="23"/>
        <v>43737</v>
      </c>
      <c r="H44" s="32">
        <f t="shared" si="23"/>
        <v>44104</v>
      </c>
      <c r="I44" s="32">
        <f t="shared" si="23"/>
        <v>44469</v>
      </c>
      <c r="J44" s="32">
        <f t="shared" si="23"/>
        <v>44834</v>
      </c>
      <c r="K44" s="32">
        <f t="shared" si="23"/>
        <v>45199</v>
      </c>
      <c r="L44" s="32">
        <f t="shared" si="23"/>
        <v>45565</v>
      </c>
    </row>
    <row r="45" spans="3:21">
      <c r="C45" s="5" t="s">
        <v>138</v>
      </c>
      <c r="E45" s="36">
        <f>20289+53892+194714</f>
        <v>268895</v>
      </c>
      <c r="F45" s="36">
        <f>25913+40388+170799</f>
        <v>237100</v>
      </c>
      <c r="G45" s="36">
        <f>48844+51713+105341</f>
        <v>205898</v>
      </c>
      <c r="H45" s="193">
        <f ca="1">H90+G45</f>
        <v>194727.25772280112</v>
      </c>
      <c r="I45" s="193">
        <f ca="1">I90+H45</f>
        <v>181481.27399546286</v>
      </c>
      <c r="J45" s="193">
        <f ca="1">J90+I45</f>
        <v>172039.83709702062</v>
      </c>
      <c r="K45" s="193">
        <f ca="1">K90+J45</f>
        <v>166750.2214031397</v>
      </c>
      <c r="L45" s="193">
        <f ca="1">L90+K45</f>
        <v>165986.189441194</v>
      </c>
      <c r="N45" s="5" t="s">
        <v>118</v>
      </c>
    </row>
    <row r="46" spans="3:21">
      <c r="C46" s="5" t="s">
        <v>54</v>
      </c>
      <c r="E46" s="36">
        <v>17874</v>
      </c>
      <c r="F46" s="36">
        <v>23186</v>
      </c>
      <c r="G46" s="36">
        <v>22926</v>
      </c>
      <c r="H46" s="193">
        <f ca="1">G46*(1+H36)</f>
        <v>24301.56</v>
      </c>
      <c r="I46" s="193">
        <f ca="1">H46*(1+I36)</f>
        <v>25978.36764</v>
      </c>
      <c r="J46" s="193">
        <f ca="1">I46*(1+J36)</f>
        <v>27770.875007160001</v>
      </c>
      <c r="K46" s="193">
        <f ca="1">J46*(1+K36)</f>
        <v>29687.06538265404</v>
      </c>
      <c r="L46" s="193">
        <f ca="1">K46*(1+L36)</f>
        <v>31735.472894057166</v>
      </c>
      <c r="N46" s="5" t="s">
        <v>103</v>
      </c>
    </row>
    <row r="47" spans="3:21">
      <c r="C47" s="5" t="s">
        <v>55</v>
      </c>
      <c r="E47" s="36">
        <v>4855</v>
      </c>
      <c r="F47" s="36">
        <v>3956</v>
      </c>
      <c r="G47" s="36">
        <v>4106</v>
      </c>
      <c r="H47" s="193">
        <f ca="1">G47*H18/G18</f>
        <v>4353.6036544119861</v>
      </c>
      <c r="I47" s="193">
        <f ca="1">H47*I18/H18</f>
        <v>4654.0023065664127</v>
      </c>
      <c r="J47" s="193">
        <f ca="1">I47*J18/I18</f>
        <v>4975.1284657194956</v>
      </c>
      <c r="K47" s="193">
        <f ca="1">J47*K18/J18</f>
        <v>5318.4123298541408</v>
      </c>
      <c r="L47" s="193">
        <f ca="1">K47*L18/K18</f>
        <v>5685.3827806140762</v>
      </c>
      <c r="N47" s="5" t="s">
        <v>104</v>
      </c>
    </row>
    <row r="48" spans="3:21">
      <c r="C48" s="6" t="s">
        <v>108</v>
      </c>
      <c r="D48" s="6"/>
      <c r="E48" s="37">
        <f>17799+13936</f>
        <v>31735</v>
      </c>
      <c r="F48" s="37">
        <f>25809+12087</f>
        <v>37896</v>
      </c>
      <c r="G48" s="37">
        <f>12352+22878</f>
        <v>35230</v>
      </c>
      <c r="H48" s="193">
        <f ca="1">G48*(1+H36)</f>
        <v>37343.800000000003</v>
      </c>
      <c r="I48" s="193">
        <f ca="1">H48*(1+I36)</f>
        <v>39920.522199999999</v>
      </c>
      <c r="J48" s="193">
        <f ca="1">I48*(1+J36)</f>
        <v>42675.038231799997</v>
      </c>
      <c r="K48" s="193">
        <f ca="1">J48*(1+K36)</f>
        <v>45619.615869794194</v>
      </c>
      <c r="L48" s="193">
        <f ca="1">K48*(1+L36)</f>
        <v>48767.369364809994</v>
      </c>
      <c r="N48" s="5" t="s">
        <v>103</v>
      </c>
      <c r="O48" s="34"/>
    </row>
    <row r="49" spans="3:15">
      <c r="C49" s="21" t="s">
        <v>21</v>
      </c>
      <c r="D49" s="21"/>
      <c r="E49" s="37">
        <v>33783</v>
      </c>
      <c r="F49" s="37">
        <v>41304</v>
      </c>
      <c r="G49" s="37">
        <v>37378</v>
      </c>
      <c r="H49" s="193">
        <f>H99</f>
        <v>39817.318930517038</v>
      </c>
      <c r="I49" s="193">
        <f t="shared" ref="I49:L49" si="25">I99</f>
        <v>42050.931249829766</v>
      </c>
      <c r="J49" s="193">
        <f t="shared" ca="1" si="25"/>
        <v>44155.616419975078</v>
      </c>
      <c r="K49" s="193">
        <f t="shared" ca="1" si="25"/>
        <v>46102.948266115614</v>
      </c>
      <c r="L49" s="193">
        <f t="shared" ca="1" si="25"/>
        <v>47861.191623443658</v>
      </c>
      <c r="N49" s="5" t="s">
        <v>105</v>
      </c>
    </row>
    <row r="50" spans="3:15">
      <c r="C50" s="21" t="s">
        <v>56</v>
      </c>
      <c r="D50" s="21"/>
      <c r="E50" s="37">
        <v>18177</v>
      </c>
      <c r="F50" s="37">
        <v>22283</v>
      </c>
      <c r="G50" s="37">
        <v>32978</v>
      </c>
      <c r="H50" s="193">
        <f ca="1">G50*(1+H36)</f>
        <v>34956.68</v>
      </c>
      <c r="I50" s="193">
        <f ca="1">H50*(1+I36)</f>
        <v>37368.690920000001</v>
      </c>
      <c r="J50" s="193">
        <f ca="1">I50*(1+J36)</f>
        <v>39947.130593479997</v>
      </c>
      <c r="K50" s="193">
        <f ca="1">J50*(1+K36)</f>
        <v>42703.482604430115</v>
      </c>
      <c r="L50" s="193">
        <f ca="1">K50*(1+L36)</f>
        <v>45650.022904135789</v>
      </c>
      <c r="N50" s="5" t="s">
        <v>103</v>
      </c>
    </row>
    <row r="51" spans="3:15">
      <c r="C51" s="39" t="s">
        <v>22</v>
      </c>
      <c r="D51" s="39"/>
      <c r="E51" s="40">
        <f t="shared" ref="E51:F51" si="26">SUM(E45:E50)</f>
        <v>375319</v>
      </c>
      <c r="F51" s="40">
        <f t="shared" si="26"/>
        <v>365725</v>
      </c>
      <c r="G51" s="40">
        <f t="shared" ref="G51:L51" si="27">SUM(G45:G50)</f>
        <v>338516</v>
      </c>
      <c r="H51" s="194">
        <f t="shared" ca="1" si="27"/>
        <v>335500.2203077302</v>
      </c>
      <c r="I51" s="194">
        <f t="shared" ca="1" si="27"/>
        <v>331453.78831185907</v>
      </c>
      <c r="J51" s="194">
        <f t="shared" ca="1" si="27"/>
        <v>331563.62581515522</v>
      </c>
      <c r="K51" s="194">
        <f t="shared" ca="1" si="27"/>
        <v>336181.74585598783</v>
      </c>
      <c r="L51" s="194">
        <f t="shared" ca="1" si="27"/>
        <v>345685.62900825473</v>
      </c>
    </row>
    <row r="52" spans="3:15">
      <c r="C52" s="41"/>
      <c r="D52" s="41"/>
      <c r="E52" s="42"/>
      <c r="F52" s="42"/>
      <c r="G52" s="42"/>
      <c r="H52" s="193"/>
      <c r="I52" s="193"/>
      <c r="J52" s="193"/>
      <c r="K52" s="193"/>
      <c r="L52" s="193"/>
    </row>
    <row r="53" spans="3:15">
      <c r="C53" s="41" t="s">
        <v>57</v>
      </c>
      <c r="D53" s="41"/>
      <c r="E53" s="37">
        <v>44242</v>
      </c>
      <c r="F53" s="37">
        <v>55888</v>
      </c>
      <c r="G53" s="37">
        <v>46236</v>
      </c>
      <c r="H53" s="193">
        <f ca="1">G53*H18/G18</f>
        <v>49024.164287723484</v>
      </c>
      <c r="I53" s="193">
        <f t="shared" ref="I53:L53" ca="1" si="28">H53*I18/H18</f>
        <v>52406.8316235764</v>
      </c>
      <c r="J53" s="193">
        <f t="shared" ca="1" si="28"/>
        <v>56022.90300560317</v>
      </c>
      <c r="K53" s="193">
        <f t="shared" ca="1" si="28"/>
        <v>59888.483312989789</v>
      </c>
      <c r="L53" s="193">
        <f t="shared" ca="1" si="28"/>
        <v>64020.788661586084</v>
      </c>
      <c r="N53" s="5" t="s">
        <v>104</v>
      </c>
    </row>
    <row r="54" spans="3:15">
      <c r="C54" s="41" t="s">
        <v>117</v>
      </c>
      <c r="D54" s="41"/>
      <c r="E54" s="37">
        <v>30551</v>
      </c>
      <c r="F54" s="37">
        <v>33327</v>
      </c>
      <c r="G54" s="37">
        <v>37720</v>
      </c>
      <c r="H54" s="193">
        <f ca="1">G54*(1+H36)</f>
        <v>39983.200000000004</v>
      </c>
      <c r="I54" s="193">
        <f t="shared" ref="I54:L54" ca="1" si="29">H54*(1+I36)</f>
        <v>42742.040800000002</v>
      </c>
      <c r="J54" s="193">
        <f t="shared" ca="1" si="29"/>
        <v>45691.241615200001</v>
      </c>
      <c r="K54" s="193">
        <f t="shared" ca="1" si="29"/>
        <v>48843.937286648797</v>
      </c>
      <c r="L54" s="193">
        <f t="shared" ca="1" si="29"/>
        <v>52214.168959427559</v>
      </c>
      <c r="N54" s="5" t="s">
        <v>103</v>
      </c>
    </row>
    <row r="55" spans="3:15">
      <c r="C55" s="41" t="s">
        <v>320</v>
      </c>
      <c r="D55" s="41"/>
      <c r="E55" s="37">
        <f>7548+2836</f>
        <v>10384</v>
      </c>
      <c r="F55" s="37">
        <v>5966</v>
      </c>
      <c r="G55" s="37">
        <v>5522</v>
      </c>
      <c r="H55" s="193">
        <f ca="1">G55*(1+H36)</f>
        <v>5853.3200000000006</v>
      </c>
      <c r="I55" s="193">
        <f t="shared" ref="I55:L55" ca="1" si="30">H55*(1+I36)</f>
        <v>6257.1990800000003</v>
      </c>
      <c r="J55" s="193">
        <f t="shared" ca="1" si="30"/>
        <v>6688.9458165200003</v>
      </c>
      <c r="K55" s="193">
        <f t="shared" ca="1" si="30"/>
        <v>7150.4830778598798</v>
      </c>
      <c r="L55" s="193">
        <f t="shared" ca="1" si="30"/>
        <v>7643.8664102322109</v>
      </c>
      <c r="N55" s="5" t="s">
        <v>103</v>
      </c>
      <c r="O55" s="34"/>
    </row>
    <row r="56" spans="3:15">
      <c r="C56" s="41" t="s">
        <v>60</v>
      </c>
      <c r="D56" s="41"/>
      <c r="E56" s="37">
        <v>11977</v>
      </c>
      <c r="F56" s="37">
        <v>11964</v>
      </c>
      <c r="G56" s="37">
        <v>5980</v>
      </c>
      <c r="H56" s="193">
        <f ca="1">H135</f>
        <v>12000</v>
      </c>
      <c r="I56" s="193">
        <f ca="1">I135</f>
        <v>12000</v>
      </c>
      <c r="J56" s="193">
        <f ca="1">J135</f>
        <v>12000</v>
      </c>
      <c r="K56" s="193">
        <f ca="1">K135</f>
        <v>12000</v>
      </c>
      <c r="L56" s="193">
        <f ca="1">L135</f>
        <v>12000</v>
      </c>
      <c r="N56" s="5" t="s">
        <v>187</v>
      </c>
    </row>
    <row r="57" spans="3:15">
      <c r="C57" s="41" t="s">
        <v>122</v>
      </c>
      <c r="D57" s="41"/>
      <c r="E57" s="37">
        <f>6496+97207</f>
        <v>103703</v>
      </c>
      <c r="F57" s="37">
        <f>8784+93735</f>
        <v>102519</v>
      </c>
      <c r="G57" s="37">
        <f>10260+91807</f>
        <v>102067</v>
      </c>
      <c r="H57" s="193">
        <f>G57</f>
        <v>102067</v>
      </c>
      <c r="I57" s="193">
        <f t="shared" ref="I57:L57" si="31">H57</f>
        <v>102067</v>
      </c>
      <c r="J57" s="193">
        <f t="shared" si="31"/>
        <v>102067</v>
      </c>
      <c r="K57" s="193">
        <f t="shared" si="31"/>
        <v>102067</v>
      </c>
      <c r="L57" s="193">
        <f t="shared" si="31"/>
        <v>102067</v>
      </c>
      <c r="N57" s="5" t="s">
        <v>100</v>
      </c>
    </row>
    <row r="58" spans="3:15" ht="15.75" customHeight="1">
      <c r="C58" s="41" t="s">
        <v>59</v>
      </c>
      <c r="D58" s="41"/>
      <c r="E58" s="37">
        <v>40415</v>
      </c>
      <c r="F58" s="37">
        <v>48914</v>
      </c>
      <c r="G58" s="37">
        <v>50503</v>
      </c>
      <c r="H58" s="193">
        <f ca="1">G58*(1+H36)</f>
        <v>53533.18</v>
      </c>
      <c r="I58" s="193">
        <f t="shared" ref="I58:L58" ca="1" si="32">H58*(1+I36)</f>
        <v>57226.969420000001</v>
      </c>
      <c r="J58" s="193">
        <f t="shared" ca="1" si="32"/>
        <v>61175.630309979999</v>
      </c>
      <c r="K58" s="193">
        <f t="shared" ca="1" si="32"/>
        <v>65396.748801368616</v>
      </c>
      <c r="L58" s="193">
        <f t="shared" ca="1" si="32"/>
        <v>69909.124468663053</v>
      </c>
      <c r="M58" s="6"/>
      <c r="N58" t="s">
        <v>103</v>
      </c>
    </row>
    <row r="59" spans="3:15">
      <c r="C59" s="39" t="s">
        <v>24</v>
      </c>
      <c r="D59" s="39"/>
      <c r="E59" s="43">
        <f t="shared" ref="E59:F59" si="33">SUM(E53:E58)</f>
        <v>241272</v>
      </c>
      <c r="F59" s="43">
        <f t="shared" si="33"/>
        <v>258578</v>
      </c>
      <c r="G59" s="43">
        <f t="shared" ref="G59:L59" si="34">SUM(G53:G58)</f>
        <v>248028</v>
      </c>
      <c r="H59" s="194">
        <f t="shared" ca="1" si="34"/>
        <v>262460.8642877235</v>
      </c>
      <c r="I59" s="194">
        <f t="shared" ca="1" si="34"/>
        <v>272700.04092357639</v>
      </c>
      <c r="J59" s="194">
        <f t="shared" ca="1" si="34"/>
        <v>283645.72074730316</v>
      </c>
      <c r="K59" s="194">
        <f t="shared" ca="1" si="34"/>
        <v>295346.65247886709</v>
      </c>
      <c r="L59" s="194">
        <f t="shared" ca="1" si="34"/>
        <v>307854.9484999089</v>
      </c>
    </row>
    <row r="60" spans="3:15">
      <c r="C60" s="39"/>
      <c r="D60" s="39"/>
      <c r="E60" s="43"/>
      <c r="F60" s="43"/>
      <c r="G60" s="43"/>
      <c r="H60" s="57"/>
      <c r="I60" s="57"/>
      <c r="J60" s="57"/>
      <c r="K60" s="57"/>
      <c r="L60" s="57"/>
    </row>
    <row r="61" spans="3:15">
      <c r="C61" s="41" t="s">
        <v>61</v>
      </c>
      <c r="D61" s="41"/>
      <c r="E61" s="37">
        <v>35867</v>
      </c>
      <c r="F61" s="3">
        <v>40201</v>
      </c>
      <c r="G61" s="3">
        <v>45174</v>
      </c>
      <c r="H61" s="193">
        <f ca="1">G61+H32</f>
        <v>51606.080000000002</v>
      </c>
      <c r="I61" s="193">
        <f t="shared" ref="I61:L61" ca="1" si="35">H61+I32</f>
        <v>58481.97352</v>
      </c>
      <c r="J61" s="193">
        <f t="shared" ca="1" si="35"/>
        <v>65832.303692879999</v>
      </c>
      <c r="K61" s="193">
        <f t="shared" ca="1" si="35"/>
        <v>73689.806647688718</v>
      </c>
      <c r="L61" s="193">
        <f t="shared" ca="1" si="35"/>
        <v>82089.477306379238</v>
      </c>
      <c r="N61" s="5" t="s">
        <v>155</v>
      </c>
    </row>
    <row r="62" spans="3:15" ht="15.75" customHeight="1">
      <c r="C62" s="41" t="s">
        <v>44</v>
      </c>
      <c r="D62" s="41"/>
      <c r="E62" s="38">
        <f>98330</f>
        <v>98330</v>
      </c>
      <c r="F62" s="3">
        <v>70400</v>
      </c>
      <c r="G62" s="3">
        <v>45898</v>
      </c>
      <c r="H62" s="193">
        <f ca="1">H119</f>
        <v>22017.276020006655</v>
      </c>
      <c r="I62" s="193">
        <f t="shared" ref="I62:L62" ca="1" si="36">I119</f>
        <v>855.77386828267481</v>
      </c>
      <c r="J62" s="193">
        <f t="shared" ca="1" si="36"/>
        <v>-17330.39862502797</v>
      </c>
      <c r="K62" s="193">
        <f t="shared" ca="1" si="36"/>
        <v>-32270.713270567998</v>
      </c>
      <c r="L62" s="193">
        <f t="shared" ca="1" si="36"/>
        <v>-43674.796798033451</v>
      </c>
      <c r="N62" s="5" t="s">
        <v>107</v>
      </c>
      <c r="O62" s="34"/>
    </row>
    <row r="63" spans="3:15" ht="15.75" customHeight="1">
      <c r="C63" s="41" t="s">
        <v>121</v>
      </c>
      <c r="D63" s="41"/>
      <c r="E63" s="37">
        <v>-150</v>
      </c>
      <c r="F63" s="3">
        <v>-3454</v>
      </c>
      <c r="G63" s="3">
        <v>-584</v>
      </c>
      <c r="H63" s="193">
        <f>G63</f>
        <v>-584</v>
      </c>
      <c r="I63" s="193">
        <f>H63</f>
        <v>-584</v>
      </c>
      <c r="J63" s="193">
        <f>I63</f>
        <v>-584</v>
      </c>
      <c r="K63" s="193">
        <f>J63</f>
        <v>-584</v>
      </c>
      <c r="L63" s="193">
        <f>K63</f>
        <v>-584</v>
      </c>
      <c r="N63" s="5" t="s">
        <v>100</v>
      </c>
    </row>
    <row r="64" spans="3:15">
      <c r="C64" s="39" t="s">
        <v>25</v>
      </c>
      <c r="D64" s="39"/>
      <c r="E64" s="44">
        <f t="shared" ref="E64:F64" si="37">SUM(E61:E63)</f>
        <v>134047</v>
      </c>
      <c r="F64" s="44">
        <f t="shared" si="37"/>
        <v>107147</v>
      </c>
      <c r="G64" s="44">
        <f t="shared" ref="G64:L64" si="38">SUM(G61:G63)</f>
        <v>90488</v>
      </c>
      <c r="H64" s="194">
        <f t="shared" ca="1" si="38"/>
        <v>73039.356020006657</v>
      </c>
      <c r="I64" s="194">
        <f t="shared" ca="1" si="38"/>
        <v>58753.747388282674</v>
      </c>
      <c r="J64" s="194">
        <f t="shared" ca="1" si="38"/>
        <v>47917.905067852029</v>
      </c>
      <c r="K64" s="194">
        <f t="shared" ca="1" si="38"/>
        <v>40835.09337712072</v>
      </c>
      <c r="L64" s="194">
        <f t="shared" ca="1" si="38"/>
        <v>37830.680508345788</v>
      </c>
    </row>
    <row r="65" spans="3:15">
      <c r="C65" s="6"/>
      <c r="D65" s="6"/>
      <c r="E65" s="45"/>
      <c r="F65" s="45"/>
      <c r="G65" s="45"/>
    </row>
    <row r="66" spans="3:15">
      <c r="C66" s="14" t="s">
        <v>26</v>
      </c>
      <c r="D66" s="14"/>
      <c r="E66" s="46">
        <f>ROUND(E51-E59-E64,3)</f>
        <v>0</v>
      </c>
      <c r="F66" s="46">
        <f>ROUND(F51-F59-F64,3)</f>
        <v>0</v>
      </c>
      <c r="G66" s="46">
        <f t="shared" ref="G66:L66" si="39">ROUND(G51-G59-G64,3)</f>
        <v>0</v>
      </c>
      <c r="H66" s="46">
        <f t="shared" ca="1" si="39"/>
        <v>0</v>
      </c>
      <c r="I66" s="46">
        <f t="shared" ca="1" si="39"/>
        <v>0</v>
      </c>
      <c r="J66" s="46">
        <f t="shared" ca="1" si="39"/>
        <v>0</v>
      </c>
      <c r="K66" s="46">
        <f t="shared" ca="1" si="39"/>
        <v>0</v>
      </c>
      <c r="L66" s="46">
        <f t="shared" ca="1" si="39"/>
        <v>0</v>
      </c>
    </row>
    <row r="67" spans="3:15">
      <c r="F67" s="34"/>
      <c r="G67" s="34"/>
      <c r="I67" s="34"/>
      <c r="J67" s="34"/>
      <c r="K67" s="34"/>
      <c r="L67" s="34"/>
    </row>
    <row r="68" spans="3:15">
      <c r="C68" s="7" t="s">
        <v>32</v>
      </c>
      <c r="D68" s="7"/>
      <c r="E68" s="13"/>
      <c r="F68" s="13"/>
      <c r="G68" s="13"/>
      <c r="H68" s="13"/>
      <c r="I68" s="13"/>
      <c r="J68" s="13"/>
      <c r="K68" s="13"/>
      <c r="L68" s="13"/>
    </row>
    <row r="69" spans="3:15">
      <c r="C69" s="35" t="str">
        <f>C14</f>
        <v xml:space="preserve">Fiscal year  </v>
      </c>
      <c r="D69" s="35"/>
      <c r="E69" s="30"/>
      <c r="F69" s="30"/>
      <c r="G69" s="30"/>
      <c r="H69" s="31">
        <f t="shared" ref="H69:L70" si="40">H14</f>
        <v>2020</v>
      </c>
      <c r="I69" s="31">
        <f t="shared" si="40"/>
        <v>2021</v>
      </c>
      <c r="J69" s="31">
        <f t="shared" si="40"/>
        <v>2022</v>
      </c>
      <c r="K69" s="31">
        <f t="shared" si="40"/>
        <v>2023</v>
      </c>
      <c r="L69" s="31">
        <f t="shared" si="40"/>
        <v>2024</v>
      </c>
    </row>
    <row r="70" spans="3:15">
      <c r="C70" s="9" t="str">
        <f>C15</f>
        <v>Fiscal year end date</v>
      </c>
      <c r="D70" s="9"/>
      <c r="E70" s="32"/>
      <c r="F70" s="32"/>
      <c r="G70" s="32"/>
      <c r="H70" s="32">
        <f t="shared" si="40"/>
        <v>44104</v>
      </c>
      <c r="I70" s="32">
        <f t="shared" si="40"/>
        <v>44469</v>
      </c>
      <c r="J70" s="32">
        <f t="shared" si="40"/>
        <v>44834</v>
      </c>
      <c r="K70" s="32">
        <f t="shared" si="40"/>
        <v>45199</v>
      </c>
      <c r="L70" s="32">
        <f t="shared" si="40"/>
        <v>45565</v>
      </c>
    </row>
    <row r="72" spans="3:15">
      <c r="C72" s="6" t="s">
        <v>2</v>
      </c>
      <c r="D72" s="6"/>
      <c r="E72" s="50"/>
      <c r="F72" s="50"/>
      <c r="G72" s="50"/>
      <c r="H72" s="193">
        <f ca="1">H28</f>
        <v>58068.411791803133</v>
      </c>
      <c r="I72" s="193">
        <f t="shared" ref="I72:L72" ca="1" si="41">I28</f>
        <v>61721.810321792007</v>
      </c>
      <c r="J72" s="193">
        <f t="shared" ca="1" si="41"/>
        <v>65719.301400773867</v>
      </c>
      <c r="K72" s="193">
        <f t="shared" ca="1" si="41"/>
        <v>70080.259438958354</v>
      </c>
      <c r="L72" s="193">
        <f t="shared" ca="1" si="41"/>
        <v>74831.34720758551</v>
      </c>
      <c r="N72" s="24"/>
      <c r="O72"/>
    </row>
    <row r="73" spans="3:15">
      <c r="C73" s="6" t="s">
        <v>33</v>
      </c>
      <c r="D73" s="6"/>
      <c r="E73" s="50"/>
      <c r="F73" s="50"/>
      <c r="G73" s="50"/>
      <c r="H73" s="193">
        <f ca="1">H30</f>
        <v>11808.331069482967</v>
      </c>
      <c r="I73" s="193">
        <f t="shared" ref="I73:L73" ca="1" si="42">I30</f>
        <v>12418.253260687266</v>
      </c>
      <c r="J73" s="193">
        <f t="shared" ca="1" si="42"/>
        <v>13558.159134874686</v>
      </c>
      <c r="K73" s="193">
        <f t="shared" ca="1" si="42"/>
        <v>14796.248715925842</v>
      </c>
      <c r="L73" s="193">
        <f t="shared" ca="1" si="42"/>
        <v>16140.644263520915</v>
      </c>
      <c r="N73" s="5" t="s">
        <v>170</v>
      </c>
      <c r="O73"/>
    </row>
    <row r="74" spans="3:15">
      <c r="C74" s="6" t="s">
        <v>74</v>
      </c>
      <c r="D74" s="6"/>
      <c r="E74" s="50"/>
      <c r="F74" s="50"/>
      <c r="G74" s="50"/>
      <c r="H74" s="193">
        <f ca="1">H32</f>
        <v>6432.08</v>
      </c>
      <c r="I74" s="193">
        <f t="shared" ref="I74:L74" ca="1" si="43">I32</f>
        <v>6875.8935199999996</v>
      </c>
      <c r="J74" s="193">
        <f t="shared" ca="1" si="43"/>
        <v>7350.3301728799988</v>
      </c>
      <c r="K74" s="193">
        <f t="shared" ca="1" si="43"/>
        <v>7857.5029548087186</v>
      </c>
      <c r="L74" s="193">
        <f t="shared" ca="1" si="43"/>
        <v>8399.6706586905202</v>
      </c>
      <c r="O74"/>
    </row>
    <row r="75" spans="3:15">
      <c r="C75" s="6" t="s">
        <v>65</v>
      </c>
      <c r="D75" s="6"/>
      <c r="E75" s="22"/>
      <c r="F75" s="22"/>
      <c r="G75" s="22"/>
      <c r="H75" s="193">
        <f ca="1">SUM(G46:G48)-SUM(H46:H48)</f>
        <v>-3736.9636544119858</v>
      </c>
      <c r="I75" s="193">
        <f t="shared" ref="I75:L75" ca="1" si="44">SUM(H46:H48)-SUM(I46:I48)</f>
        <v>-4553.9284921544313</v>
      </c>
      <c r="J75" s="193">
        <f t="shared" ca="1" si="44"/>
        <v>-4868.149558113073</v>
      </c>
      <c r="K75" s="193">
        <f t="shared" ca="1" si="44"/>
        <v>-5204.0518776228855</v>
      </c>
      <c r="L75" s="193">
        <f t="shared" ca="1" si="44"/>
        <v>-5563.131457178868</v>
      </c>
      <c r="O75"/>
    </row>
    <row r="76" spans="3:15">
      <c r="C76" s="6" t="s">
        <v>66</v>
      </c>
      <c r="D76" s="6"/>
      <c r="E76" s="22"/>
      <c r="F76" s="22"/>
      <c r="G76" s="22"/>
      <c r="H76" s="193">
        <f ca="1">SUM(H53:H55)-SUM(G53:G55)</f>
        <v>5382.6842877235031</v>
      </c>
      <c r="I76" s="193">
        <f ca="1">SUM(I53:I55)-SUM(H53:H55)</f>
        <v>6545.3872158528975</v>
      </c>
      <c r="J76" s="193">
        <f ca="1">SUM(J53:J55)-SUM(I53:I55)</f>
        <v>6997.0189337467746</v>
      </c>
      <c r="K76" s="193">
        <f ca="1">SUM(K53:K55)-SUM(J53:J55)</f>
        <v>7479.8132401752955</v>
      </c>
      <c r="L76" s="193">
        <f ca="1">SUM(L53:L55)-SUM(K53:K55)</f>
        <v>7995.9203537473804</v>
      </c>
    </row>
    <row r="77" spans="3:15">
      <c r="C77" s="21" t="s">
        <v>56</v>
      </c>
      <c r="D77" s="21"/>
      <c r="F77" s="6"/>
      <c r="G77" s="6"/>
      <c r="H77" s="193">
        <f ca="1">-H111</f>
        <v>-3300.5</v>
      </c>
      <c r="I77" s="193">
        <f t="shared" ref="I77:L77" ca="1" si="45">-I111</f>
        <v>-3825.036500000002</v>
      </c>
      <c r="J77" s="193">
        <f t="shared" ca="1" si="45"/>
        <v>-4088.9640184999953</v>
      </c>
      <c r="K77" s="193">
        <f t="shared" ca="1" si="45"/>
        <v>-4371.1025357764956</v>
      </c>
      <c r="L77" s="193">
        <f t="shared" ca="1" si="45"/>
        <v>-4672.7086107450741</v>
      </c>
      <c r="M77" s="6"/>
      <c r="N77" s="5" t="s">
        <v>171</v>
      </c>
    </row>
    <row r="78" spans="3:15">
      <c r="C78" s="21" t="s">
        <v>59</v>
      </c>
      <c r="D78" s="21"/>
      <c r="F78" s="6"/>
      <c r="G78" s="6"/>
      <c r="H78" s="193">
        <f ca="1">H58-G58</f>
        <v>3030.1800000000003</v>
      </c>
      <c r="I78" s="193">
        <f t="shared" ref="I78:L78" ca="1" si="46">I58-H58</f>
        <v>3693.789420000001</v>
      </c>
      <c r="J78" s="193">
        <f t="shared" ca="1" si="46"/>
        <v>3948.6608899799976</v>
      </c>
      <c r="K78" s="193">
        <f t="shared" ca="1" si="46"/>
        <v>4221.1184913886173</v>
      </c>
      <c r="L78" s="193">
        <f t="shared" ca="1" si="46"/>
        <v>4512.3756672944364</v>
      </c>
      <c r="M78" s="6"/>
      <c r="N78" s="24"/>
    </row>
    <row r="79" spans="3:15">
      <c r="C79" s="19" t="s">
        <v>34</v>
      </c>
      <c r="D79" s="19"/>
      <c r="H79" s="194">
        <f ca="1">SUM(H72:H78)</f>
        <v>77684.223494597623</v>
      </c>
      <c r="I79" s="194">
        <f ca="1">SUM(I72:I78)</f>
        <v>82876.168746177733</v>
      </c>
      <c r="J79" s="194">
        <f ca="1">SUM(J72:J78)</f>
        <v>88616.356955642259</v>
      </c>
      <c r="K79" s="194">
        <f ca="1">SUM(K72:K78)</f>
        <v>94859.788427857449</v>
      </c>
      <c r="L79" s="194">
        <f ca="1">SUM(L72:L78)</f>
        <v>101644.11808291482</v>
      </c>
    </row>
    <row r="80" spans="3:15">
      <c r="C80" s="6"/>
      <c r="D80" s="6"/>
      <c r="H80" s="57"/>
      <c r="I80" s="57"/>
      <c r="J80" s="57"/>
      <c r="K80" s="57"/>
      <c r="L80" s="57"/>
    </row>
    <row r="81" spans="3:14">
      <c r="C81" s="6" t="s">
        <v>35</v>
      </c>
      <c r="D81" s="6"/>
      <c r="H81" s="193">
        <f>-(H97)</f>
        <v>-12925.83</v>
      </c>
      <c r="I81" s="193">
        <f t="shared" ref="I81:L81" si="47">-(I97)</f>
        <v>-13238.84</v>
      </c>
      <c r="J81" s="193">
        <f t="shared" ca="1" si="47"/>
        <v>-14152.319959999999</v>
      </c>
      <c r="K81" s="193">
        <f t="shared" ca="1" si="47"/>
        <v>-15128.830037239999</v>
      </c>
      <c r="L81" s="193">
        <f t="shared" ca="1" si="47"/>
        <v>-16172.719309809558</v>
      </c>
      <c r="N81" s="5" t="s">
        <v>105</v>
      </c>
    </row>
    <row r="82" spans="3:14">
      <c r="C82" s="19" t="s">
        <v>36</v>
      </c>
      <c r="D82" s="19"/>
      <c r="H82" s="194">
        <f>IFERROR(H81,"NA")</f>
        <v>-12925.83</v>
      </c>
      <c r="I82" s="194">
        <f>IFERROR(I81,"NA")</f>
        <v>-13238.84</v>
      </c>
      <c r="J82" s="194">
        <f ca="1">IFERROR(J81,"NA")</f>
        <v>-14152.319959999999</v>
      </c>
      <c r="K82" s="194">
        <f ca="1">IFERROR(K81,"NA")</f>
        <v>-15128.830037239999</v>
      </c>
      <c r="L82" s="194">
        <f ca="1">IFERROR(L81,"NA")</f>
        <v>-16172.719309809558</v>
      </c>
    </row>
    <row r="83" spans="3:14">
      <c r="C83" s="6"/>
      <c r="D83" s="6"/>
      <c r="H83" s="193"/>
      <c r="I83" s="193"/>
      <c r="J83" s="193"/>
      <c r="K83" s="193"/>
      <c r="L83" s="193"/>
    </row>
    <row r="84" spans="3:14">
      <c r="C84" s="6" t="s">
        <v>67</v>
      </c>
      <c r="D84" s="6"/>
      <c r="H84" s="193">
        <f>H57-G57</f>
        <v>0</v>
      </c>
      <c r="I84" s="193">
        <f t="shared" ref="I84:L84" si="48">I57-H57</f>
        <v>0</v>
      </c>
      <c r="J84" s="193">
        <f t="shared" si="48"/>
        <v>0</v>
      </c>
      <c r="K84" s="193">
        <f t="shared" si="48"/>
        <v>0</v>
      </c>
      <c r="L84" s="193">
        <f t="shared" si="48"/>
        <v>0</v>
      </c>
    </row>
    <row r="85" spans="3:14">
      <c r="C85" s="6" t="s">
        <v>319</v>
      </c>
      <c r="D85" s="6"/>
      <c r="H85" s="193">
        <f ca="1">H56-G56</f>
        <v>6020</v>
      </c>
      <c r="I85" s="193">
        <f t="shared" ref="I85:L85" ca="1" si="49">I56-H56</f>
        <v>0</v>
      </c>
      <c r="J85" s="193">
        <f t="shared" ca="1" si="49"/>
        <v>0</v>
      </c>
      <c r="K85" s="193">
        <f t="shared" ca="1" si="49"/>
        <v>0</v>
      </c>
      <c r="L85" s="193">
        <f t="shared" ca="1" si="49"/>
        <v>0</v>
      </c>
      <c r="N85" s="5" t="s">
        <v>183</v>
      </c>
    </row>
    <row r="86" spans="3:14">
      <c r="C86" s="21" t="s">
        <v>70</v>
      </c>
      <c r="D86" s="21"/>
      <c r="H86" s="193">
        <f>H118</f>
        <v>-67101</v>
      </c>
      <c r="I86" s="193">
        <f t="shared" ref="I86:L86" si="50">I118</f>
        <v>-67101</v>
      </c>
      <c r="J86" s="193">
        <f t="shared" si="50"/>
        <v>-67101</v>
      </c>
      <c r="K86" s="193">
        <f t="shared" si="50"/>
        <v>-67101</v>
      </c>
      <c r="L86" s="193">
        <f t="shared" si="50"/>
        <v>-67101</v>
      </c>
      <c r="N86" s="5" t="s">
        <v>107</v>
      </c>
    </row>
    <row r="87" spans="3:14">
      <c r="C87" s="21" t="s">
        <v>71</v>
      </c>
      <c r="D87" s="21"/>
      <c r="H87" s="193">
        <f ca="1">H117</f>
        <v>-14848.135771796482</v>
      </c>
      <c r="I87" s="193">
        <f t="shared" ref="I87:L87" ca="1" si="51">I117</f>
        <v>-15782.312473515985</v>
      </c>
      <c r="J87" s="193">
        <f t="shared" ca="1" si="51"/>
        <v>-16804.473894084516</v>
      </c>
      <c r="K87" s="193">
        <f t="shared" ca="1" si="51"/>
        <v>-17919.574084498385</v>
      </c>
      <c r="L87" s="193">
        <f t="shared" ca="1" si="51"/>
        <v>-19134.430735050959</v>
      </c>
      <c r="N87" s="5" t="s">
        <v>107</v>
      </c>
    </row>
    <row r="88" spans="3:14">
      <c r="C88" s="19" t="s">
        <v>37</v>
      </c>
      <c r="D88" s="19"/>
      <c r="H88" s="194">
        <f ca="1">SUM(H84:H87)</f>
        <v>-75929.135771796486</v>
      </c>
      <c r="I88" s="194">
        <f t="shared" ref="I88:L88" ca="1" si="52">SUM(I84:I87)</f>
        <v>-82883.31247351598</v>
      </c>
      <c r="J88" s="194">
        <f t="shared" ca="1" si="52"/>
        <v>-83905.473894084513</v>
      </c>
      <c r="K88" s="194">
        <f t="shared" ca="1" si="52"/>
        <v>-85020.574084498381</v>
      </c>
      <c r="L88" s="194">
        <f t="shared" ca="1" si="52"/>
        <v>-86235.430735050963</v>
      </c>
    </row>
    <row r="89" spans="3:14">
      <c r="H89" s="193"/>
      <c r="I89" s="193"/>
      <c r="J89" s="193"/>
      <c r="K89" s="193"/>
      <c r="L89" s="193"/>
    </row>
    <row r="90" spans="3:14">
      <c r="C90" s="24" t="s">
        <v>38</v>
      </c>
      <c r="D90" s="24"/>
      <c r="H90" s="194">
        <f ca="1">H79+H82+H88</f>
        <v>-11170.742277198864</v>
      </c>
      <c r="I90" s="194">
        <f ca="1">I79+I82+I88</f>
        <v>-13245.983727338244</v>
      </c>
      <c r="J90" s="194">
        <f ca="1">J79+J82+J88</f>
        <v>-9441.4368984422472</v>
      </c>
      <c r="K90" s="194">
        <f ca="1">K79+K82+K88</f>
        <v>-5289.615693880929</v>
      </c>
      <c r="L90" s="194">
        <f ca="1">L79+L82+L88</f>
        <v>-764.03196194570046</v>
      </c>
    </row>
    <row r="92" spans="3:14">
      <c r="C92" s="7" t="s">
        <v>29</v>
      </c>
      <c r="D92" s="7"/>
      <c r="E92" s="9"/>
      <c r="F92" s="9"/>
      <c r="G92" s="9"/>
      <c r="H92" s="9"/>
      <c r="I92" s="9"/>
      <c r="J92" s="9"/>
      <c r="K92" s="9"/>
      <c r="L92" s="9"/>
    </row>
    <row r="93" spans="3:14">
      <c r="C93" s="35" t="str">
        <f t="shared" ref="C93:L94" si="53">C14</f>
        <v xml:space="preserve">Fiscal year  </v>
      </c>
      <c r="D93" s="35"/>
      <c r="E93" s="30">
        <f t="shared" si="53"/>
        <v>2017</v>
      </c>
      <c r="F93" s="30">
        <f t="shared" si="53"/>
        <v>2018</v>
      </c>
      <c r="G93" s="30">
        <f t="shared" si="53"/>
        <v>2019</v>
      </c>
      <c r="H93" s="31">
        <f t="shared" si="53"/>
        <v>2020</v>
      </c>
      <c r="I93" s="31">
        <f t="shared" si="53"/>
        <v>2021</v>
      </c>
      <c r="J93" s="31">
        <f t="shared" si="53"/>
        <v>2022</v>
      </c>
      <c r="K93" s="31">
        <f t="shared" si="53"/>
        <v>2023</v>
      </c>
      <c r="L93" s="31">
        <f t="shared" si="53"/>
        <v>2024</v>
      </c>
    </row>
    <row r="94" spans="3:14">
      <c r="C94" s="9" t="str">
        <f t="shared" si="53"/>
        <v>Fiscal year end date</v>
      </c>
      <c r="D94" s="9"/>
      <c r="E94" s="32">
        <f t="shared" si="53"/>
        <v>43008</v>
      </c>
      <c r="F94" s="32">
        <f t="shared" si="53"/>
        <v>43372</v>
      </c>
      <c r="G94" s="32">
        <f t="shared" si="53"/>
        <v>43737</v>
      </c>
      <c r="H94" s="32">
        <f t="shared" si="53"/>
        <v>44104</v>
      </c>
      <c r="I94" s="32">
        <f t="shared" si="53"/>
        <v>44469</v>
      </c>
      <c r="J94" s="32">
        <f t="shared" si="53"/>
        <v>44834</v>
      </c>
      <c r="K94" s="32">
        <f t="shared" si="53"/>
        <v>45199</v>
      </c>
      <c r="L94" s="32">
        <f t="shared" si="53"/>
        <v>45565</v>
      </c>
    </row>
    <row r="95" spans="3:14">
      <c r="C95" s="19"/>
      <c r="D95" s="19"/>
      <c r="H95" s="110" t="s">
        <v>116</v>
      </c>
      <c r="I95" s="110"/>
      <c r="J95" s="110"/>
      <c r="K95" s="110"/>
      <c r="L95" s="110"/>
    </row>
    <row r="96" spans="3:14">
      <c r="C96" s="41" t="s">
        <v>27</v>
      </c>
      <c r="D96" s="41"/>
      <c r="G96" s="6"/>
      <c r="H96" s="61">
        <f>G99</f>
        <v>37378</v>
      </c>
      <c r="I96" s="61">
        <f>H99</f>
        <v>39817.318930517038</v>
      </c>
      <c r="J96" s="61">
        <f>I99</f>
        <v>42050.931249829766</v>
      </c>
      <c r="K96" s="61">
        <f ca="1">J99</f>
        <v>44155.616419975078</v>
      </c>
      <c r="L96" s="61">
        <f ca="1">K99</f>
        <v>46102.948266115614</v>
      </c>
      <c r="M96" s="21"/>
      <c r="N96" s="188" t="s">
        <v>167</v>
      </c>
    </row>
    <row r="97" spans="3:18">
      <c r="C97" s="47" t="s">
        <v>30</v>
      </c>
      <c r="D97" s="3">
        <v>12734</v>
      </c>
      <c r="E97" s="3">
        <v>12451</v>
      </c>
      <c r="F97" s="71">
        <v>13313</v>
      </c>
      <c r="G97" s="71">
        <v>10495</v>
      </c>
      <c r="H97" s="17">
        <v>12925.83</v>
      </c>
      <c r="I97" s="17">
        <v>13238.84</v>
      </c>
      <c r="J97" s="17">
        <f ca="1">I97*(1+J36)</f>
        <v>14152.319959999999</v>
      </c>
      <c r="K97" s="17">
        <f t="shared" ref="K97:L97" ca="1" si="54">J97*(1+K36)</f>
        <v>15128.830037239999</v>
      </c>
      <c r="L97" s="17">
        <f t="shared" ca="1" si="54"/>
        <v>16172.719309809558</v>
      </c>
      <c r="M97" s="21"/>
      <c r="N97" s="188" t="s">
        <v>324</v>
      </c>
    </row>
    <row r="98" spans="3:18">
      <c r="C98" s="103" t="s">
        <v>31</v>
      </c>
      <c r="D98" s="95">
        <v>-8300</v>
      </c>
      <c r="E98" s="95">
        <v>-8200</v>
      </c>
      <c r="F98" s="95">
        <v>-9300</v>
      </c>
      <c r="G98" s="95">
        <v>-11300</v>
      </c>
      <c r="H98" s="126">
        <f>-(H101*H97)</f>
        <v>-10486.511069482967</v>
      </c>
      <c r="I98" s="126">
        <f>-(I101*I97)</f>
        <v>-11005.227680687267</v>
      </c>
      <c r="J98" s="126">
        <f ca="1">-(J101*J97)</f>
        <v>-12047.634789854686</v>
      </c>
      <c r="K98" s="126">
        <f ca="1">-(K101*K97)</f>
        <v>-13181.498191099461</v>
      </c>
      <c r="L98" s="126">
        <f ca="1">-(L101*L97)</f>
        <v>-14414.475952481514</v>
      </c>
      <c r="M98" s="21"/>
      <c r="N98" s="188" t="s">
        <v>166</v>
      </c>
    </row>
    <row r="99" spans="3:18">
      <c r="C99" s="54" t="s">
        <v>28</v>
      </c>
      <c r="D99" s="51">
        <f>D49</f>
        <v>0</v>
      </c>
      <c r="E99" s="51">
        <f>E49</f>
        <v>33783</v>
      </c>
      <c r="F99" s="51">
        <f>F49</f>
        <v>41304</v>
      </c>
      <c r="G99" s="51">
        <f>G49</f>
        <v>37378</v>
      </c>
      <c r="H99" s="162">
        <f>SUM(H96:H98)</f>
        <v>39817.318930517038</v>
      </c>
      <c r="I99" s="162">
        <f>SUM(I96:I98)</f>
        <v>42050.931249829766</v>
      </c>
      <c r="J99" s="162">
        <f ca="1">SUM(J96:J98)</f>
        <v>44155.616419975078</v>
      </c>
      <c r="K99" s="162">
        <f ca="1">SUM(K96:K98)</f>
        <v>46102.948266115614</v>
      </c>
      <c r="L99" s="162">
        <f ca="1">SUM(L96:L98)</f>
        <v>47861.191623443658</v>
      </c>
      <c r="M99" s="21"/>
      <c r="N99" s="188" t="s">
        <v>165</v>
      </c>
    </row>
    <row r="100" spans="3:18">
      <c r="C100" s="41"/>
      <c r="D100" s="41"/>
      <c r="G100" s="6"/>
      <c r="H100" s="21"/>
      <c r="I100" s="21"/>
      <c r="J100" s="21"/>
      <c r="K100" s="21"/>
      <c r="L100" s="21"/>
      <c r="M100" s="21"/>
      <c r="N100" s="510" t="s">
        <v>48</v>
      </c>
    </row>
    <row r="101" spans="3:18">
      <c r="C101" s="41" t="s">
        <v>123</v>
      </c>
      <c r="D101" s="41"/>
      <c r="E101" s="4">
        <f>-(E98/E97)</f>
        <v>0.6585816400289134</v>
      </c>
      <c r="F101" s="4">
        <f>-(F98/F97)</f>
        <v>0.69856531210095396</v>
      </c>
      <c r="G101" s="80">
        <f>-(G98/G97)</f>
        <v>1.0767031919961887</v>
      </c>
      <c r="H101" s="189">
        <f>AVERAGE(E101:G101)</f>
        <v>0.81128338137535205</v>
      </c>
      <c r="I101" s="189">
        <f>H101+$N$101</f>
        <v>0.83128338137535207</v>
      </c>
      <c r="J101" s="189">
        <f>I101+$N$101</f>
        <v>0.85128338137535209</v>
      </c>
      <c r="K101" s="189">
        <f>J101+$N$101</f>
        <v>0.87128338137535211</v>
      </c>
      <c r="L101" s="189">
        <f>K101+$N$101</f>
        <v>0.89128338137535212</v>
      </c>
      <c r="M101" s="21"/>
      <c r="N101" s="511">
        <v>0.02</v>
      </c>
      <c r="P101" s="98"/>
      <c r="Q101" s="98"/>
      <c r="R101" s="98"/>
    </row>
    <row r="102" spans="3:18">
      <c r="C102" s="41"/>
      <c r="D102" s="41"/>
      <c r="E102" s="4"/>
      <c r="F102" s="4"/>
      <c r="G102" s="80"/>
      <c r="H102" s="189"/>
      <c r="I102" s="189"/>
      <c r="J102" s="189"/>
      <c r="K102" s="189"/>
      <c r="L102" s="189"/>
      <c r="M102" s="21"/>
      <c r="N102" s="188"/>
      <c r="P102" s="98"/>
      <c r="Q102" s="98"/>
      <c r="R102" s="98"/>
    </row>
    <row r="103" spans="3:18">
      <c r="C103" s="128" t="s">
        <v>130</v>
      </c>
      <c r="D103" s="128"/>
      <c r="E103" s="48"/>
      <c r="F103" s="48"/>
      <c r="G103" s="48"/>
      <c r="H103" s="198"/>
      <c r="I103" s="198"/>
      <c r="J103" s="198"/>
      <c r="K103" s="198"/>
      <c r="L103" s="198"/>
      <c r="M103" s="21"/>
      <c r="N103" s="188"/>
      <c r="P103" s="98"/>
      <c r="Q103" s="98"/>
      <c r="R103" s="98"/>
    </row>
    <row r="104" spans="3:18">
      <c r="C104" s="41" t="s">
        <v>156</v>
      </c>
      <c r="D104" s="22">
        <f t="shared" ref="D104" si="55">D106+D98</f>
        <v>2205</v>
      </c>
      <c r="E104" s="22">
        <f>E106+E98</f>
        <v>1957</v>
      </c>
      <c r="F104" s="22">
        <f>F106+F98</f>
        <v>1603</v>
      </c>
      <c r="G104" s="22">
        <f>G106+G98</f>
        <v>1247</v>
      </c>
      <c r="H104" s="63">
        <f ca="1">H105*H17</f>
        <v>1321.8200000000002</v>
      </c>
      <c r="I104" s="63">
        <f ca="1">I105*I17</f>
        <v>1413.02558</v>
      </c>
      <c r="J104" s="63">
        <f ca="1">J105*J17</f>
        <v>1510.5243450200001</v>
      </c>
      <c r="K104" s="63">
        <f ca="1">K105*K17</f>
        <v>1614.7505248263801</v>
      </c>
      <c r="L104" s="63">
        <f ca="1">L105*L17</f>
        <v>1726.1683110394001</v>
      </c>
      <c r="M104" s="21"/>
      <c r="N104" s="188" t="s">
        <v>238</v>
      </c>
      <c r="P104" s="98"/>
      <c r="Q104" s="98"/>
      <c r="R104" s="98"/>
    </row>
    <row r="105" spans="3:18">
      <c r="C105" s="26" t="s">
        <v>157</v>
      </c>
      <c r="D105" s="93">
        <f t="shared" ref="D105" si="56">D104/D17</f>
        <v>1.0225423044996499E-2</v>
      </c>
      <c r="E105" s="93">
        <f>E104/E17</f>
        <v>8.537128000209393E-3</v>
      </c>
      <c r="F105" s="93">
        <f>F104/F17</f>
        <v>6.0355051864681188E-3</v>
      </c>
      <c r="G105" s="100">
        <f>G104/G17</f>
        <v>4.7929462590420259E-3</v>
      </c>
      <c r="H105" s="189">
        <f>G105</f>
        <v>4.7929462590420259E-3</v>
      </c>
      <c r="I105" s="189">
        <f>H105</f>
        <v>4.7929462590420259E-3</v>
      </c>
      <c r="J105" s="189">
        <f>I105</f>
        <v>4.7929462590420259E-3</v>
      </c>
      <c r="K105" s="189">
        <f>J105</f>
        <v>4.7929462590420259E-3</v>
      </c>
      <c r="L105" s="189">
        <f>K105</f>
        <v>4.7929462590420259E-3</v>
      </c>
      <c r="M105" s="21"/>
      <c r="N105" s="188" t="s">
        <v>158</v>
      </c>
    </row>
    <row r="106" spans="3:18">
      <c r="C106" s="39" t="s">
        <v>110</v>
      </c>
      <c r="D106" s="51">
        <f t="shared" ref="D106" si="57">D30</f>
        <v>10505</v>
      </c>
      <c r="E106" s="51">
        <f>E30</f>
        <v>10157</v>
      </c>
      <c r="F106" s="51">
        <f>F30</f>
        <v>10903</v>
      </c>
      <c r="G106" s="51">
        <f>G30</f>
        <v>12547</v>
      </c>
      <c r="H106" s="20">
        <f ca="1">-H98+H104</f>
        <v>11808.331069482967</v>
      </c>
      <c r="I106" s="20">
        <f ca="1">-I98+I104</f>
        <v>12418.253260687266</v>
      </c>
      <c r="J106" s="20">
        <f ca="1">-J98+J104</f>
        <v>13558.159134874686</v>
      </c>
      <c r="K106" s="20">
        <f ca="1">-K98+K104</f>
        <v>14796.248715925842</v>
      </c>
      <c r="L106" s="20">
        <f ca="1">-L98+L104</f>
        <v>16140.644263520915</v>
      </c>
      <c r="M106" s="188"/>
      <c r="N106" s="188" t="s">
        <v>160</v>
      </c>
    </row>
    <row r="107" spans="3:18">
      <c r="C107" s="41"/>
      <c r="D107" s="41"/>
      <c r="E107" s="22"/>
      <c r="F107" s="22"/>
      <c r="G107" s="22"/>
      <c r="H107" s="21"/>
      <c r="I107" s="61"/>
      <c r="J107" s="61"/>
      <c r="K107" s="61"/>
      <c r="L107" s="61"/>
      <c r="M107" s="188"/>
      <c r="N107" s="188"/>
    </row>
    <row r="108" spans="3:18">
      <c r="C108" s="127" t="s">
        <v>129</v>
      </c>
      <c r="D108" s="127"/>
      <c r="E108" s="9"/>
      <c r="F108" s="9"/>
      <c r="G108" s="9"/>
      <c r="H108" s="21"/>
      <c r="I108" s="61"/>
      <c r="J108" s="61"/>
      <c r="K108" s="61"/>
      <c r="L108" s="61"/>
      <c r="M108" s="188"/>
      <c r="N108" s="188"/>
    </row>
    <row r="109" spans="3:18">
      <c r="C109" s="41" t="s">
        <v>27</v>
      </c>
      <c r="D109" s="41"/>
      <c r="E109" s="22"/>
      <c r="F109" s="6"/>
      <c r="G109" s="6"/>
      <c r="H109" s="154">
        <f>G112</f>
        <v>32978</v>
      </c>
      <c r="I109" s="154">
        <f ca="1">H112</f>
        <v>34956.68</v>
      </c>
      <c r="J109" s="154">
        <f ca="1">I112</f>
        <v>37368.690920000001</v>
      </c>
      <c r="K109" s="154">
        <f ca="1">J112</f>
        <v>39947.130593479997</v>
      </c>
      <c r="L109" s="154">
        <f ca="1">K112</f>
        <v>42703.482604430115</v>
      </c>
      <c r="M109" s="188"/>
      <c r="N109" s="188" t="s">
        <v>167</v>
      </c>
    </row>
    <row r="110" spans="3:18">
      <c r="C110" s="26" t="s">
        <v>124</v>
      </c>
      <c r="D110" s="26"/>
      <c r="H110" s="61">
        <f ca="1">-(H104)</f>
        <v>-1321.8200000000002</v>
      </c>
      <c r="I110" s="61">
        <f ca="1">-(I104)</f>
        <v>-1413.02558</v>
      </c>
      <c r="J110" s="61">
        <f ca="1">-(J104)</f>
        <v>-1510.5243450200001</v>
      </c>
      <c r="K110" s="61">
        <f ca="1">-(K104)</f>
        <v>-1614.7505248263801</v>
      </c>
      <c r="L110" s="61">
        <f ca="1">-(L104)</f>
        <v>-1726.1683110394001</v>
      </c>
      <c r="M110" s="188"/>
      <c r="N110" s="188" t="s">
        <v>162</v>
      </c>
    </row>
    <row r="111" spans="3:18" ht="15" customHeight="1">
      <c r="C111" s="111" t="s">
        <v>125</v>
      </c>
      <c r="D111" s="111"/>
      <c r="E111" s="101"/>
      <c r="F111" s="101"/>
      <c r="G111" s="101"/>
      <c r="H111" s="133">
        <f ca="1">H112-H110-H109</f>
        <v>3300.5</v>
      </c>
      <c r="I111" s="133">
        <f ca="1">I112-I110-I109</f>
        <v>3825.036500000002</v>
      </c>
      <c r="J111" s="133">
        <f ca="1">J112-J110-J109</f>
        <v>4088.9640184999953</v>
      </c>
      <c r="K111" s="133">
        <f ca="1">K112-K110-K109</f>
        <v>4371.1025357764956</v>
      </c>
      <c r="L111" s="133">
        <f ca="1">L112-L110-L109</f>
        <v>4672.7086107450741</v>
      </c>
      <c r="M111" s="188"/>
      <c r="N111" s="188" t="s">
        <v>168</v>
      </c>
    </row>
    <row r="112" spans="3:18">
      <c r="C112" s="54" t="s">
        <v>28</v>
      </c>
      <c r="D112" s="51"/>
      <c r="E112" s="51">
        <f t="shared" ref="E112:L112" si="58">E50</f>
        <v>18177</v>
      </c>
      <c r="F112" s="51">
        <f t="shared" si="58"/>
        <v>22283</v>
      </c>
      <c r="G112" s="51">
        <f t="shared" si="58"/>
        <v>32978</v>
      </c>
      <c r="H112" s="162">
        <f t="shared" ca="1" si="58"/>
        <v>34956.68</v>
      </c>
      <c r="I112" s="162">
        <f t="shared" ca="1" si="58"/>
        <v>37368.690920000001</v>
      </c>
      <c r="J112" s="162">
        <f t="shared" ca="1" si="58"/>
        <v>39947.130593479997</v>
      </c>
      <c r="K112" s="162">
        <f t="shared" ca="1" si="58"/>
        <v>42703.482604430115</v>
      </c>
      <c r="L112" s="162">
        <f t="shared" ca="1" si="58"/>
        <v>45650.022904135789</v>
      </c>
      <c r="M112" s="188"/>
      <c r="N112" s="188" t="s">
        <v>169</v>
      </c>
    </row>
    <row r="113" spans="3:18">
      <c r="C113" s="26"/>
      <c r="D113" s="26"/>
      <c r="F113" s="34"/>
      <c r="G113" s="34"/>
      <c r="H113" s="21"/>
      <c r="I113" s="61"/>
      <c r="J113" s="61"/>
      <c r="K113" s="61"/>
      <c r="L113" s="61"/>
      <c r="M113" s="188"/>
      <c r="N113" s="188"/>
    </row>
    <row r="114" spans="3:18">
      <c r="C114" s="74" t="s">
        <v>75</v>
      </c>
      <c r="D114" s="74"/>
      <c r="E114" s="70"/>
      <c r="F114" s="70"/>
      <c r="G114" s="70"/>
      <c r="H114" s="190"/>
      <c r="I114" s="190"/>
      <c r="J114" s="190"/>
      <c r="K114" s="190"/>
      <c r="L114" s="190"/>
      <c r="M114" s="188"/>
      <c r="N114" s="188"/>
    </row>
    <row r="115" spans="3:18">
      <c r="C115" s="41" t="s">
        <v>27</v>
      </c>
      <c r="D115" s="41"/>
      <c r="E115" s="6"/>
      <c r="F115" s="6"/>
      <c r="G115" s="6"/>
      <c r="H115" s="193">
        <f>G119</f>
        <v>45898</v>
      </c>
      <c r="I115" s="193">
        <f ca="1">H119</f>
        <v>22017.276020006655</v>
      </c>
      <c r="J115" s="193">
        <f ca="1">I119</f>
        <v>855.77386828267481</v>
      </c>
      <c r="K115" s="193">
        <f ca="1">J119</f>
        <v>-17330.39862502797</v>
      </c>
      <c r="L115" s="193">
        <f ca="1">K119</f>
        <v>-32270.713270567998</v>
      </c>
      <c r="M115" s="188"/>
      <c r="N115" s="188" t="s">
        <v>167</v>
      </c>
    </row>
    <row r="116" spans="3:18">
      <c r="C116" s="26" t="s">
        <v>62</v>
      </c>
      <c r="D116" s="33">
        <f t="shared" ref="D116:F116" si="59">D28</f>
        <v>45687</v>
      </c>
      <c r="E116" s="33">
        <f t="shared" si="59"/>
        <v>48351</v>
      </c>
      <c r="F116" s="33">
        <f t="shared" si="59"/>
        <v>59531</v>
      </c>
      <c r="G116" s="33">
        <f t="shared" ref="G116:L116" si="60">G28</f>
        <v>55256</v>
      </c>
      <c r="H116" s="193">
        <f t="shared" ca="1" si="60"/>
        <v>58068.411791803133</v>
      </c>
      <c r="I116" s="193">
        <f t="shared" ca="1" si="60"/>
        <v>61721.810321792007</v>
      </c>
      <c r="J116" s="193">
        <f t="shared" ca="1" si="60"/>
        <v>65719.301400773867</v>
      </c>
      <c r="K116" s="193">
        <f t="shared" ca="1" si="60"/>
        <v>70080.259438958354</v>
      </c>
      <c r="L116" s="193">
        <f t="shared" ca="1" si="60"/>
        <v>74831.34720758551</v>
      </c>
      <c r="M116" s="188"/>
      <c r="N116" s="188" t="s">
        <v>101</v>
      </c>
    </row>
    <row r="117" spans="3:18">
      <c r="C117" s="26" t="s">
        <v>63</v>
      </c>
      <c r="D117" s="3">
        <v>-12188</v>
      </c>
      <c r="E117" s="3">
        <v>-12803</v>
      </c>
      <c r="F117" s="3">
        <v>-13735</v>
      </c>
      <c r="G117" s="3">
        <v>-14129</v>
      </c>
      <c r="H117" s="193">
        <f ca="1">H116*G117/G116</f>
        <v>-14848.135771796482</v>
      </c>
      <c r="I117" s="193">
        <f t="shared" ref="I117:L117" ca="1" si="61">I116*H117/H116</f>
        <v>-15782.312473515985</v>
      </c>
      <c r="J117" s="193">
        <f t="shared" ca="1" si="61"/>
        <v>-16804.473894084516</v>
      </c>
      <c r="K117" s="193">
        <f t="shared" ca="1" si="61"/>
        <v>-17919.574084498385</v>
      </c>
      <c r="L117" s="193">
        <f t="shared" ca="1" si="61"/>
        <v>-19134.430735050959</v>
      </c>
      <c r="M117" s="188"/>
      <c r="N117" s="188" t="s">
        <v>321</v>
      </c>
    </row>
    <row r="118" spans="3:18">
      <c r="C118" s="104" t="s">
        <v>64</v>
      </c>
      <c r="D118" s="95">
        <v>-29000</v>
      </c>
      <c r="E118" s="95">
        <v>-33001</v>
      </c>
      <c r="F118" s="95">
        <v>-73056</v>
      </c>
      <c r="G118" s="95">
        <v>-67101</v>
      </c>
      <c r="H118" s="199">
        <f>G118</f>
        <v>-67101</v>
      </c>
      <c r="I118" s="199">
        <f t="shared" ref="I118:L118" si="62">H118</f>
        <v>-67101</v>
      </c>
      <c r="J118" s="199">
        <f t="shared" si="62"/>
        <v>-67101</v>
      </c>
      <c r="K118" s="199">
        <f t="shared" si="62"/>
        <v>-67101</v>
      </c>
      <c r="L118" s="199">
        <f t="shared" si="62"/>
        <v>-67101</v>
      </c>
      <c r="M118" s="188"/>
      <c r="N118" s="188" t="s">
        <v>236</v>
      </c>
    </row>
    <row r="119" spans="3:18">
      <c r="C119" s="83" t="s">
        <v>28</v>
      </c>
      <c r="D119" s="23">
        <f>D62</f>
        <v>0</v>
      </c>
      <c r="E119" s="23">
        <f>E62</f>
        <v>98330</v>
      </c>
      <c r="F119" s="23">
        <f>F62</f>
        <v>70400</v>
      </c>
      <c r="G119" s="23">
        <f>G62</f>
        <v>45898</v>
      </c>
      <c r="H119" s="162">
        <f ca="1">SUM(H115:H118)</f>
        <v>22017.276020006655</v>
      </c>
      <c r="I119" s="162">
        <f ca="1">SUM(I115:I118)</f>
        <v>855.77386828267481</v>
      </c>
      <c r="J119" s="162">
        <f ca="1">SUM(J115:J118)</f>
        <v>-17330.39862502797</v>
      </c>
      <c r="K119" s="162">
        <f ca="1">SUM(K115:K118)</f>
        <v>-32270.713270567998</v>
      </c>
      <c r="L119" s="162">
        <f ca="1">SUM(L115:L118)</f>
        <v>-43674.796798033451</v>
      </c>
      <c r="M119" s="188"/>
      <c r="N119" s="188" t="s">
        <v>164</v>
      </c>
    </row>
    <row r="120" spans="3:18">
      <c r="F120" s="68"/>
      <c r="G120" s="68"/>
      <c r="H120" s="188"/>
      <c r="I120" s="188"/>
      <c r="J120" s="188"/>
      <c r="K120" s="188"/>
      <c r="L120" s="188"/>
      <c r="M120" s="188"/>
      <c r="N120" s="188"/>
    </row>
    <row r="121" spans="3:18">
      <c r="C121" s="7" t="s">
        <v>131</v>
      </c>
      <c r="D121" s="7"/>
      <c r="E121" s="9"/>
      <c r="F121" s="9"/>
      <c r="G121" s="9"/>
      <c r="H121" s="190"/>
      <c r="I121" s="190"/>
      <c r="J121" s="190"/>
      <c r="K121" s="190"/>
      <c r="L121" s="190"/>
      <c r="M121" s="188"/>
      <c r="N121" s="188"/>
      <c r="P121" s="98"/>
      <c r="Q121" s="98"/>
    </row>
    <row r="122" spans="3:18">
      <c r="C122" s="35" t="str">
        <f t="shared" ref="C122:L123" si="63">C14</f>
        <v xml:space="preserve">Fiscal year  </v>
      </c>
      <c r="D122" s="35"/>
      <c r="E122" s="30">
        <f t="shared" si="63"/>
        <v>2017</v>
      </c>
      <c r="F122" s="30">
        <f t="shared" si="63"/>
        <v>2018</v>
      </c>
      <c r="G122" s="30">
        <f t="shared" si="63"/>
        <v>2019</v>
      </c>
      <c r="H122" s="191">
        <f t="shared" si="63"/>
        <v>2020</v>
      </c>
      <c r="I122" s="191">
        <f t="shared" si="63"/>
        <v>2021</v>
      </c>
      <c r="J122" s="191">
        <f t="shared" si="63"/>
        <v>2022</v>
      </c>
      <c r="K122" s="191">
        <f t="shared" si="63"/>
        <v>2023</v>
      </c>
      <c r="L122" s="191">
        <f>L14</f>
        <v>2024</v>
      </c>
      <c r="M122" s="188"/>
      <c r="N122" s="188"/>
      <c r="P122" s="98"/>
      <c r="Q122" s="98"/>
    </row>
    <row r="123" spans="3:18">
      <c r="C123" s="9" t="str">
        <f t="shared" si="63"/>
        <v>Fiscal year end date</v>
      </c>
      <c r="D123" s="9"/>
      <c r="E123" s="32">
        <f t="shared" si="63"/>
        <v>43008</v>
      </c>
      <c r="F123" s="32">
        <f t="shared" si="63"/>
        <v>43372</v>
      </c>
      <c r="G123" s="32">
        <f t="shared" si="63"/>
        <v>43737</v>
      </c>
      <c r="H123" s="192">
        <f t="shared" si="63"/>
        <v>44104</v>
      </c>
      <c r="I123" s="192">
        <f t="shared" si="63"/>
        <v>44469</v>
      </c>
      <c r="J123" s="192">
        <f t="shared" si="63"/>
        <v>44834</v>
      </c>
      <c r="K123" s="192">
        <f t="shared" si="63"/>
        <v>45199</v>
      </c>
      <c r="L123" s="192">
        <f t="shared" si="63"/>
        <v>45565</v>
      </c>
      <c r="M123" s="188"/>
      <c r="N123" s="188"/>
      <c r="P123" s="98"/>
      <c r="Q123" s="98"/>
    </row>
    <row r="124" spans="3:18">
      <c r="C124" s="19"/>
      <c r="D124" s="19"/>
      <c r="H124" s="188"/>
      <c r="I124" s="188"/>
      <c r="J124" s="188"/>
      <c r="K124" s="188"/>
      <c r="L124" s="188"/>
      <c r="M124" s="188"/>
      <c r="N124" s="188"/>
      <c r="P124" s="98"/>
      <c r="Q124" s="98"/>
    </row>
    <row r="125" spans="3:18">
      <c r="C125" s="53" t="s">
        <v>39</v>
      </c>
      <c r="D125" s="53"/>
      <c r="H125" s="188"/>
      <c r="I125" s="188"/>
      <c r="J125" s="188"/>
      <c r="K125" s="188"/>
      <c r="L125" s="188"/>
      <c r="M125" s="188"/>
      <c r="N125" s="188"/>
      <c r="P125" s="98"/>
      <c r="Q125" s="98"/>
      <c r="R125" s="98"/>
    </row>
    <row r="126" spans="3:18">
      <c r="C126" s="26" t="s">
        <v>45</v>
      </c>
      <c r="D126" s="26"/>
      <c r="H126" s="57">
        <f>G45</f>
        <v>205898</v>
      </c>
      <c r="I126" s="57">
        <f ca="1">H45</f>
        <v>194727.25772280112</v>
      </c>
      <c r="J126" s="57">
        <f ca="1">I45</f>
        <v>181481.27399546286</v>
      </c>
      <c r="K126" s="57">
        <f ca="1">J45</f>
        <v>172039.83709702062</v>
      </c>
      <c r="L126" s="57">
        <f ca="1">K45</f>
        <v>166750.2214031397</v>
      </c>
      <c r="M126" s="188"/>
      <c r="N126" s="188" t="s">
        <v>172</v>
      </c>
      <c r="P126" s="98"/>
      <c r="Q126" s="98"/>
    </row>
    <row r="127" spans="3:18">
      <c r="C127" s="26" t="s">
        <v>69</v>
      </c>
      <c r="D127" s="26"/>
      <c r="H127" s="200">
        <v>-50000</v>
      </c>
      <c r="I127" s="200">
        <v>-50000</v>
      </c>
      <c r="J127" s="200">
        <v>-50000</v>
      </c>
      <c r="K127" s="200">
        <v>-50000</v>
      </c>
      <c r="L127" s="200">
        <v>-50000</v>
      </c>
      <c r="M127" s="188"/>
      <c r="N127" s="188" t="s">
        <v>126</v>
      </c>
      <c r="P127" s="98"/>
      <c r="Q127" s="98"/>
    </row>
    <row r="128" spans="3:18">
      <c r="C128" s="111" t="s">
        <v>40</v>
      </c>
      <c r="D128" s="111"/>
      <c r="E128" s="101"/>
      <c r="F128" s="101"/>
      <c r="G128" s="101"/>
      <c r="H128" s="126">
        <f ca="1">SUM(H79,H82,H84,H86,H87)</f>
        <v>-17190.74227719886</v>
      </c>
      <c r="I128" s="126">
        <f ca="1">SUM(I79,I82,I84,I86,I87)</f>
        <v>-13245.983727338249</v>
      </c>
      <c r="J128" s="126">
        <f ca="1">SUM(J79,J82,J84,J86,J87)</f>
        <v>-9441.4368984422508</v>
      </c>
      <c r="K128" s="126">
        <f ca="1">SUM(K79,K82,K84,K86,K87)</f>
        <v>-5289.6156938809327</v>
      </c>
      <c r="L128" s="126">
        <f ca="1">SUM(L79,L82,L84,L86,L87)</f>
        <v>-764.03196194569682</v>
      </c>
      <c r="M128" s="188"/>
      <c r="N128" s="188" t="s">
        <v>174</v>
      </c>
    </row>
    <row r="129" spans="3:20">
      <c r="C129" s="54" t="s">
        <v>102</v>
      </c>
      <c r="D129" s="54"/>
      <c r="E129" s="6"/>
      <c r="F129" s="6"/>
      <c r="G129" s="6"/>
      <c r="H129" s="162">
        <f ca="1">SUM(H126:H128)</f>
        <v>138707.25772280115</v>
      </c>
      <c r="I129" s="162">
        <f ca="1">SUM(I126:I128)</f>
        <v>131481.27399546286</v>
      </c>
      <c r="J129" s="162">
        <f ca="1">SUM(J126:J128)</f>
        <v>122039.83709702062</v>
      </c>
      <c r="K129" s="162">
        <f ca="1">SUM(K126:K128)</f>
        <v>116750.22140313969</v>
      </c>
      <c r="L129" s="162">
        <f ca="1">SUM(L126:L128)</f>
        <v>115986.189441194</v>
      </c>
      <c r="M129" s="188"/>
      <c r="N129" s="188"/>
    </row>
    <row r="130" spans="3:20">
      <c r="C130" s="6"/>
      <c r="D130" s="6"/>
      <c r="H130" s="188"/>
      <c r="I130" s="188"/>
      <c r="J130" s="188"/>
      <c r="K130" s="188"/>
      <c r="L130" s="188"/>
      <c r="M130" s="188"/>
      <c r="N130" s="188"/>
    </row>
    <row r="131" spans="3:20">
      <c r="C131" s="19" t="s">
        <v>113</v>
      </c>
      <c r="D131" s="19"/>
      <c r="H131" s="188"/>
      <c r="I131" s="188"/>
      <c r="J131" s="188"/>
      <c r="K131" s="188"/>
      <c r="L131" s="188"/>
      <c r="M131" s="188"/>
      <c r="N131" s="188"/>
    </row>
    <row r="132" spans="3:20">
      <c r="C132" s="26" t="s">
        <v>27</v>
      </c>
      <c r="D132" s="26"/>
      <c r="H132" s="57">
        <f>G135</f>
        <v>5980</v>
      </c>
      <c r="I132" s="57">
        <f ca="1">H135</f>
        <v>12000</v>
      </c>
      <c r="J132" s="57">
        <f ca="1">I135</f>
        <v>12000</v>
      </c>
      <c r="K132" s="57">
        <f ca="1">J135</f>
        <v>12000</v>
      </c>
      <c r="L132" s="57">
        <f ca="1">K135</f>
        <v>12000</v>
      </c>
      <c r="M132" s="188"/>
      <c r="N132" s="188" t="s">
        <v>167</v>
      </c>
    </row>
    <row r="133" spans="3:20">
      <c r="C133" s="47" t="s">
        <v>176</v>
      </c>
      <c r="D133" s="47"/>
      <c r="H133" s="57">
        <f ca="1">-MIN(H129,H132)</f>
        <v>-5980</v>
      </c>
      <c r="I133" s="57">
        <f ca="1">-MIN(I129,I132)</f>
        <v>-12000</v>
      </c>
      <c r="J133" s="57">
        <f ca="1">-MIN(J129,J132)</f>
        <v>-12000</v>
      </c>
      <c r="K133" s="57">
        <f ca="1">-MIN(K129,K132)</f>
        <v>-12000</v>
      </c>
      <c r="L133" s="57">
        <f ca="1">-MIN(L129,L132)</f>
        <v>-12000</v>
      </c>
      <c r="M133" s="188"/>
      <c r="N133" s="188" t="s">
        <v>175</v>
      </c>
    </row>
    <row r="134" spans="3:20">
      <c r="C134" s="103" t="s">
        <v>128</v>
      </c>
      <c r="D134" s="103"/>
      <c r="E134" s="101"/>
      <c r="F134" s="101"/>
      <c r="G134" s="101"/>
      <c r="H134" s="201">
        <v>12000</v>
      </c>
      <c r="I134" s="201">
        <v>12000</v>
      </c>
      <c r="J134" s="201">
        <v>12000</v>
      </c>
      <c r="K134" s="201">
        <v>12000</v>
      </c>
      <c r="L134" s="201">
        <v>12000</v>
      </c>
      <c r="M134" s="188"/>
      <c r="N134" s="188" t="s">
        <v>126</v>
      </c>
    </row>
    <row r="135" spans="3:20">
      <c r="C135" s="26" t="s">
        <v>28</v>
      </c>
      <c r="D135" s="102"/>
      <c r="E135" s="102">
        <f>E56</f>
        <v>11977</v>
      </c>
      <c r="F135" s="102">
        <f>F56</f>
        <v>11964</v>
      </c>
      <c r="G135" s="102">
        <f>G56</f>
        <v>5980</v>
      </c>
      <c r="H135" s="202">
        <f ca="1">SUM(H132:H134)</f>
        <v>12000</v>
      </c>
      <c r="I135" s="202">
        <f ca="1">SUM(I132:I134)</f>
        <v>12000</v>
      </c>
      <c r="J135" s="202">
        <f ca="1">SUM(J132:J134)</f>
        <v>12000</v>
      </c>
      <c r="K135" s="202">
        <f ca="1">SUM(K132:K134)</f>
        <v>12000</v>
      </c>
      <c r="L135" s="202">
        <f ca="1">SUM(L132:L134)</f>
        <v>12000</v>
      </c>
      <c r="M135" s="188"/>
      <c r="N135" s="188"/>
    </row>
    <row r="136" spans="3:20">
      <c r="C136" s="117" t="s">
        <v>119</v>
      </c>
      <c r="D136" s="513"/>
      <c r="E136" s="122"/>
      <c r="F136" s="122"/>
      <c r="G136" s="123"/>
      <c r="H136" s="203" t="str">
        <f ca="1">IF(H135&lt;0,"Negative Debt","OK")</f>
        <v>OK</v>
      </c>
      <c r="I136" s="203" t="str">
        <f ca="1">IF(I135&lt;0,"Negative Debt","OK")</f>
        <v>OK</v>
      </c>
      <c r="J136" s="203" t="str">
        <f ca="1">IF(J135&lt;0,"Negative Debt","OK")</f>
        <v>OK</v>
      </c>
      <c r="K136" s="203" t="str">
        <f ca="1">IF(K135&lt;0,"Negative Debt","OK")</f>
        <v>OK</v>
      </c>
      <c r="L136" s="203" t="str">
        <f ca="1">IF(L135&lt;0,"Negative Debt","OK")</f>
        <v>OK</v>
      </c>
      <c r="M136" s="21"/>
      <c r="N136" s="188"/>
      <c r="T136" s="68"/>
    </row>
    <row r="137" spans="3:20">
      <c r="E137" s="22"/>
      <c r="F137" s="22"/>
      <c r="G137" s="120"/>
      <c r="H137" s="205"/>
      <c r="I137" s="205"/>
      <c r="J137" s="205"/>
      <c r="K137" s="205"/>
      <c r="L137" s="205"/>
      <c r="M137" s="21"/>
      <c r="N137" s="188"/>
      <c r="T137" s="68"/>
    </row>
    <row r="138" spans="3:20">
      <c r="C138" s="7" t="s">
        <v>43</v>
      </c>
      <c r="D138" s="7"/>
      <c r="E138" s="48"/>
      <c r="F138" s="48"/>
      <c r="G138" s="48"/>
      <c r="H138" s="206"/>
      <c r="I138" s="206"/>
      <c r="J138" s="206"/>
      <c r="K138" s="206"/>
      <c r="L138" s="206"/>
      <c r="M138" s="188"/>
      <c r="N138" s="188"/>
      <c r="S138" s="99"/>
    </row>
    <row r="139" spans="3:20">
      <c r="C139" s="35" t="str">
        <f t="shared" ref="C139:L140" si="64">C14</f>
        <v xml:space="preserve">Fiscal year  </v>
      </c>
      <c r="D139" s="35"/>
      <c r="E139" s="30">
        <f t="shared" si="64"/>
        <v>2017</v>
      </c>
      <c r="F139" s="30">
        <f t="shared" si="64"/>
        <v>2018</v>
      </c>
      <c r="G139" s="30">
        <f t="shared" si="64"/>
        <v>2019</v>
      </c>
      <c r="H139" s="191">
        <f t="shared" si="64"/>
        <v>2020</v>
      </c>
      <c r="I139" s="191">
        <f t="shared" si="64"/>
        <v>2021</v>
      </c>
      <c r="J139" s="191">
        <f t="shared" si="64"/>
        <v>2022</v>
      </c>
      <c r="K139" s="191">
        <f t="shared" si="64"/>
        <v>2023</v>
      </c>
      <c r="L139" s="191">
        <f t="shared" si="64"/>
        <v>2024</v>
      </c>
      <c r="M139" s="188"/>
      <c r="N139" s="188"/>
      <c r="S139" s="99"/>
      <c r="T139" s="68"/>
    </row>
    <row r="140" spans="3:20">
      <c r="C140" s="9" t="str">
        <f t="shared" si="64"/>
        <v>Fiscal year end date</v>
      </c>
      <c r="D140" s="9"/>
      <c r="E140" s="32">
        <f t="shared" si="64"/>
        <v>43008</v>
      </c>
      <c r="F140" s="32">
        <f t="shared" si="64"/>
        <v>43372</v>
      </c>
      <c r="G140" s="32">
        <f t="shared" si="64"/>
        <v>43737</v>
      </c>
      <c r="H140" s="192">
        <f t="shared" si="64"/>
        <v>44104</v>
      </c>
      <c r="I140" s="192">
        <f t="shared" si="64"/>
        <v>44469</v>
      </c>
      <c r="J140" s="192">
        <f t="shared" si="64"/>
        <v>44834</v>
      </c>
      <c r="K140" s="192">
        <f t="shared" si="64"/>
        <v>45199</v>
      </c>
      <c r="L140" s="192">
        <f t="shared" si="64"/>
        <v>45565</v>
      </c>
      <c r="M140" s="188"/>
      <c r="N140" s="188"/>
      <c r="S140" s="99"/>
    </row>
    <row r="141" spans="3:20">
      <c r="C141" s="26"/>
      <c r="D141" s="26"/>
      <c r="E141" s="34"/>
      <c r="F141" s="34"/>
      <c r="G141" s="34"/>
      <c r="H141" s="207"/>
      <c r="I141" s="207"/>
      <c r="J141" s="207"/>
      <c r="K141" s="207"/>
      <c r="L141" s="207"/>
      <c r="M141" s="188"/>
      <c r="N141" s="188"/>
      <c r="S141" s="99"/>
    </row>
    <row r="142" spans="3:20">
      <c r="C142" s="41" t="s">
        <v>120</v>
      </c>
      <c r="D142" s="34">
        <f t="shared" ref="D142" si="65">-(D24)</f>
        <v>1456</v>
      </c>
      <c r="E142" s="34">
        <f>-(E24)</f>
        <v>2323</v>
      </c>
      <c r="F142" s="34">
        <f>-(F24)</f>
        <v>3240</v>
      </c>
      <c r="G142" s="22">
        <f>-(G24)</f>
        <v>3576</v>
      </c>
      <c r="H142" s="61">
        <f ca="1">H147+H152</f>
        <v>3568.9466179543074</v>
      </c>
      <c r="I142" s="61">
        <f ca="1">I147+I152</f>
        <v>3636.3706179543074</v>
      </c>
      <c r="J142" s="61">
        <f ca="1">J147+J152</f>
        <v>3636.3706179543074</v>
      </c>
      <c r="K142" s="61">
        <f ca="1">K147+K152</f>
        <v>3636.3706179543074</v>
      </c>
      <c r="L142" s="61">
        <f ca="1">L147+L152</f>
        <v>3636.3706179543074</v>
      </c>
      <c r="M142" s="21"/>
      <c r="N142" s="188" t="s">
        <v>178</v>
      </c>
      <c r="S142" s="68"/>
    </row>
    <row r="143" spans="3:20">
      <c r="C143" s="60"/>
      <c r="D143" s="60"/>
      <c r="G143" s="6"/>
      <c r="H143" s="208"/>
      <c r="I143" s="208"/>
      <c r="J143" s="208"/>
      <c r="K143" s="208"/>
      <c r="L143" s="208"/>
      <c r="M143" s="21"/>
      <c r="N143" s="188"/>
      <c r="S143" s="68"/>
    </row>
    <row r="144" spans="3:20">
      <c r="C144" s="94" t="s">
        <v>68</v>
      </c>
      <c r="D144" s="94"/>
      <c r="G144" s="6"/>
      <c r="H144" s="208"/>
      <c r="I144" s="208"/>
      <c r="J144" s="208"/>
      <c r="K144" s="208"/>
      <c r="L144" s="208"/>
      <c r="M144" s="21"/>
      <c r="N144" s="188"/>
      <c r="S144" s="68"/>
    </row>
    <row r="145" spans="3:19">
      <c r="C145" s="26" t="s">
        <v>111</v>
      </c>
      <c r="D145" s="26"/>
      <c r="E145" s="56">
        <v>1.2E-2</v>
      </c>
      <c r="F145" s="124">
        <v>2.18E-2</v>
      </c>
      <c r="G145" s="124">
        <v>2.24E-2</v>
      </c>
      <c r="H145" s="209">
        <f>G145</f>
        <v>2.24E-2</v>
      </c>
      <c r="I145" s="209">
        <f>H145</f>
        <v>2.24E-2</v>
      </c>
      <c r="J145" s="209">
        <f>I145</f>
        <v>2.24E-2</v>
      </c>
      <c r="K145" s="209">
        <f>J145</f>
        <v>2.24E-2</v>
      </c>
      <c r="L145" s="209">
        <f>K145</f>
        <v>2.24E-2</v>
      </c>
      <c r="M145" s="21"/>
      <c r="N145" s="188" t="s">
        <v>132</v>
      </c>
    </row>
    <row r="146" spans="3:19">
      <c r="C146" s="26" t="s">
        <v>112</v>
      </c>
      <c r="D146" s="111"/>
      <c r="E146" s="102">
        <f t="shared" ref="E146:L146" si="66">E56</f>
        <v>11977</v>
      </c>
      <c r="F146" s="102">
        <f t="shared" si="66"/>
        <v>11964</v>
      </c>
      <c r="G146" s="102">
        <f t="shared" si="66"/>
        <v>5980</v>
      </c>
      <c r="H146" s="61">
        <f t="shared" ca="1" si="66"/>
        <v>12000</v>
      </c>
      <c r="I146" s="61">
        <f t="shared" ca="1" si="66"/>
        <v>12000</v>
      </c>
      <c r="J146" s="61">
        <f t="shared" ca="1" si="66"/>
        <v>12000</v>
      </c>
      <c r="K146" s="61">
        <f t="shared" ca="1" si="66"/>
        <v>12000</v>
      </c>
      <c r="L146" s="61">
        <f t="shared" ca="1" si="66"/>
        <v>12000</v>
      </c>
      <c r="M146" s="21"/>
      <c r="N146" s="188" t="s">
        <v>181</v>
      </c>
    </row>
    <row r="147" spans="3:19">
      <c r="C147" s="163" t="s">
        <v>41</v>
      </c>
      <c r="D147" s="514"/>
      <c r="E147" s="51">
        <f>AVERAGE(D146:E146)*E145</f>
        <v>143.72399999999999</v>
      </c>
      <c r="F147" s="51">
        <f>AVERAGE(E146:F146)*F145</f>
        <v>260.95690000000002</v>
      </c>
      <c r="G147" s="51">
        <f>AVERAGE(F146:G146)*G145</f>
        <v>200.97280000000001</v>
      </c>
      <c r="H147" s="164">
        <f ca="1">IF($D$7=1,AVERAGE(G146,H146)*H145,0)</f>
        <v>201.376</v>
      </c>
      <c r="I147" s="164">
        <f t="shared" ref="I147:L147" ca="1" si="67">IF($D$7=1,AVERAGE(H146,I146)*I145,0)</f>
        <v>268.8</v>
      </c>
      <c r="J147" s="164">
        <f t="shared" ca="1" si="67"/>
        <v>268.8</v>
      </c>
      <c r="K147" s="164">
        <f t="shared" ca="1" si="67"/>
        <v>268.8</v>
      </c>
      <c r="L147" s="164">
        <f t="shared" ca="1" si="67"/>
        <v>268.8</v>
      </c>
      <c r="M147" s="21"/>
      <c r="N147" s="188" t="s">
        <v>180</v>
      </c>
    </row>
    <row r="148" spans="3:19">
      <c r="C148" s="81"/>
      <c r="D148" s="81"/>
      <c r="E148" s="34"/>
      <c r="F148" s="34"/>
      <c r="G148" s="22"/>
      <c r="H148" s="208"/>
      <c r="I148" s="208"/>
      <c r="J148" s="208"/>
      <c r="K148" s="208"/>
      <c r="L148" s="208"/>
      <c r="M148" s="21"/>
      <c r="N148" s="188"/>
    </row>
    <row r="149" spans="3:19">
      <c r="C149" s="94" t="s">
        <v>67</v>
      </c>
      <c r="D149" s="94"/>
      <c r="E149" s="34"/>
      <c r="F149" s="34"/>
      <c r="G149" s="22"/>
      <c r="H149" s="208"/>
      <c r="I149" s="208"/>
      <c r="J149" s="208"/>
      <c r="K149" s="208"/>
      <c r="L149" s="208"/>
      <c r="M149" s="21"/>
      <c r="N149" s="188"/>
    </row>
    <row r="150" spans="3:19">
      <c r="C150" s="26" t="s">
        <v>112</v>
      </c>
      <c r="D150" s="26"/>
      <c r="E150" s="34">
        <f t="shared" ref="E150" si="68">E57</f>
        <v>103703</v>
      </c>
      <c r="F150" s="34">
        <f t="shared" ref="F150:L150" si="69">F57</f>
        <v>102519</v>
      </c>
      <c r="G150" s="22">
        <f t="shared" si="69"/>
        <v>102067</v>
      </c>
      <c r="H150" s="61">
        <f t="shared" si="69"/>
        <v>102067</v>
      </c>
      <c r="I150" s="61">
        <f t="shared" si="69"/>
        <v>102067</v>
      </c>
      <c r="J150" s="61">
        <f t="shared" si="69"/>
        <v>102067</v>
      </c>
      <c r="K150" s="61">
        <f t="shared" si="69"/>
        <v>102067</v>
      </c>
      <c r="L150" s="61">
        <f t="shared" si="69"/>
        <v>102067</v>
      </c>
      <c r="M150" s="21"/>
      <c r="N150" s="188" t="s">
        <v>183</v>
      </c>
    </row>
    <row r="151" spans="3:19">
      <c r="C151" s="26" t="s">
        <v>111</v>
      </c>
      <c r="D151" s="26"/>
      <c r="E151" s="93">
        <f t="shared" ref="E151" si="70">E152/AVERAGE(D150:E150)</f>
        <v>2.101458974185896E-2</v>
      </c>
      <c r="F151" s="93">
        <f t="shared" ref="F151" si="71">F152/AVERAGE(E150:F150)</f>
        <v>2.8891612921996681E-2</v>
      </c>
      <c r="G151" s="100">
        <f>G152/AVERAGE(F150:G150)</f>
        <v>3.2993725865895024E-2</v>
      </c>
      <c r="H151" s="512">
        <f>G151</f>
        <v>3.2993725865895024E-2</v>
      </c>
      <c r="I151" s="512">
        <f>H151</f>
        <v>3.2993725865895024E-2</v>
      </c>
      <c r="J151" s="512">
        <f>I151</f>
        <v>3.2993725865895024E-2</v>
      </c>
      <c r="K151" s="512">
        <f>J151</f>
        <v>3.2993725865895024E-2</v>
      </c>
      <c r="L151" s="512">
        <f>K151</f>
        <v>3.2993725865895024E-2</v>
      </c>
      <c r="M151" s="21"/>
      <c r="N151" s="188" t="s">
        <v>132</v>
      </c>
      <c r="S151" s="99"/>
    </row>
    <row r="152" spans="3:19">
      <c r="C152" s="54" t="s">
        <v>186</v>
      </c>
      <c r="D152" s="54"/>
      <c r="E152" s="52">
        <f t="shared" ref="E152" si="72">E142-E147</f>
        <v>2179.2759999999998</v>
      </c>
      <c r="F152" s="52">
        <f>F142-F147</f>
        <v>2979.0430999999999</v>
      </c>
      <c r="G152" s="51">
        <f>G142-G147</f>
        <v>3375.0272</v>
      </c>
      <c r="H152" s="20">
        <f>H151*AVERAGE(G150:H150)</f>
        <v>3367.5706179543072</v>
      </c>
      <c r="I152" s="20">
        <f>I151*AVERAGE(H150:I150)</f>
        <v>3367.5706179543072</v>
      </c>
      <c r="J152" s="20">
        <f>J151*AVERAGE(I150:J150)</f>
        <v>3367.5706179543072</v>
      </c>
      <c r="K152" s="20">
        <f>K151*AVERAGE(J150:K150)</f>
        <v>3367.5706179543072</v>
      </c>
      <c r="L152" s="20">
        <f>L151*AVERAGE(K150:L150)</f>
        <v>3367.5706179543072</v>
      </c>
      <c r="M152" s="21"/>
      <c r="N152" s="188" t="s">
        <v>114</v>
      </c>
    </row>
    <row r="153" spans="3:19">
      <c r="F153" s="34"/>
      <c r="G153" s="6"/>
      <c r="H153" s="208"/>
      <c r="I153" s="208"/>
      <c r="J153" s="208"/>
      <c r="K153" s="208"/>
      <c r="L153" s="208"/>
      <c r="M153" s="21"/>
      <c r="N153" s="188"/>
    </row>
    <row r="154" spans="3:19">
      <c r="C154" s="60" t="s">
        <v>42</v>
      </c>
      <c r="D154" s="60"/>
      <c r="F154" s="34"/>
      <c r="G154" s="22"/>
      <c r="H154" s="208"/>
      <c r="I154" s="208"/>
      <c r="J154" s="208"/>
      <c r="K154" s="208"/>
      <c r="L154" s="208"/>
      <c r="M154" s="21"/>
      <c r="N154" s="188"/>
    </row>
    <row r="155" spans="3:19" ht="15" customHeight="1">
      <c r="C155" s="26" t="s">
        <v>115</v>
      </c>
      <c r="D155" s="55">
        <v>1.7299999999999999E-2</v>
      </c>
      <c r="E155" s="56">
        <v>1.9900000000000001E-2</v>
      </c>
      <c r="F155" s="124">
        <v>2.1600000000000001E-2</v>
      </c>
      <c r="G155" s="124">
        <v>2.1899999999999999E-2</v>
      </c>
      <c r="H155" s="210">
        <f>G155</f>
        <v>2.1899999999999999E-2</v>
      </c>
      <c r="I155" s="210">
        <f>H155</f>
        <v>2.1899999999999999E-2</v>
      </c>
      <c r="J155" s="210">
        <f>I155</f>
        <v>2.1899999999999999E-2</v>
      </c>
      <c r="K155" s="210">
        <f>J155</f>
        <v>2.1899999999999999E-2</v>
      </c>
      <c r="L155" s="210">
        <f>K155</f>
        <v>2.1899999999999999E-2</v>
      </c>
      <c r="M155" s="21"/>
      <c r="N155" s="188" t="s">
        <v>132</v>
      </c>
    </row>
    <row r="156" spans="3:19" ht="15" customHeight="1">
      <c r="C156" s="26" t="s">
        <v>4</v>
      </c>
      <c r="D156" s="34">
        <f>D23</f>
        <v>3999</v>
      </c>
      <c r="E156" s="34">
        <f>E23</f>
        <v>5201</v>
      </c>
      <c r="F156" s="22">
        <f>F23</f>
        <v>5686</v>
      </c>
      <c r="G156" s="22">
        <f>G23</f>
        <v>4961</v>
      </c>
      <c r="H156" s="38">
        <f ca="1">IF($D$7=1,AVERAGE(G45,H45)*H155,0)</f>
        <v>4386.8465720646718</v>
      </c>
      <c r="I156" s="38">
        <f t="shared" ref="I156:L156" ca="1" si="73">IF($D$7=1,AVERAGE(H45,I45)*I155,0)</f>
        <v>4119.4834223149901</v>
      </c>
      <c r="J156" s="38">
        <f t="shared" ca="1" si="73"/>
        <v>3871.0561664626944</v>
      </c>
      <c r="K156" s="38">
        <f t="shared" ca="1" si="73"/>
        <v>3709.7511405767555</v>
      </c>
      <c r="L156" s="38">
        <f t="shared" ca="1" si="73"/>
        <v>3643.4636987454537</v>
      </c>
      <c r="M156" s="21"/>
      <c r="N156" s="188" t="s">
        <v>184</v>
      </c>
    </row>
    <row r="157" spans="3:19">
      <c r="C157" s="65"/>
      <c r="D157" s="65"/>
      <c r="E157" s="100"/>
      <c r="F157" s="93"/>
      <c r="G157" s="93"/>
      <c r="H157" s="100"/>
      <c r="I157" s="100"/>
      <c r="J157" s="6"/>
      <c r="K157" s="6"/>
      <c r="L157" s="6"/>
    </row>
    <row r="158" spans="3:19">
      <c r="C158" s="7" t="s">
        <v>214</v>
      </c>
      <c r="D158" s="7"/>
      <c r="E158" s="7"/>
      <c r="F158" s="7"/>
      <c r="G158" s="7"/>
      <c r="H158" s="7"/>
      <c r="I158" s="7"/>
      <c r="J158" s="7"/>
      <c r="K158" s="7"/>
      <c r="L158" s="7"/>
    </row>
    <row r="159" spans="3:19">
      <c r="C159" s="35"/>
      <c r="D159" s="30">
        <f t="shared" ref="D159:K160" si="74">D14</f>
        <v>2016</v>
      </c>
      <c r="E159" s="30">
        <f t="shared" si="74"/>
        <v>2017</v>
      </c>
      <c r="F159" s="30">
        <f t="shared" si="74"/>
        <v>2018</v>
      </c>
      <c r="G159" s="191">
        <f t="shared" si="74"/>
        <v>2019</v>
      </c>
      <c r="H159" s="191">
        <f t="shared" si="74"/>
        <v>2020</v>
      </c>
      <c r="I159" s="191">
        <f t="shared" si="74"/>
        <v>2021</v>
      </c>
      <c r="J159" s="191">
        <f t="shared" si="74"/>
        <v>2022</v>
      </c>
      <c r="K159" s="191">
        <f t="shared" si="74"/>
        <v>2023</v>
      </c>
      <c r="L159" s="191">
        <f>L14</f>
        <v>2024</v>
      </c>
    </row>
    <row r="160" spans="3:19">
      <c r="C160" s="9"/>
      <c r="D160" s="192">
        <f t="shared" si="74"/>
        <v>42643</v>
      </c>
      <c r="E160" s="192">
        <f t="shared" si="74"/>
        <v>43008</v>
      </c>
      <c r="F160" s="192">
        <f t="shared" si="74"/>
        <v>43372</v>
      </c>
      <c r="G160" s="192">
        <f t="shared" si="74"/>
        <v>43737</v>
      </c>
      <c r="H160" s="192">
        <f t="shared" si="74"/>
        <v>44104</v>
      </c>
      <c r="I160" s="192">
        <f t="shared" si="74"/>
        <v>44469</v>
      </c>
      <c r="J160" s="192">
        <f t="shared" si="74"/>
        <v>44834</v>
      </c>
      <c r="K160" s="192">
        <f t="shared" si="74"/>
        <v>45199</v>
      </c>
      <c r="L160" s="192">
        <f t="shared" ref="L160" si="75">L15</f>
        <v>45565</v>
      </c>
    </row>
    <row r="161" spans="3:14">
      <c r="G161" s="66"/>
      <c r="H161" s="66"/>
      <c r="I161" s="66"/>
      <c r="J161" s="27"/>
      <c r="K161" s="27"/>
    </row>
    <row r="162" spans="3:14">
      <c r="C162" s="5" t="s">
        <v>2</v>
      </c>
      <c r="D162" s="57">
        <f t="shared" ref="D162:F162" si="76">D28</f>
        <v>45687</v>
      </c>
      <c r="E162" s="57">
        <f t="shared" si="76"/>
        <v>48351</v>
      </c>
      <c r="F162" s="57">
        <f t="shared" si="76"/>
        <v>59531</v>
      </c>
      <c r="G162" s="57">
        <f>G28</f>
        <v>55256</v>
      </c>
      <c r="H162" s="57">
        <f t="shared" ref="H162:L162" ca="1" si="77">H28</f>
        <v>58068.411791803133</v>
      </c>
      <c r="I162" s="57">
        <f t="shared" ca="1" si="77"/>
        <v>61721.810321792007</v>
      </c>
      <c r="J162" s="57">
        <f t="shared" ca="1" si="77"/>
        <v>65719.301400773867</v>
      </c>
      <c r="K162" s="57">
        <f t="shared" ca="1" si="77"/>
        <v>70080.259438958354</v>
      </c>
      <c r="L162" s="57">
        <f t="shared" ca="1" si="77"/>
        <v>74831.34720758551</v>
      </c>
      <c r="N162" s="5" t="s">
        <v>223</v>
      </c>
    </row>
    <row r="163" spans="3:14">
      <c r="C163" s="5" t="s">
        <v>215</v>
      </c>
      <c r="D163" s="200">
        <v>5470.82</v>
      </c>
      <c r="E163" s="200">
        <v>5217.2420000000002</v>
      </c>
      <c r="F163" s="200">
        <v>4955.3770000000004</v>
      </c>
      <c r="G163" s="200">
        <v>4617.8340000000007</v>
      </c>
      <c r="H163" s="57">
        <f ca="1">G163+(-H169+H170)/H171</f>
        <v>4415.6042666666672</v>
      </c>
      <c r="I163" s="57">
        <f t="shared" ref="I163:L163" ca="1" si="78">H163+(-I169+I170)/I171</f>
        <v>4226.7366003288953</v>
      </c>
      <c r="J163" s="57">
        <f t="shared" ca="1" si="78"/>
        <v>4050.7544851611069</v>
      </c>
      <c r="K163" s="57">
        <f t="shared" ca="1" si="78"/>
        <v>3887.1242032553955</v>
      </c>
      <c r="L163" s="57">
        <f t="shared" ca="1" si="78"/>
        <v>3735.285297408378</v>
      </c>
      <c r="N163" s="5" t="s">
        <v>301</v>
      </c>
    </row>
    <row r="164" spans="3:14">
      <c r="C164" s="24" t="s">
        <v>216</v>
      </c>
      <c r="D164" s="397">
        <f t="shared" ref="D164:F164" si="79">D162/D163</f>
        <v>8.3510333003096431</v>
      </c>
      <c r="E164" s="397">
        <f t="shared" si="79"/>
        <v>9.2675402061088974</v>
      </c>
      <c r="F164" s="397">
        <f t="shared" si="79"/>
        <v>12.0134149228202</v>
      </c>
      <c r="G164" s="397">
        <f t="shared" ref="G164" si="80">G162/G163</f>
        <v>11.965783092246276</v>
      </c>
      <c r="H164" s="397">
        <f ca="1">H162/H163</f>
        <v>13.150728254830428</v>
      </c>
      <c r="I164" s="397">
        <f ca="1">I162/I163</f>
        <v>14.602710355073757</v>
      </c>
      <c r="J164" s="397">
        <f ca="1">J162/J163</f>
        <v>16.223965594932885</v>
      </c>
      <c r="K164" s="397">
        <f ca="1">K162/K163</f>
        <v>18.028819192416702</v>
      </c>
      <c r="L164" s="397">
        <f ca="1">L162/L163</f>
        <v>20.033636322105068</v>
      </c>
      <c r="N164" s="5" t="s">
        <v>226</v>
      </c>
    </row>
    <row r="165" spans="3:14">
      <c r="D165" s="188"/>
      <c r="E165" s="200"/>
      <c r="F165" s="200"/>
      <c r="G165" s="200"/>
      <c r="H165" s="57"/>
      <c r="I165" s="188"/>
      <c r="J165" s="188"/>
      <c r="K165" s="188"/>
      <c r="L165" s="188"/>
    </row>
    <row r="166" spans="3:14">
      <c r="C166" s="5" t="s">
        <v>217</v>
      </c>
      <c r="D166" s="200">
        <v>5500.2809999999999</v>
      </c>
      <c r="E166" s="200">
        <v>5251.692</v>
      </c>
      <c r="F166" s="200">
        <v>5000.1090000000004</v>
      </c>
      <c r="G166" s="200">
        <v>4648.9129999999996</v>
      </c>
      <c r="H166" s="57">
        <f ca="1">H163+G166-G163</f>
        <v>4446.6832666666651</v>
      </c>
      <c r="I166" s="57">
        <f t="shared" ref="I166:L166" ca="1" si="81">I163+H166-H163</f>
        <v>4257.8156003288932</v>
      </c>
      <c r="J166" s="57">
        <f t="shared" ca="1" si="81"/>
        <v>4081.8334851611053</v>
      </c>
      <c r="K166" s="57">
        <f t="shared" ca="1" si="81"/>
        <v>3918.2032032553939</v>
      </c>
      <c r="L166" s="57">
        <f t="shared" ca="1" si="81"/>
        <v>3766.3642974083768</v>
      </c>
      <c r="N166" s="5" t="s">
        <v>227</v>
      </c>
    </row>
    <row r="167" spans="3:14">
      <c r="C167" s="24" t="s">
        <v>218</v>
      </c>
      <c r="D167" s="397">
        <f>D162/D166</f>
        <v>8.3063028961611227</v>
      </c>
      <c r="E167" s="397">
        <f t="shared" ref="E167:F167" si="82">E162/E166</f>
        <v>9.2067470826545037</v>
      </c>
      <c r="F167" s="397">
        <f t="shared" si="82"/>
        <v>11.905940450498179</v>
      </c>
      <c r="G167" s="397">
        <f t="shared" ref="G167" si="83">G162/G166</f>
        <v>11.885789215672569</v>
      </c>
      <c r="H167" s="397">
        <f ca="1">H162/H166</f>
        <v>13.058814471248036</v>
      </c>
      <c r="I167" s="397">
        <f ca="1">I162/I166</f>
        <v>14.496121043152815</v>
      </c>
      <c r="J167" s="397">
        <f ca="1">J162/J166</f>
        <v>16.100436639487267</v>
      </c>
      <c r="K167" s="397">
        <f ca="1">K162/K166</f>
        <v>17.885815462743988</v>
      </c>
      <c r="L167" s="397">
        <f ca="1">L162/L166</f>
        <v>19.868324277361253</v>
      </c>
      <c r="N167" s="5" t="s">
        <v>228</v>
      </c>
    </row>
    <row r="168" spans="3:14">
      <c r="D168" s="188"/>
      <c r="E168" s="188"/>
      <c r="F168" s="188"/>
      <c r="G168" s="188"/>
      <c r="H168" s="515"/>
      <c r="I168" s="188"/>
      <c r="J168" s="188"/>
      <c r="K168" s="188"/>
      <c r="L168" s="188"/>
    </row>
    <row r="169" spans="3:14">
      <c r="C169" s="5" t="s">
        <v>224</v>
      </c>
      <c r="D169" s="188"/>
      <c r="E169" s="188"/>
      <c r="F169" s="188"/>
      <c r="G169" s="188"/>
      <c r="H169" s="57">
        <f>-(H86)</f>
        <v>67101</v>
      </c>
      <c r="I169" s="57">
        <f t="shared" ref="I169:L169" si="84">-(I86)</f>
        <v>67101</v>
      </c>
      <c r="J169" s="57">
        <f t="shared" si="84"/>
        <v>67101</v>
      </c>
      <c r="K169" s="57">
        <f t="shared" si="84"/>
        <v>67101</v>
      </c>
      <c r="L169" s="57">
        <f t="shared" si="84"/>
        <v>67101</v>
      </c>
      <c r="N169" s="5" t="s">
        <v>221</v>
      </c>
    </row>
    <row r="170" spans="3:14">
      <c r="C170" s="5" t="s">
        <v>225</v>
      </c>
      <c r="D170" s="188"/>
      <c r="E170" s="188"/>
      <c r="F170" s="188"/>
      <c r="G170" s="188"/>
      <c r="H170" s="38">
        <f ca="1">H32</f>
        <v>6432.08</v>
      </c>
      <c r="I170" s="38">
        <f t="shared" ref="I170:L170" ca="1" si="85">I32</f>
        <v>6875.8935199999996</v>
      </c>
      <c r="J170" s="38">
        <f t="shared" ca="1" si="85"/>
        <v>7350.3301728799988</v>
      </c>
      <c r="K170" s="38">
        <f t="shared" ca="1" si="85"/>
        <v>7857.5029548087186</v>
      </c>
      <c r="L170" s="38">
        <f t="shared" ca="1" si="85"/>
        <v>8399.6706586905202</v>
      </c>
      <c r="N170" s="5" t="s">
        <v>222</v>
      </c>
    </row>
    <row r="171" spans="3:14">
      <c r="C171" s="5" t="s">
        <v>220</v>
      </c>
      <c r="D171" s="188"/>
      <c r="E171" s="188"/>
      <c r="F171" s="188"/>
      <c r="G171" s="188"/>
      <c r="H171" s="516">
        <v>300</v>
      </c>
      <c r="I171" s="515">
        <f ca="1">H171*(1+I172)</f>
        <v>318.87462606909759</v>
      </c>
      <c r="J171" s="515">
        <f ca="1">I171*(1+J172)</f>
        <v>339.52694437245168</v>
      </c>
      <c r="K171" s="515">
        <f ca="1">J171*(1+K172)</f>
        <v>362.05704931394797</v>
      </c>
      <c r="L171" s="515">
        <f ca="1">K171*(1+L172)</f>
        <v>386.60268930318125</v>
      </c>
      <c r="N171" s="5" t="s">
        <v>229</v>
      </c>
    </row>
    <row r="172" spans="3:14">
      <c r="C172" s="5" t="s">
        <v>219</v>
      </c>
      <c r="D172" s="188"/>
      <c r="E172" s="188"/>
      <c r="F172" s="188"/>
      <c r="G172" s="188"/>
      <c r="H172" s="188"/>
      <c r="I172" s="517">
        <f ca="1">I162/H162-1</f>
        <v>6.2915420230325259E-2</v>
      </c>
      <c r="J172" s="517">
        <f t="shared" ref="J172:L172" ca="1" si="86">J162/I162-1</f>
        <v>6.4766264277418273E-2</v>
      </c>
      <c r="K172" s="517">
        <f t="shared" ca="1" si="86"/>
        <v>6.6357340160848599E-2</v>
      </c>
      <c r="L172" s="517">
        <f t="shared" ca="1" si="86"/>
        <v>6.7794951198282494E-2</v>
      </c>
      <c r="N172" s="5" t="s">
        <v>300</v>
      </c>
    </row>
    <row r="173" spans="3:14">
      <c r="H173" s="6"/>
      <c r="N173" s="25" t="s">
        <v>302</v>
      </c>
    </row>
    <row r="174" spans="3:14">
      <c r="C174" s="24" t="s">
        <v>295</v>
      </c>
      <c r="E174" s="24"/>
      <c r="F174" s="24"/>
      <c r="G174" s="449" t="s">
        <v>303</v>
      </c>
      <c r="H174" s="518">
        <f>D11</f>
        <v>4443.2650000000003</v>
      </c>
      <c r="I174" s="162">
        <f ca="1">H176</f>
        <v>4241.0352666666668</v>
      </c>
      <c r="J174" s="194">
        <f t="shared" ref="J174:L174" ca="1" si="87">I176</f>
        <v>4052.1676003288953</v>
      </c>
      <c r="K174" s="194">
        <f t="shared" ca="1" si="87"/>
        <v>3876.185485161107</v>
      </c>
      <c r="L174" s="194">
        <f t="shared" ca="1" si="87"/>
        <v>3712.555203255396</v>
      </c>
      <c r="N174" s="5" t="s">
        <v>304</v>
      </c>
    </row>
    <row r="175" spans="3:14">
      <c r="C175" s="5" t="s">
        <v>296</v>
      </c>
      <c r="H175" s="61">
        <f ca="1">(-H169+H170)/H171</f>
        <v>-202.22973333333331</v>
      </c>
      <c r="I175" s="57">
        <f t="shared" ref="I175:L175" ca="1" si="88">(-I169+I170)/I171</f>
        <v>-188.86766633777157</v>
      </c>
      <c r="J175" s="57">
        <f t="shared" ca="1" si="88"/>
        <v>-175.98211516778818</v>
      </c>
      <c r="K175" s="57">
        <f t="shared" ca="1" si="88"/>
        <v>-163.63028190571117</v>
      </c>
      <c r="L175" s="57">
        <f t="shared" ca="1" si="88"/>
        <v>-151.83890584701746</v>
      </c>
      <c r="N175" s="5" t="s">
        <v>305</v>
      </c>
    </row>
    <row r="176" spans="3:14">
      <c r="C176" s="5" t="s">
        <v>297</v>
      </c>
      <c r="H176" s="57">
        <f ca="1">SUM(H174:H175)</f>
        <v>4241.0352666666668</v>
      </c>
      <c r="I176" s="57">
        <f t="shared" ref="I176:L176" ca="1" si="89">SUM(I174:I175)</f>
        <v>4052.1676003288953</v>
      </c>
      <c r="J176" s="57">
        <f t="shared" ca="1" si="89"/>
        <v>3876.185485161107</v>
      </c>
      <c r="K176" s="57">
        <f t="shared" ca="1" si="89"/>
        <v>3712.555203255396</v>
      </c>
      <c r="L176" s="57">
        <f t="shared" ca="1" si="89"/>
        <v>3560.7162974083785</v>
      </c>
      <c r="N176" s="5" t="s">
        <v>306</v>
      </c>
    </row>
    <row r="177" spans="3:14">
      <c r="C177" s="24" t="s">
        <v>298</v>
      </c>
      <c r="E177" s="24"/>
      <c r="F177" s="24"/>
      <c r="G177" s="24"/>
      <c r="H177" s="194">
        <f ca="1">AVERAGE(H176,H174)</f>
        <v>4342.1501333333335</v>
      </c>
      <c r="I177" s="194">
        <f t="shared" ref="I177:L177" ca="1" si="90">AVERAGE(I176,I174)</f>
        <v>4146.6014334977808</v>
      </c>
      <c r="J177" s="194">
        <f t="shared" ca="1" si="90"/>
        <v>3964.1765427450009</v>
      </c>
      <c r="K177" s="194">
        <f t="shared" ca="1" si="90"/>
        <v>3794.3703442082515</v>
      </c>
      <c r="L177" s="194">
        <f t="shared" ca="1" si="90"/>
        <v>3636.6357503318873</v>
      </c>
      <c r="N177" s="5" t="s">
        <v>307</v>
      </c>
    </row>
    <row r="178" spans="3:14">
      <c r="N178" s="25"/>
    </row>
    <row r="179" spans="3:14">
      <c r="C179" s="7" t="s">
        <v>81</v>
      </c>
      <c r="D179" s="7"/>
      <c r="E179" s="7"/>
      <c r="F179" s="7"/>
      <c r="G179" s="7"/>
      <c r="H179" s="7"/>
      <c r="I179" s="7"/>
      <c r="J179" s="7"/>
      <c r="K179" s="7"/>
      <c r="L179" s="7"/>
    </row>
    <row r="180" spans="3:14" ht="15.75" thickBot="1">
      <c r="G180"/>
    </row>
    <row r="181" spans="3:14" ht="15.75" thickBot="1">
      <c r="C181" s="6" t="s">
        <v>193</v>
      </c>
      <c r="D181" s="534" t="str">
        <f>L5</f>
        <v>Base case</v>
      </c>
      <c r="E181" s="6"/>
      <c r="G181" s="183" t="s">
        <v>191</v>
      </c>
      <c r="H181" s="31">
        <f t="shared" ref="H181:L182" si="91">H14</f>
        <v>2020</v>
      </c>
      <c r="I181" s="31">
        <f t="shared" si="91"/>
        <v>2021</v>
      </c>
      <c r="J181" s="31">
        <f t="shared" si="91"/>
        <v>2022</v>
      </c>
      <c r="K181" s="31">
        <f t="shared" si="91"/>
        <v>2023</v>
      </c>
      <c r="L181" s="31">
        <f t="shared" si="91"/>
        <v>2024</v>
      </c>
    </row>
    <row r="182" spans="3:14">
      <c r="E182" s="6"/>
      <c r="F182" s="6"/>
      <c r="G182" s="178" t="s">
        <v>190</v>
      </c>
      <c r="H182" s="32">
        <f t="shared" si="91"/>
        <v>44104</v>
      </c>
      <c r="I182" s="32">
        <f t="shared" si="91"/>
        <v>44469</v>
      </c>
      <c r="J182" s="32">
        <f t="shared" si="91"/>
        <v>44834</v>
      </c>
      <c r="K182" s="32">
        <f t="shared" si="91"/>
        <v>45199</v>
      </c>
      <c r="L182" s="32">
        <f t="shared" si="91"/>
        <v>45565</v>
      </c>
    </row>
    <row r="183" spans="3:14">
      <c r="C183" s="26" t="s">
        <v>1</v>
      </c>
      <c r="D183" s="6"/>
      <c r="E183" s="6"/>
      <c r="G183" s="535" t="str">
        <f ca="1">OFFSET(G$188,MATCH($L$5,$C$189:$C$191,0)+MATCH($C183,$C$188:$C$203,0)-1,0)</f>
        <v>NM</v>
      </c>
      <c r="H183" s="475">
        <f ca="1">OFFSET(H$188,MATCH($L$5,$C$189:$C$191,0)+MATCH($C183,$C$188:$C$203,0)-1,0)</f>
        <v>0.06</v>
      </c>
      <c r="I183" s="475">
        <f t="shared" ref="I183:L186" ca="1" si="92">OFFSET(I$188,MATCH($L$5,$C$189:$C$191,0)+MATCH($C183,$C$188:$C$203,0)-1,0)</f>
        <v>6.9000000000000006E-2</v>
      </c>
      <c r="J183" s="475">
        <f t="shared" ca="1" si="92"/>
        <v>6.9000000000000006E-2</v>
      </c>
      <c r="K183" s="475">
        <f t="shared" ca="1" si="92"/>
        <v>6.9000000000000006E-2</v>
      </c>
      <c r="L183" s="475">
        <f t="shared" ca="1" si="92"/>
        <v>6.9000000000000006E-2</v>
      </c>
    </row>
    <row r="184" spans="3:14">
      <c r="C184" s="26" t="s">
        <v>231</v>
      </c>
      <c r="E184" s="6"/>
      <c r="G184" s="535" t="str">
        <f t="shared" ref="G184:H186" ca="1" si="93">OFFSET(G$188,MATCH($L$5,$C$189:$C$191,0)+MATCH($C184,$C$188:$C$203,0)-1,0)</f>
        <v>NM</v>
      </c>
      <c r="H184" s="475">
        <f t="shared" ca="1" si="93"/>
        <v>0.378</v>
      </c>
      <c r="I184" s="475">
        <f t="shared" ca="1" si="92"/>
        <v>0.378</v>
      </c>
      <c r="J184" s="475">
        <f t="shared" ca="1" si="92"/>
        <v>0.378</v>
      </c>
      <c r="K184" s="475">
        <f t="shared" ca="1" si="92"/>
        <v>0.378</v>
      </c>
      <c r="L184" s="475">
        <f t="shared" ca="1" si="92"/>
        <v>0.378</v>
      </c>
    </row>
    <row r="185" spans="3:14">
      <c r="C185" s="28" t="s">
        <v>232</v>
      </c>
      <c r="E185" s="6"/>
      <c r="G185" s="535" t="str">
        <f t="shared" ca="1" si="93"/>
        <v>NM</v>
      </c>
      <c r="H185" s="475">
        <f t="shared" ca="1" si="93"/>
        <v>6.2E-2</v>
      </c>
      <c r="I185" s="475">
        <f t="shared" ca="1" si="92"/>
        <v>6.2E-2</v>
      </c>
      <c r="J185" s="475">
        <f t="shared" ca="1" si="92"/>
        <v>6.2E-2</v>
      </c>
      <c r="K185" s="475">
        <f t="shared" ca="1" si="92"/>
        <v>6.2E-2</v>
      </c>
      <c r="L185" s="475">
        <f t="shared" ca="1" si="92"/>
        <v>6.2E-2</v>
      </c>
    </row>
    <row r="186" spans="3:14">
      <c r="C186" s="26" t="s">
        <v>234</v>
      </c>
      <c r="E186" s="6"/>
      <c r="G186" s="535" t="str">
        <f t="shared" ca="1" si="93"/>
        <v>NM</v>
      </c>
      <c r="H186" s="475">
        <f t="shared" ca="1" si="93"/>
        <v>7.0000000000000007E-2</v>
      </c>
      <c r="I186" s="475">
        <f t="shared" ca="1" si="92"/>
        <v>7.0000000000000007E-2</v>
      </c>
      <c r="J186" s="475">
        <f t="shared" ca="1" si="92"/>
        <v>7.0000000000000007E-2</v>
      </c>
      <c r="K186" s="475">
        <f t="shared" ca="1" si="92"/>
        <v>7.0000000000000007E-2</v>
      </c>
      <c r="L186" s="475">
        <f t="shared" ca="1" si="92"/>
        <v>7.0000000000000007E-2</v>
      </c>
    </row>
    <row r="187" spans="3:14">
      <c r="E187" s="6"/>
      <c r="G187" s="179"/>
      <c r="H187" s="6"/>
    </row>
    <row r="188" spans="3:14">
      <c r="C188" s="54" t="s">
        <v>1</v>
      </c>
      <c r="E188" s="6"/>
      <c r="G188" s="179"/>
      <c r="H188" s="6"/>
    </row>
    <row r="189" spans="3:14">
      <c r="C189" s="81" t="s">
        <v>84</v>
      </c>
      <c r="E189" s="6"/>
      <c r="G189" s="180">
        <v>2.5000000000000001E-2</v>
      </c>
      <c r="H189" s="27">
        <f>H190+$G$189</f>
        <v>8.4999999999999992E-2</v>
      </c>
      <c r="I189" s="67">
        <f t="shared" ref="I189:L189" si="94">I190+$G$189</f>
        <v>9.4E-2</v>
      </c>
      <c r="J189" s="67">
        <f t="shared" si="94"/>
        <v>9.4E-2</v>
      </c>
      <c r="K189" s="67">
        <f t="shared" si="94"/>
        <v>9.4E-2</v>
      </c>
      <c r="L189" s="67">
        <f t="shared" si="94"/>
        <v>9.4E-2</v>
      </c>
    </row>
    <row r="190" spans="3:14">
      <c r="C190" s="81" t="s">
        <v>83</v>
      </c>
      <c r="E190" s="6"/>
      <c r="G190" s="181" t="s">
        <v>189</v>
      </c>
      <c r="H190" s="66">
        <v>0.06</v>
      </c>
      <c r="I190" s="66">
        <v>6.9000000000000006E-2</v>
      </c>
      <c r="J190" s="66">
        <f t="shared" ref="J190" si="95">I190</f>
        <v>6.9000000000000006E-2</v>
      </c>
      <c r="K190" s="66">
        <f t="shared" ref="K190" si="96">J190</f>
        <v>6.9000000000000006E-2</v>
      </c>
      <c r="L190" s="66">
        <f t="shared" ref="L190" si="97">K190</f>
        <v>6.9000000000000006E-2</v>
      </c>
    </row>
    <row r="191" spans="3:14">
      <c r="C191" s="81" t="s">
        <v>85</v>
      </c>
      <c r="E191" s="6"/>
      <c r="G191" s="180">
        <v>-2.5000000000000001E-2</v>
      </c>
      <c r="H191" s="27">
        <f>H190+$G$191</f>
        <v>3.4999999999999996E-2</v>
      </c>
      <c r="I191" s="67">
        <f t="shared" ref="I191:L191" si="98">I190+$G$191</f>
        <v>4.4000000000000004E-2</v>
      </c>
      <c r="J191" s="67">
        <f t="shared" si="98"/>
        <v>4.4000000000000004E-2</v>
      </c>
      <c r="K191" s="67">
        <f t="shared" si="98"/>
        <v>4.4000000000000004E-2</v>
      </c>
      <c r="L191" s="67">
        <f t="shared" si="98"/>
        <v>4.4000000000000004E-2</v>
      </c>
    </row>
    <row r="192" spans="3:14">
      <c r="C192" s="54" t="s">
        <v>231</v>
      </c>
      <c r="E192" s="6"/>
      <c r="G192" s="181"/>
      <c r="H192" s="59"/>
      <c r="I192" s="59"/>
      <c r="J192" s="59"/>
      <c r="K192" s="59"/>
      <c r="L192" s="59"/>
    </row>
    <row r="193" spans="3:12">
      <c r="C193" s="81" t="s">
        <v>84</v>
      </c>
      <c r="E193" s="6"/>
      <c r="G193" s="180">
        <v>0.01</v>
      </c>
      <c r="H193" s="27">
        <f>H194+$G$193</f>
        <v>0.38800000000000001</v>
      </c>
      <c r="I193" s="27">
        <f t="shared" ref="I193:L193" si="99">I194+$G$193</f>
        <v>0.38800000000000001</v>
      </c>
      <c r="J193" s="27">
        <f t="shared" si="99"/>
        <v>0.38800000000000001</v>
      </c>
      <c r="K193" s="27">
        <f t="shared" si="99"/>
        <v>0.38800000000000001</v>
      </c>
      <c r="L193" s="27">
        <f t="shared" si="99"/>
        <v>0.38800000000000001</v>
      </c>
    </row>
    <row r="194" spans="3:12">
      <c r="C194" s="81" t="s">
        <v>83</v>
      </c>
      <c r="E194" s="6"/>
      <c r="G194" s="181" t="s">
        <v>189</v>
      </c>
      <c r="H194" s="66">
        <v>0.378</v>
      </c>
      <c r="I194" s="66">
        <v>0.378</v>
      </c>
      <c r="J194" s="66">
        <v>0.378</v>
      </c>
      <c r="K194" s="66">
        <v>0.378</v>
      </c>
      <c r="L194" s="66">
        <v>0.378</v>
      </c>
    </row>
    <row r="195" spans="3:12">
      <c r="C195" s="81" t="s">
        <v>85</v>
      </c>
      <c r="E195" s="6"/>
      <c r="G195" s="180">
        <v>-0.01</v>
      </c>
      <c r="H195" s="27">
        <f>H194+$G$195</f>
        <v>0.36799999999999999</v>
      </c>
      <c r="I195" s="27">
        <f t="shared" ref="I195:L195" si="100">I194+$G$195</f>
        <v>0.36799999999999999</v>
      </c>
      <c r="J195" s="27">
        <f t="shared" si="100"/>
        <v>0.36799999999999999</v>
      </c>
      <c r="K195" s="27">
        <f t="shared" si="100"/>
        <v>0.36799999999999999</v>
      </c>
      <c r="L195" s="27">
        <f t="shared" si="100"/>
        <v>0.36799999999999999</v>
      </c>
    </row>
    <row r="196" spans="3:12">
      <c r="C196" s="83" t="s">
        <v>232</v>
      </c>
      <c r="E196" s="6"/>
      <c r="G196" s="181"/>
      <c r="H196" s="177"/>
      <c r="I196" s="82"/>
      <c r="J196" s="82"/>
      <c r="K196" s="82"/>
      <c r="L196" s="82"/>
    </row>
    <row r="197" spans="3:12">
      <c r="C197" s="81" t="s">
        <v>84</v>
      </c>
      <c r="E197" s="6"/>
      <c r="G197" s="180">
        <v>-0.01</v>
      </c>
      <c r="H197" s="27">
        <f>H198+$G$197</f>
        <v>5.1999999999999998E-2</v>
      </c>
      <c r="I197" s="27">
        <f t="shared" ref="I197:L197" si="101">I198+$G$197</f>
        <v>5.1999999999999998E-2</v>
      </c>
      <c r="J197" s="27">
        <f t="shared" si="101"/>
        <v>5.1999999999999998E-2</v>
      </c>
      <c r="K197" s="27">
        <f t="shared" si="101"/>
        <v>5.1999999999999998E-2</v>
      </c>
      <c r="L197" s="27">
        <f t="shared" si="101"/>
        <v>5.1999999999999998E-2</v>
      </c>
    </row>
    <row r="198" spans="3:12">
      <c r="C198" s="81" t="s">
        <v>83</v>
      </c>
      <c r="E198" s="6"/>
      <c r="G198" s="181" t="s">
        <v>189</v>
      </c>
      <c r="H198" s="66">
        <v>6.2E-2</v>
      </c>
      <c r="I198" s="66">
        <v>6.2E-2</v>
      </c>
      <c r="J198" s="66">
        <v>6.2E-2</v>
      </c>
      <c r="K198" s="66">
        <v>6.2E-2</v>
      </c>
      <c r="L198" s="66">
        <v>6.2E-2</v>
      </c>
    </row>
    <row r="199" spans="3:12">
      <c r="C199" s="81" t="s">
        <v>85</v>
      </c>
      <c r="E199" s="6"/>
      <c r="G199" s="180">
        <v>0.01</v>
      </c>
      <c r="H199" s="27">
        <f>H198+$G$199</f>
        <v>7.1999999999999995E-2</v>
      </c>
      <c r="I199" s="27">
        <f t="shared" ref="I199:L199" si="102">I198+$G$199</f>
        <v>7.1999999999999995E-2</v>
      </c>
      <c r="J199" s="27">
        <f t="shared" si="102"/>
        <v>7.1999999999999995E-2</v>
      </c>
      <c r="K199" s="27">
        <f t="shared" si="102"/>
        <v>7.1999999999999995E-2</v>
      </c>
      <c r="L199" s="27">
        <f t="shared" si="102"/>
        <v>7.1999999999999995E-2</v>
      </c>
    </row>
    <row r="200" spans="3:12">
      <c r="C200" s="54" t="s">
        <v>234</v>
      </c>
      <c r="E200" s="6"/>
      <c r="G200" s="181"/>
      <c r="H200" s="177"/>
      <c r="I200" s="82"/>
      <c r="J200" s="82"/>
      <c r="K200" s="82"/>
      <c r="L200" s="82"/>
    </row>
    <row r="201" spans="3:12">
      <c r="C201" s="81" t="s">
        <v>84</v>
      </c>
      <c r="E201" s="6"/>
      <c r="G201" s="180">
        <v>-0.01</v>
      </c>
      <c r="H201" s="27">
        <f>H202+$G$201</f>
        <v>6.0000000000000005E-2</v>
      </c>
      <c r="I201" s="27">
        <f t="shared" ref="I201:L201" si="103">I202+$G$201</f>
        <v>6.0000000000000005E-2</v>
      </c>
      <c r="J201" s="27">
        <f t="shared" si="103"/>
        <v>6.0000000000000005E-2</v>
      </c>
      <c r="K201" s="27">
        <f t="shared" si="103"/>
        <v>6.0000000000000005E-2</v>
      </c>
      <c r="L201" s="27">
        <f t="shared" si="103"/>
        <v>6.0000000000000005E-2</v>
      </c>
    </row>
    <row r="202" spans="3:12">
      <c r="C202" s="81" t="s">
        <v>83</v>
      </c>
      <c r="E202" s="6"/>
      <c r="G202" s="181" t="s">
        <v>189</v>
      </c>
      <c r="H202" s="66">
        <v>7.0000000000000007E-2</v>
      </c>
      <c r="I202" s="66">
        <v>7.0000000000000007E-2</v>
      </c>
      <c r="J202" s="66">
        <v>7.0000000000000007E-2</v>
      </c>
      <c r="K202" s="66">
        <v>7.0000000000000007E-2</v>
      </c>
      <c r="L202" s="66">
        <v>7.0000000000000007E-2</v>
      </c>
    </row>
    <row r="203" spans="3:12" ht="15.75" thickBot="1">
      <c r="C203" s="81" t="s">
        <v>85</v>
      </c>
      <c r="E203" s="6"/>
      <c r="G203" s="182">
        <v>0.01</v>
      </c>
      <c r="H203" s="27">
        <f>H202+$G$203</f>
        <v>0.08</v>
      </c>
      <c r="I203" s="27">
        <f t="shared" ref="I203:L203" si="104">I202+$G$203</f>
        <v>0.08</v>
      </c>
      <c r="J203" s="27">
        <f t="shared" si="104"/>
        <v>0.08</v>
      </c>
      <c r="K203" s="27">
        <f t="shared" si="104"/>
        <v>0.08</v>
      </c>
      <c r="L203" s="27">
        <f t="shared" si="104"/>
        <v>0.08</v>
      </c>
    </row>
  </sheetData>
  <conditionalFormatting sqref="C39:D39">
    <cfRule type="expression" dxfId="2" priority="5">
      <formula>#REF!=$C39</formula>
    </cfRule>
  </conditionalFormatting>
  <conditionalFormatting sqref="C200">
    <cfRule type="expression" dxfId="1" priority="2">
      <formula>#REF!=$C200</formula>
    </cfRule>
  </conditionalFormatting>
  <conditionalFormatting sqref="C186">
    <cfRule type="expression" dxfId="0" priority="1">
      <formula>#REF!=$C186</formula>
    </cfRule>
  </conditionalFormatting>
  <dataValidations count="3">
    <dataValidation type="list" allowBlank="1" showInputMessage="1" showErrorMessage="1" sqref="C3" xr:uid="{A57345D4-C404-44FD-816B-E8B74673995B}">
      <formula1>"$ bns except per share, $ mm except per share,$ in thousands except per share"</formula1>
    </dataValidation>
    <dataValidation type="list" allowBlank="1" showInputMessage="1" showErrorMessage="1" sqref="D7" xr:uid="{003E99B1-0363-42AA-8A6B-81FA0C732639}">
      <formula1>"0,1"</formula1>
    </dataValidation>
    <dataValidation type="list" allowBlank="1" showInputMessage="1" showErrorMessage="1" sqref="L5" xr:uid="{23CBF479-53E0-41F3-926F-8D3C8C5B37A0}">
      <formula1>$C$189:$C$191</formula1>
    </dataValidation>
  </dataValidations>
  <pageMargins left="0.7" right="0.7" top="0.75" bottom="0.75" header="0.3" footer="0.3"/>
  <pageSetup scale="30"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38422-2A43-47D2-83B8-E63DF0919ACF}">
  <dimension ref="C1:T156"/>
  <sheetViews>
    <sheetView topLeftCell="A73" zoomScaleNormal="100" workbookViewId="0">
      <selection activeCell="E112" sqref="E112"/>
    </sheetView>
  </sheetViews>
  <sheetFormatPr defaultColWidth="8.85546875" defaultRowHeight="15"/>
  <cols>
    <col min="1" max="2" width="1.7109375" style="5" customWidth="1"/>
    <col min="3" max="3" width="42.7109375" style="5" customWidth="1"/>
    <col min="4" max="11" width="11.42578125" style="5" customWidth="1"/>
    <col min="12" max="12" width="2.28515625" style="5" customWidth="1"/>
    <col min="13" max="13" width="11.42578125" style="5" customWidth="1"/>
    <col min="14" max="14" width="11.85546875" style="5" customWidth="1"/>
    <col min="15" max="17" width="10.28515625" style="5" bestFit="1" customWidth="1"/>
    <col min="18" max="19" width="9.42578125" style="5" bestFit="1" customWidth="1"/>
    <col min="20" max="16384" width="8.85546875" style="5"/>
  </cols>
  <sheetData>
    <row r="1" spans="3:19" ht="15.75" thickBot="1"/>
    <row r="2" spans="3:19" ht="15.75" thickBot="1">
      <c r="C2" s="96" t="str">
        <f>"Financial Statement Model for "&amp;D5</f>
        <v>Financial Statement Model for Apple</v>
      </c>
      <c r="D2" s="79"/>
      <c r="E2" s="79"/>
      <c r="F2" s="79"/>
      <c r="G2" s="79"/>
      <c r="H2" s="79"/>
      <c r="I2" s="79"/>
      <c r="J2" s="79"/>
      <c r="K2" s="79"/>
    </row>
    <row r="3" spans="3:19">
      <c r="C3" s="2" t="s">
        <v>46</v>
      </c>
      <c r="D3" s="64"/>
      <c r="E3" s="64"/>
      <c r="F3" s="64"/>
      <c r="G3" s="64"/>
      <c r="H3" s="64"/>
      <c r="I3" s="6"/>
      <c r="J3" s="6"/>
      <c r="K3" s="6"/>
    </row>
    <row r="4" spans="3:19">
      <c r="O4" s="6"/>
      <c r="P4" s="6"/>
    </row>
    <row r="5" spans="3:19">
      <c r="C5" s="1" t="s">
        <v>5</v>
      </c>
      <c r="D5" s="112" t="s">
        <v>50</v>
      </c>
      <c r="O5" s="6"/>
      <c r="P5" s="6"/>
    </row>
    <row r="6" spans="3:19">
      <c r="C6" s="1" t="s">
        <v>6</v>
      </c>
      <c r="D6" s="112" t="s">
        <v>51</v>
      </c>
      <c r="O6" s="6"/>
      <c r="P6" s="6"/>
    </row>
    <row r="7" spans="3:19">
      <c r="C7" s="5" t="s">
        <v>325</v>
      </c>
      <c r="D7" s="113">
        <v>1</v>
      </c>
      <c r="O7" s="6"/>
      <c r="P7" s="6"/>
    </row>
    <row r="8" spans="3:19">
      <c r="C8" s="5" t="s">
        <v>73</v>
      </c>
      <c r="D8" s="114">
        <v>171.25</v>
      </c>
      <c r="O8" s="6"/>
      <c r="P8" s="6"/>
    </row>
    <row r="9" spans="3:19">
      <c r="C9" s="5" t="s">
        <v>9</v>
      </c>
      <c r="D9" s="115">
        <v>43500</v>
      </c>
      <c r="O9" s="6"/>
      <c r="P9" s="6"/>
    </row>
    <row r="10" spans="3:19">
      <c r="C10" s="1" t="s">
        <v>8</v>
      </c>
      <c r="D10" s="116">
        <v>43372</v>
      </c>
      <c r="O10" s="6"/>
      <c r="P10" s="6"/>
    </row>
    <row r="11" spans="3:19" ht="15" customHeight="1">
      <c r="C11" t="s">
        <v>292</v>
      </c>
      <c r="D11" s="132">
        <v>4745.3980000000001</v>
      </c>
      <c r="O11" s="6"/>
      <c r="P11" s="6"/>
    </row>
    <row r="12" spans="3:19">
      <c r="O12" s="6"/>
      <c r="P12" s="6"/>
    </row>
    <row r="13" spans="3:19">
      <c r="C13" s="7" t="s">
        <v>19</v>
      </c>
      <c r="D13" s="9"/>
      <c r="E13" s="9"/>
      <c r="F13" s="9"/>
      <c r="G13" s="9"/>
      <c r="H13" s="9"/>
      <c r="I13" s="9"/>
      <c r="J13" s="9"/>
      <c r="K13" s="9"/>
      <c r="Q13" s="6"/>
    </row>
    <row r="14" spans="3:19">
      <c r="C14" s="6" t="s">
        <v>10</v>
      </c>
      <c r="D14" s="10">
        <f>E14-1</f>
        <v>2016</v>
      </c>
      <c r="E14" s="10">
        <f>F14-1</f>
        <v>2017</v>
      </c>
      <c r="F14" s="10">
        <f>YEAR(D10)</f>
        <v>2018</v>
      </c>
      <c r="G14" s="11">
        <f>F14+1</f>
        <v>2019</v>
      </c>
      <c r="H14" s="11">
        <f>G14+1</f>
        <v>2020</v>
      </c>
      <c r="I14" s="11">
        <f>H14+1</f>
        <v>2021</v>
      </c>
      <c r="J14" s="11">
        <f>I14+1</f>
        <v>2022</v>
      </c>
      <c r="K14" s="11">
        <f>J14+1</f>
        <v>2023</v>
      </c>
      <c r="Q14" s="6"/>
    </row>
    <row r="15" spans="3:19">
      <c r="C15" s="12" t="s">
        <v>7</v>
      </c>
      <c r="D15" s="89">
        <f>EOMONTH(E15,-12)</f>
        <v>42643</v>
      </c>
      <c r="E15" s="89">
        <f>EOMONTH(F15,-12)</f>
        <v>43008</v>
      </c>
      <c r="F15" s="89">
        <f>D10</f>
        <v>43372</v>
      </c>
      <c r="G15" s="89">
        <f>EOMONTH(F15,12)</f>
        <v>43738</v>
      </c>
      <c r="H15" s="89">
        <f>EOMONTH(G15,12)</f>
        <v>44104</v>
      </c>
      <c r="I15" s="89">
        <f>EOMONTH(H15,12)</f>
        <v>44469</v>
      </c>
      <c r="J15" s="89">
        <f>EOMONTH(I15,12)</f>
        <v>44834</v>
      </c>
      <c r="K15" s="89">
        <f>EOMONTH(J15,12)</f>
        <v>45199</v>
      </c>
      <c r="M15" s="84" t="s">
        <v>86</v>
      </c>
      <c r="N15" s="97"/>
      <c r="O15" s="97"/>
      <c r="P15" s="97"/>
      <c r="Q15" s="97"/>
      <c r="R15" s="97"/>
      <c r="S15" s="97"/>
    </row>
    <row r="16" spans="3:19">
      <c r="C16" s="14"/>
      <c r="D16" s="15"/>
      <c r="E16" s="16"/>
      <c r="F16" s="16"/>
      <c r="G16" s="85"/>
      <c r="H16" s="86"/>
      <c r="I16" s="86"/>
      <c r="J16" s="16"/>
      <c r="K16" s="16"/>
    </row>
    <row r="17" spans="3:14">
      <c r="C17" s="6" t="s">
        <v>11</v>
      </c>
      <c r="D17" s="17">
        <v>215639</v>
      </c>
      <c r="E17" s="17">
        <v>229234</v>
      </c>
      <c r="F17" s="17">
        <v>265595</v>
      </c>
      <c r="G17" s="151">
        <f>F17*(1+G36)</f>
        <v>254971.19999999998</v>
      </c>
      <c r="H17" s="151">
        <f>G17*(1+H36)</f>
        <v>270269.47200000001</v>
      </c>
      <c r="I17" s="151">
        <f>H17*(1+I36)</f>
        <v>288918.06556800002</v>
      </c>
      <c r="J17" s="151">
        <f>I17*(1+J36)</f>
        <v>308853.41209219198</v>
      </c>
      <c r="K17" s="151">
        <f>J17*(1+K36)</f>
        <v>330164.29752655321</v>
      </c>
      <c r="M17" s="5" t="s">
        <v>87</v>
      </c>
    </row>
    <row r="18" spans="3:14">
      <c r="C18" s="6" t="s">
        <v>14</v>
      </c>
      <c r="D18" s="17">
        <v>-131376</v>
      </c>
      <c r="E18" s="17">
        <v>-141048</v>
      </c>
      <c r="F18" s="17">
        <v>-163756</v>
      </c>
      <c r="G18" s="151">
        <f>G19-G17</f>
        <v>-158592.08639999997</v>
      </c>
      <c r="H18" s="151">
        <f>H19-H17</f>
        <v>-167296.80316800001</v>
      </c>
      <c r="I18" s="151">
        <f>I19-I17</f>
        <v>-178551.36452102399</v>
      </c>
      <c r="J18" s="151">
        <f>J19-J17</f>
        <v>-190871.40867297465</v>
      </c>
      <c r="K18" s="151">
        <f>K19-K17</f>
        <v>-204041.53587140987</v>
      </c>
      <c r="M18" s="5" t="s">
        <v>88</v>
      </c>
    </row>
    <row r="19" spans="3:14">
      <c r="C19" s="19" t="s">
        <v>13</v>
      </c>
      <c r="D19" s="20">
        <f>SUM(D17:D18)</f>
        <v>84263</v>
      </c>
      <c r="E19" s="20">
        <f>SUM(E17:E18)</f>
        <v>88186</v>
      </c>
      <c r="F19" s="20">
        <f>SUM(F17:F18)</f>
        <v>101839</v>
      </c>
      <c r="G19" s="147">
        <f>G17*G37</f>
        <v>96379.113599999997</v>
      </c>
      <c r="H19" s="147">
        <f>H17*H37</f>
        <v>102972.66883200001</v>
      </c>
      <c r="I19" s="147">
        <f>I17*I37</f>
        <v>110366.70104697601</v>
      </c>
      <c r="J19" s="147">
        <f>J17*J37</f>
        <v>117982.00341921733</v>
      </c>
      <c r="K19" s="147">
        <f>K17*K37</f>
        <v>126122.76165514333</v>
      </c>
      <c r="M19" s="87" t="s">
        <v>89</v>
      </c>
    </row>
    <row r="20" spans="3:14">
      <c r="C20" s="21" t="s">
        <v>52</v>
      </c>
      <c r="D20" s="17">
        <v>-10045</v>
      </c>
      <c r="E20" s="17">
        <v>-11581</v>
      </c>
      <c r="F20" s="17">
        <v>-14236</v>
      </c>
      <c r="G20" s="151">
        <f>-G38*G17</f>
        <v>-15808.214399999999</v>
      </c>
      <c r="H20" s="151">
        <f>-H38*H17</f>
        <v>-17026.976736000001</v>
      </c>
      <c r="I20" s="151">
        <f>-I38*I17</f>
        <v>-18201.838130784003</v>
      </c>
      <c r="J20" s="151">
        <f>-J38*J17</f>
        <v>-19457.764961808094</v>
      </c>
      <c r="K20" s="151">
        <f>-K38*K17</f>
        <v>-20800.350744172854</v>
      </c>
      <c r="M20" s="87" t="s">
        <v>233</v>
      </c>
    </row>
    <row r="21" spans="3:14">
      <c r="C21" s="21" t="s">
        <v>16</v>
      </c>
      <c r="D21" s="17">
        <v>-14194</v>
      </c>
      <c r="E21" s="17">
        <v>-15261</v>
      </c>
      <c r="F21" s="17">
        <v>-16705</v>
      </c>
      <c r="G21" s="151">
        <f>-G17*G39</f>
        <v>-18867.868799999997</v>
      </c>
      <c r="H21" s="151">
        <f>-H17*H39</f>
        <v>-18648.593568000004</v>
      </c>
      <c r="I21" s="151">
        <f>-I17*I39</f>
        <v>-19935.346524192002</v>
      </c>
      <c r="J21" s="151">
        <f>-J17*J39</f>
        <v>-21310.885434361247</v>
      </c>
      <c r="K21" s="151">
        <f>-K17*K39</f>
        <v>-22781.336529332173</v>
      </c>
      <c r="M21" s="87" t="s">
        <v>235</v>
      </c>
    </row>
    <row r="22" spans="3:14">
      <c r="C22" s="19" t="s">
        <v>3</v>
      </c>
      <c r="D22" s="20">
        <f t="shared" ref="D22:K22" si="0">D19+D20+D21</f>
        <v>60024</v>
      </c>
      <c r="E22" s="20">
        <f t="shared" si="0"/>
        <v>61344</v>
      </c>
      <c r="F22" s="20">
        <f t="shared" si="0"/>
        <v>70898</v>
      </c>
      <c r="G22" s="147">
        <f t="shared" si="0"/>
        <v>61703.030400000003</v>
      </c>
      <c r="H22" s="147">
        <f t="shared" si="0"/>
        <v>67297.098528000002</v>
      </c>
      <c r="I22" s="147">
        <f t="shared" si="0"/>
        <v>72229.516392000005</v>
      </c>
      <c r="J22" s="147">
        <f t="shared" si="0"/>
        <v>77213.353023047996</v>
      </c>
      <c r="K22" s="147">
        <f t="shared" si="0"/>
        <v>82541.074381638304</v>
      </c>
      <c r="M22" s="24" t="s">
        <v>90</v>
      </c>
    </row>
    <row r="23" spans="3:14">
      <c r="C23" s="6" t="s">
        <v>4</v>
      </c>
      <c r="D23" s="17">
        <v>3999</v>
      </c>
      <c r="E23" s="17">
        <v>5201</v>
      </c>
      <c r="F23" s="17">
        <v>5686</v>
      </c>
      <c r="G23" s="166"/>
      <c r="H23" s="166"/>
      <c r="I23" s="166"/>
      <c r="J23" s="166"/>
      <c r="K23" s="166"/>
      <c r="M23" s="5" t="s">
        <v>95</v>
      </c>
    </row>
    <row r="24" spans="3:14">
      <c r="C24" s="6" t="s">
        <v>17</v>
      </c>
      <c r="D24" s="17">
        <v>-1456</v>
      </c>
      <c r="E24" s="17">
        <v>-2323</v>
      </c>
      <c r="F24" s="17">
        <v>-3240</v>
      </c>
      <c r="G24" s="166"/>
      <c r="H24" s="166"/>
      <c r="I24" s="166"/>
      <c r="J24" s="166"/>
      <c r="K24" s="166"/>
      <c r="M24" s="5" t="s">
        <v>94</v>
      </c>
    </row>
    <row r="25" spans="3:14">
      <c r="C25" s="21" t="s">
        <v>53</v>
      </c>
      <c r="D25" s="17">
        <v>-1195</v>
      </c>
      <c r="E25" s="17">
        <v>-133</v>
      </c>
      <c r="F25" s="17">
        <v>-441</v>
      </c>
      <c r="G25" s="151">
        <f>F25</f>
        <v>-441</v>
      </c>
      <c r="H25" s="151">
        <f>G25</f>
        <v>-441</v>
      </c>
      <c r="I25" s="151">
        <f>H25</f>
        <v>-441</v>
      </c>
      <c r="J25" s="151">
        <f>I25</f>
        <v>-441</v>
      </c>
      <c r="K25" s="151">
        <f>J25</f>
        <v>-441</v>
      </c>
      <c r="M25" s="5" t="s">
        <v>91</v>
      </c>
    </row>
    <row r="26" spans="3:14">
      <c r="C26" s="19" t="s">
        <v>12</v>
      </c>
      <c r="D26" s="20">
        <f t="shared" ref="D26:K26" si="1">SUM(D22:D25)</f>
        <v>61372</v>
      </c>
      <c r="E26" s="20">
        <f t="shared" si="1"/>
        <v>64089</v>
      </c>
      <c r="F26" s="20">
        <f t="shared" si="1"/>
        <v>72903</v>
      </c>
      <c r="G26" s="147">
        <f t="shared" si="1"/>
        <v>61262.030400000003</v>
      </c>
      <c r="H26" s="147">
        <f t="shared" si="1"/>
        <v>66856.098528000002</v>
      </c>
      <c r="I26" s="147">
        <f t="shared" si="1"/>
        <v>71788.516392000005</v>
      </c>
      <c r="J26" s="147">
        <f t="shared" si="1"/>
        <v>76772.353023047996</v>
      </c>
      <c r="K26" s="147">
        <f t="shared" si="1"/>
        <v>82100.074381638304</v>
      </c>
      <c r="M26" s="24" t="s">
        <v>96</v>
      </c>
      <c r="N26" s="24"/>
    </row>
    <row r="27" spans="3:14">
      <c r="C27" s="6" t="s">
        <v>15</v>
      </c>
      <c r="D27" s="17">
        <v>-15685</v>
      </c>
      <c r="E27" s="17">
        <v>-15738</v>
      </c>
      <c r="F27" s="17">
        <v>-13372</v>
      </c>
      <c r="G27" s="151">
        <f>-G40*G26</f>
        <v>-10230.759076800001</v>
      </c>
      <c r="H27" s="151">
        <f>-H40*H26</f>
        <v>-11365.536749760002</v>
      </c>
      <c r="I27" s="151">
        <f>-I40*I26</f>
        <v>-12132.259270248001</v>
      </c>
      <c r="J27" s="151">
        <f>-J40*J26</f>
        <v>-12974.527660895112</v>
      </c>
      <c r="K27" s="151">
        <f>-K40*K26</f>
        <v>-13874.912570496874</v>
      </c>
      <c r="M27" s="5" t="s">
        <v>92</v>
      </c>
    </row>
    <row r="28" spans="3:14">
      <c r="C28" s="19" t="s">
        <v>2</v>
      </c>
      <c r="D28" s="23">
        <f t="shared" ref="D28:K28" si="2">SUM(D26:D27)</f>
        <v>45687</v>
      </c>
      <c r="E28" s="23">
        <f t="shared" si="2"/>
        <v>48351</v>
      </c>
      <c r="F28" s="23">
        <f t="shared" si="2"/>
        <v>59531</v>
      </c>
      <c r="G28" s="147">
        <f t="shared" si="2"/>
        <v>51031.271323200002</v>
      </c>
      <c r="H28" s="147">
        <f t="shared" si="2"/>
        <v>55490.56177824</v>
      </c>
      <c r="I28" s="147">
        <f t="shared" si="2"/>
        <v>59656.257121752002</v>
      </c>
      <c r="J28" s="147">
        <f t="shared" si="2"/>
        <v>63797.825362152886</v>
      </c>
      <c r="K28" s="147">
        <f t="shared" si="2"/>
        <v>68225.161811141428</v>
      </c>
      <c r="M28" s="24" t="s">
        <v>93</v>
      </c>
    </row>
    <row r="29" spans="3:14">
      <c r="C29" s="28"/>
      <c r="D29" s="34"/>
      <c r="E29" s="34"/>
      <c r="F29" s="34"/>
      <c r="G29" s="153"/>
      <c r="H29" s="153"/>
      <c r="I29" s="153"/>
      <c r="J29" s="153"/>
      <c r="K29" s="153"/>
    </row>
    <row r="30" spans="3:14">
      <c r="C30" s="72" t="s">
        <v>49</v>
      </c>
      <c r="D30" s="3">
        <v>10505</v>
      </c>
      <c r="E30" s="3">
        <v>10157</v>
      </c>
      <c r="F30" s="3">
        <v>10903</v>
      </c>
      <c r="G30" s="157">
        <f>G106</f>
        <v>11085.020171261172</v>
      </c>
      <c r="H30" s="157">
        <f>H106</f>
        <v>11711.890744865921</v>
      </c>
      <c r="I30" s="157">
        <f>I106</f>
        <v>12226.380531123083</v>
      </c>
      <c r="J30" s="157">
        <f>J106</f>
        <v>13365.451007770575</v>
      </c>
      <c r="K30" s="157">
        <f>K106</f>
        <v>14603.503412486743</v>
      </c>
      <c r="M30" s="5" t="s">
        <v>159</v>
      </c>
    </row>
    <row r="31" spans="3:14">
      <c r="C31" s="73" t="s">
        <v>47</v>
      </c>
      <c r="D31" s="69">
        <f t="shared" ref="D31:K31" si="3">D22+D30</f>
        <v>70529</v>
      </c>
      <c r="E31" s="69">
        <f t="shared" si="3"/>
        <v>71501</v>
      </c>
      <c r="F31" s="69">
        <f t="shared" si="3"/>
        <v>81801</v>
      </c>
      <c r="G31" s="147">
        <f t="shared" si="3"/>
        <v>72788.050571261178</v>
      </c>
      <c r="H31" s="147">
        <f t="shared" si="3"/>
        <v>79008.989272865918</v>
      </c>
      <c r="I31" s="147">
        <f t="shared" si="3"/>
        <v>84455.896923123088</v>
      </c>
      <c r="J31" s="147">
        <f t="shared" si="3"/>
        <v>90578.804030818574</v>
      </c>
      <c r="K31" s="147">
        <f t="shared" si="3"/>
        <v>97144.577794125042</v>
      </c>
      <c r="M31" s="24" t="s">
        <v>97</v>
      </c>
    </row>
    <row r="32" spans="3:14">
      <c r="C32" s="72" t="s">
        <v>74</v>
      </c>
      <c r="D32" s="3">
        <v>4210</v>
      </c>
      <c r="E32" s="3">
        <v>4840</v>
      </c>
      <c r="F32" s="3">
        <v>5340</v>
      </c>
      <c r="G32" s="151">
        <f>F32*(1+G36)</f>
        <v>5126.3999999999996</v>
      </c>
      <c r="H32" s="151">
        <f>G32*(1+H36)</f>
        <v>5433.9839999999995</v>
      </c>
      <c r="I32" s="151">
        <f>H32*(1+I36)</f>
        <v>5808.9288959999994</v>
      </c>
      <c r="J32" s="151">
        <f>I32*(1+J36)</f>
        <v>6209.7449898239993</v>
      </c>
      <c r="K32" s="151">
        <f>J32*(1+K36)</f>
        <v>6638.2173941218552</v>
      </c>
      <c r="M32" s="5" t="s">
        <v>99</v>
      </c>
    </row>
    <row r="33" spans="3:20">
      <c r="C33" s="73" t="s">
        <v>72</v>
      </c>
      <c r="D33" s="69">
        <f t="shared" ref="D33:K33" si="4">SUM(D31:D32)</f>
        <v>74739</v>
      </c>
      <c r="E33" s="69">
        <f t="shared" si="4"/>
        <v>76341</v>
      </c>
      <c r="F33" s="69">
        <f t="shared" si="4"/>
        <v>87141</v>
      </c>
      <c r="G33" s="147">
        <f t="shared" si="4"/>
        <v>77914.450571261172</v>
      </c>
      <c r="H33" s="147">
        <f t="shared" si="4"/>
        <v>84442.973272865915</v>
      </c>
      <c r="I33" s="147">
        <f t="shared" si="4"/>
        <v>90264.825819123085</v>
      </c>
      <c r="J33" s="147">
        <f t="shared" si="4"/>
        <v>96788.549020642575</v>
      </c>
      <c r="K33" s="147">
        <f t="shared" si="4"/>
        <v>103782.79518824689</v>
      </c>
      <c r="M33" s="24" t="s">
        <v>98</v>
      </c>
    </row>
    <row r="34" spans="3:20">
      <c r="C34" s="28"/>
      <c r="G34" s="58"/>
    </row>
    <row r="35" spans="3:20">
      <c r="C35" s="25" t="s">
        <v>18</v>
      </c>
    </row>
    <row r="36" spans="3:20">
      <c r="C36" s="26" t="s">
        <v>1</v>
      </c>
      <c r="D36" s="27"/>
      <c r="E36" s="27">
        <f>E17/D17-1</f>
        <v>6.304518199398057E-2</v>
      </c>
      <c r="F36" s="27">
        <f>F17/E17-1</f>
        <v>0.15861957650261305</v>
      </c>
      <c r="G36" s="66">
        <v>-0.04</v>
      </c>
      <c r="H36" s="66">
        <v>0.06</v>
      </c>
      <c r="I36" s="66">
        <v>6.9000000000000006E-2</v>
      </c>
      <c r="J36" s="27">
        <f t="shared" ref="J36:K40" si="5">I36</f>
        <v>6.9000000000000006E-2</v>
      </c>
      <c r="K36" s="27">
        <f t="shared" si="5"/>
        <v>6.9000000000000006E-2</v>
      </c>
      <c r="M36" s="5" t="s">
        <v>151</v>
      </c>
      <c r="O36" s="59"/>
      <c r="P36" s="59"/>
      <c r="Q36" s="59"/>
      <c r="R36" s="59"/>
      <c r="S36" s="59"/>
      <c r="T36" s="59"/>
    </row>
    <row r="37" spans="3:20">
      <c r="C37" s="26" t="s">
        <v>231</v>
      </c>
      <c r="D37" s="27">
        <f>D19/D17</f>
        <v>0.39075955648097049</v>
      </c>
      <c r="E37" s="27">
        <f>E19/E17</f>
        <v>0.38469860491899105</v>
      </c>
      <c r="F37" s="27">
        <f>F19/F17</f>
        <v>0.38343718820007905</v>
      </c>
      <c r="G37" s="66">
        <v>0.378</v>
      </c>
      <c r="H37" s="66">
        <v>0.38100000000000001</v>
      </c>
      <c r="I37" s="66">
        <v>0.38200000000000001</v>
      </c>
      <c r="J37" s="27">
        <f t="shared" si="5"/>
        <v>0.38200000000000001</v>
      </c>
      <c r="K37" s="27">
        <f t="shared" si="5"/>
        <v>0.38200000000000001</v>
      </c>
      <c r="M37" s="5" t="s">
        <v>152</v>
      </c>
      <c r="O37" s="59"/>
      <c r="P37" s="59"/>
      <c r="Q37" s="59"/>
      <c r="R37" s="59"/>
      <c r="S37" s="59"/>
      <c r="T37" s="59"/>
    </row>
    <row r="38" spans="3:20">
      <c r="C38" s="26" t="s">
        <v>232</v>
      </c>
      <c r="D38" s="27">
        <f>-D20/D17</f>
        <v>4.6582482760539605E-2</v>
      </c>
      <c r="E38" s="27">
        <f>-E20/E17</f>
        <v>5.0520428906706681E-2</v>
      </c>
      <c r="F38" s="27">
        <f>-F20/F17</f>
        <v>5.3600406634161032E-2</v>
      </c>
      <c r="G38" s="66">
        <v>6.2E-2</v>
      </c>
      <c r="H38" s="66">
        <v>6.3E-2</v>
      </c>
      <c r="I38" s="66">
        <v>6.3E-2</v>
      </c>
      <c r="J38" s="27">
        <f t="shared" si="5"/>
        <v>6.3E-2</v>
      </c>
      <c r="K38" s="27">
        <f t="shared" si="5"/>
        <v>6.3E-2</v>
      </c>
      <c r="M38" s="5" t="s">
        <v>153</v>
      </c>
      <c r="O38" s="59"/>
      <c r="P38" s="59"/>
      <c r="Q38" s="59"/>
      <c r="R38" s="59"/>
      <c r="S38" s="59"/>
      <c r="T38" s="59"/>
    </row>
    <row r="39" spans="3:20">
      <c r="C39" s="26" t="s">
        <v>234</v>
      </c>
      <c r="D39" s="27">
        <f>-D21/D17</f>
        <v>6.5822972653369755E-2</v>
      </c>
      <c r="E39" s="27">
        <f>-E21/E17</f>
        <v>6.6573893924984945E-2</v>
      </c>
      <c r="F39" s="27">
        <f>-F21/F17</f>
        <v>6.2896515371147807E-2</v>
      </c>
      <c r="G39" s="66">
        <v>7.3999999999999996E-2</v>
      </c>
      <c r="H39" s="66">
        <v>6.9000000000000006E-2</v>
      </c>
      <c r="I39" s="66">
        <v>6.9000000000000006E-2</v>
      </c>
      <c r="J39" s="27">
        <f t="shared" si="5"/>
        <v>6.9000000000000006E-2</v>
      </c>
      <c r="K39" s="27">
        <f t="shared" si="5"/>
        <v>6.9000000000000006E-2</v>
      </c>
      <c r="M39" s="5" t="s">
        <v>153</v>
      </c>
      <c r="O39" s="59"/>
      <c r="P39" s="59"/>
      <c r="Q39" s="59"/>
      <c r="R39" s="59"/>
      <c r="S39" s="59"/>
      <c r="T39" s="59"/>
    </row>
    <row r="40" spans="3:20">
      <c r="C40" s="26" t="s">
        <v>0</v>
      </c>
      <c r="D40" s="27">
        <f>-(D27/D26)</f>
        <v>0.25557257381216192</v>
      </c>
      <c r="E40" s="27">
        <f>-(E27/E26)</f>
        <v>0.24556476150353415</v>
      </c>
      <c r="F40" s="27">
        <f>-(F27/F26)</f>
        <v>0.18342180705869443</v>
      </c>
      <c r="G40" s="66">
        <v>0.16700000000000001</v>
      </c>
      <c r="H40" s="66">
        <v>0.17</v>
      </c>
      <c r="I40" s="66">
        <v>0.16900000000000001</v>
      </c>
      <c r="J40" s="27">
        <f t="shared" si="5"/>
        <v>0.16900000000000001</v>
      </c>
      <c r="K40" s="27">
        <f t="shared" si="5"/>
        <v>0.16900000000000001</v>
      </c>
      <c r="M40" s="5" t="s">
        <v>153</v>
      </c>
      <c r="O40" s="29"/>
      <c r="P40" s="29"/>
      <c r="Q40" s="29"/>
      <c r="R40" s="29"/>
      <c r="S40" s="29"/>
      <c r="T40" s="29"/>
    </row>
    <row r="41" spans="3:20">
      <c r="C41" s="28"/>
      <c r="G41" s="58"/>
    </row>
    <row r="42" spans="3:20">
      <c r="C42" s="7" t="s">
        <v>20</v>
      </c>
      <c r="D42" s="13"/>
      <c r="E42" s="13"/>
      <c r="F42" s="13"/>
      <c r="G42" s="9"/>
      <c r="H42" s="9"/>
      <c r="I42" s="9"/>
      <c r="J42" s="9"/>
      <c r="K42" s="9"/>
    </row>
    <row r="43" spans="3:20">
      <c r="C43" s="35" t="str">
        <f>C14</f>
        <v xml:space="preserve">Fiscal year  </v>
      </c>
      <c r="D43" s="30"/>
      <c r="E43" s="30">
        <f t="shared" ref="E43:K44" si="6">E14</f>
        <v>2017</v>
      </c>
      <c r="F43" s="30">
        <f t="shared" si="6"/>
        <v>2018</v>
      </c>
      <c r="G43" s="31">
        <f t="shared" si="6"/>
        <v>2019</v>
      </c>
      <c r="H43" s="31">
        <f t="shared" si="6"/>
        <v>2020</v>
      </c>
      <c r="I43" s="31">
        <f t="shared" si="6"/>
        <v>2021</v>
      </c>
      <c r="J43" s="31">
        <f t="shared" si="6"/>
        <v>2022</v>
      </c>
      <c r="K43" s="31">
        <f t="shared" si="6"/>
        <v>2023</v>
      </c>
    </row>
    <row r="44" spans="3:20">
      <c r="C44" s="9" t="str">
        <f>C15</f>
        <v>Fiscal year end date</v>
      </c>
      <c r="D44" s="32"/>
      <c r="E44" s="32">
        <f t="shared" si="6"/>
        <v>43008</v>
      </c>
      <c r="F44" s="32">
        <f t="shared" si="6"/>
        <v>43372</v>
      </c>
      <c r="G44" s="32">
        <f t="shared" si="6"/>
        <v>43738</v>
      </c>
      <c r="H44" s="32">
        <f t="shared" si="6"/>
        <v>44104</v>
      </c>
      <c r="I44" s="32">
        <f t="shared" si="6"/>
        <v>44469</v>
      </c>
      <c r="J44" s="32">
        <f t="shared" si="6"/>
        <v>44834</v>
      </c>
      <c r="K44" s="32">
        <f t="shared" si="6"/>
        <v>45199</v>
      </c>
    </row>
    <row r="45" spans="3:20">
      <c r="C45" s="5" t="s">
        <v>138</v>
      </c>
      <c r="D45" s="36"/>
      <c r="E45" s="36">
        <f>20289+53892+194714</f>
        <v>268895</v>
      </c>
      <c r="F45" s="36">
        <f>25913+40388+170799</f>
        <v>237100</v>
      </c>
      <c r="G45" s="151">
        <f>G90+F45</f>
        <v>200896.49769127104</v>
      </c>
      <c r="H45" s="151">
        <f>H90+G45</f>
        <v>174501.15061752664</v>
      </c>
      <c r="I45" s="151">
        <f>I90+H45</f>
        <v>153748.09195430012</v>
      </c>
      <c r="J45" s="151">
        <f>J90+I45</f>
        <v>137964.01265380977</v>
      </c>
      <c r="K45" s="151">
        <f>K90+J45</f>
        <v>127420.53366576562</v>
      </c>
      <c r="M45" s="5" t="s">
        <v>118</v>
      </c>
    </row>
    <row r="46" spans="3:20">
      <c r="C46" s="5" t="s">
        <v>54</v>
      </c>
      <c r="D46" s="36"/>
      <c r="E46" s="36">
        <v>17874</v>
      </c>
      <c r="F46" s="36">
        <v>23186</v>
      </c>
      <c r="G46" s="151">
        <f>F46*(1+G36)</f>
        <v>22258.559999999998</v>
      </c>
      <c r="H46" s="151">
        <f>G46*(1+H36)</f>
        <v>23594.0736</v>
      </c>
      <c r="I46" s="151">
        <f>H46*(1+I36)</f>
        <v>25222.064678399998</v>
      </c>
      <c r="J46" s="151">
        <f>I46*(1+J36)</f>
        <v>26962.387141209598</v>
      </c>
      <c r="K46" s="151">
        <f>J46*(1+K36)</f>
        <v>28822.791853953058</v>
      </c>
      <c r="M46" s="5" t="s">
        <v>103</v>
      </c>
    </row>
    <row r="47" spans="3:20">
      <c r="C47" s="5" t="s">
        <v>55</v>
      </c>
      <c r="D47" s="36"/>
      <c r="E47" s="36">
        <v>4855</v>
      </c>
      <c r="F47" s="36">
        <v>3956</v>
      </c>
      <c r="G47" s="151">
        <f>F47*G18/F18</f>
        <v>3831.2507254598299</v>
      </c>
      <c r="H47" s="151">
        <f>G47*H18/G18</f>
        <v>4041.5383456643303</v>
      </c>
      <c r="I47" s="151">
        <f>H47*I18/H18</f>
        <v>4313.4248396710409</v>
      </c>
      <c r="J47" s="151">
        <f>I47*J18/I18</f>
        <v>4611.0511536083422</v>
      </c>
      <c r="K47" s="151">
        <f>J47*K18/J18</f>
        <v>4929.2136832073174</v>
      </c>
      <c r="M47" s="5" t="s">
        <v>104</v>
      </c>
    </row>
    <row r="48" spans="3:20">
      <c r="C48" s="6" t="s">
        <v>108</v>
      </c>
      <c r="D48" s="37"/>
      <c r="E48" s="37">
        <f>17799+13936</f>
        <v>31735</v>
      </c>
      <c r="F48" s="37">
        <f>25809+12087</f>
        <v>37896</v>
      </c>
      <c r="G48" s="151">
        <f>F48*(1+G36)</f>
        <v>36380.159999999996</v>
      </c>
      <c r="H48" s="151">
        <f>G48*(1+H36)</f>
        <v>38562.969599999997</v>
      </c>
      <c r="I48" s="151">
        <f>H48*(1+I36)</f>
        <v>41223.814502399997</v>
      </c>
      <c r="J48" s="151">
        <f>I48*(1+J36)</f>
        <v>44068.257703065596</v>
      </c>
      <c r="K48" s="151">
        <f>J48*(1+K36)</f>
        <v>47108.967484577122</v>
      </c>
      <c r="M48" s="5" t="s">
        <v>103</v>
      </c>
    </row>
    <row r="49" spans="3:13">
      <c r="C49" s="21" t="s">
        <v>21</v>
      </c>
      <c r="D49" s="37"/>
      <c r="E49" s="37">
        <v>33783</v>
      </c>
      <c r="F49" s="37">
        <v>41304</v>
      </c>
      <c r="G49" s="157">
        <f>G99</f>
        <v>45042.85982873883</v>
      </c>
      <c r="H49" s="157">
        <f>H99</f>
        <v>48611.181883872909</v>
      </c>
      <c r="I49" s="157">
        <f>I99</f>
        <v>51947.567835949827</v>
      </c>
      <c r="J49" s="157">
        <f>J99</f>
        <v>55218.714198720052</v>
      </c>
      <c r="K49" s="157">
        <f>K99</f>
        <v>58399.73337534142</v>
      </c>
      <c r="M49" s="5" t="s">
        <v>105</v>
      </c>
    </row>
    <row r="50" spans="3:13">
      <c r="C50" s="21" t="s">
        <v>56</v>
      </c>
      <c r="D50" s="37"/>
      <c r="E50" s="37">
        <v>18177</v>
      </c>
      <c r="F50" s="37">
        <v>22283</v>
      </c>
      <c r="G50" s="151">
        <f>F50*(1+G36)</f>
        <v>21391.68</v>
      </c>
      <c r="H50" s="151">
        <f>G50*(1+H36)</f>
        <v>22675.180800000002</v>
      </c>
      <c r="I50" s="151">
        <f>H50*(1+I36)</f>
        <v>24239.7682752</v>
      </c>
      <c r="J50" s="151">
        <f>I50*(1+J36)</f>
        <v>25912.3122861888</v>
      </c>
      <c r="K50" s="151">
        <f>J50*(1+K36)</f>
        <v>27700.261833935827</v>
      </c>
      <c r="M50" s="5" t="s">
        <v>103</v>
      </c>
    </row>
    <row r="51" spans="3:13">
      <c r="C51" s="39" t="s">
        <v>22</v>
      </c>
      <c r="D51" s="40"/>
      <c r="E51" s="40">
        <f t="shared" ref="E51:K51" si="7">SUM(E45:E50)</f>
        <v>375319</v>
      </c>
      <c r="F51" s="40">
        <f t="shared" si="7"/>
        <v>365725</v>
      </c>
      <c r="G51" s="147">
        <f t="shared" si="7"/>
        <v>329801.00824546971</v>
      </c>
      <c r="H51" s="147">
        <f t="shared" si="7"/>
        <v>311986.09484706388</v>
      </c>
      <c r="I51" s="147">
        <f t="shared" si="7"/>
        <v>300694.73208592093</v>
      </c>
      <c r="J51" s="147">
        <f t="shared" si="7"/>
        <v>294736.73513660219</v>
      </c>
      <c r="K51" s="147">
        <f t="shared" si="7"/>
        <v>294381.50189678033</v>
      </c>
    </row>
    <row r="52" spans="3:13">
      <c r="C52" s="41"/>
      <c r="D52" s="42"/>
      <c r="E52" s="42"/>
      <c r="F52" s="42"/>
      <c r="G52" s="153"/>
      <c r="H52" s="153"/>
      <c r="I52" s="153"/>
      <c r="J52" s="153"/>
      <c r="K52" s="153"/>
    </row>
    <row r="53" spans="3:13">
      <c r="C53" s="41" t="s">
        <v>57</v>
      </c>
      <c r="D53" s="37"/>
      <c r="E53" s="37">
        <v>44242</v>
      </c>
      <c r="F53" s="37">
        <v>55888</v>
      </c>
      <c r="G53" s="151">
        <f>F53*G18/F18</f>
        <v>54125.616922269706</v>
      </c>
      <c r="H53" s="151">
        <f>G53*H18/G18</f>
        <v>57096.434545623881</v>
      </c>
      <c r="I53" s="151">
        <f>H53*I18/H18</f>
        <v>60937.484185928995</v>
      </c>
      <c r="J53" s="151">
        <f>I53*J18/I18</f>
        <v>65142.170594758099</v>
      </c>
      <c r="K53" s="151">
        <f>J53*K18/J18</f>
        <v>69636.980365796408</v>
      </c>
      <c r="M53" s="5" t="s">
        <v>104</v>
      </c>
    </row>
    <row r="54" spans="3:13">
      <c r="C54" s="41" t="s">
        <v>117</v>
      </c>
      <c r="D54" s="37"/>
      <c r="E54" s="37">
        <v>30551</v>
      </c>
      <c r="F54" s="37">
        <v>32687</v>
      </c>
      <c r="G54" s="151">
        <f>F54*(1+G36)</f>
        <v>31379.52</v>
      </c>
      <c r="H54" s="151">
        <f>G54*(1+H36)</f>
        <v>33262.2912</v>
      </c>
      <c r="I54" s="151">
        <f>H54*(1+I36)</f>
        <v>35557.389292799999</v>
      </c>
      <c r="J54" s="151">
        <f>I54*(1+J36)</f>
        <v>38010.849154003197</v>
      </c>
      <c r="K54" s="151">
        <f>J54*(1+K36)</f>
        <v>40633.597745629413</v>
      </c>
      <c r="M54" s="5" t="s">
        <v>103</v>
      </c>
    </row>
    <row r="55" spans="3:13">
      <c r="C55" s="41" t="s">
        <v>58</v>
      </c>
      <c r="D55" s="37"/>
      <c r="E55" s="37">
        <f>7548+2836</f>
        <v>10384</v>
      </c>
      <c r="F55" s="37">
        <f>7543+2797</f>
        <v>10340</v>
      </c>
      <c r="G55" s="151">
        <f>F55*(1+G36)</f>
        <v>9926.4</v>
      </c>
      <c r="H55" s="151">
        <f>G55*(1+H36)</f>
        <v>10521.984</v>
      </c>
      <c r="I55" s="151">
        <f>H55*(1+I36)</f>
        <v>11248.000896</v>
      </c>
      <c r="J55" s="151">
        <f>I55*(1+J36)</f>
        <v>12024.112957824</v>
      </c>
      <c r="K55" s="151">
        <f>J55*(1+K36)</f>
        <v>12853.776751913854</v>
      </c>
      <c r="M55" s="5" t="s">
        <v>103</v>
      </c>
    </row>
    <row r="56" spans="3:13">
      <c r="C56" s="41" t="s">
        <v>60</v>
      </c>
      <c r="D56" s="37"/>
      <c r="E56" s="37">
        <v>11977</v>
      </c>
      <c r="F56" s="37">
        <v>11964</v>
      </c>
      <c r="G56" s="157"/>
      <c r="H56" s="157"/>
      <c r="I56" s="157"/>
      <c r="J56" s="157"/>
      <c r="K56" s="157"/>
      <c r="M56" s="5" t="s">
        <v>187</v>
      </c>
    </row>
    <row r="57" spans="3:13">
      <c r="C57" s="41" t="s">
        <v>122</v>
      </c>
      <c r="D57" s="37"/>
      <c r="E57" s="37">
        <f>6496+97207</f>
        <v>103703</v>
      </c>
      <c r="F57" s="37">
        <f>8784+93735</f>
        <v>102519</v>
      </c>
      <c r="G57" s="151">
        <f>F57</f>
        <v>102519</v>
      </c>
      <c r="H57" s="151">
        <f t="shared" ref="H57:K57" si="8">G57</f>
        <v>102519</v>
      </c>
      <c r="I57" s="151">
        <f t="shared" si="8"/>
        <v>102519</v>
      </c>
      <c r="J57" s="151">
        <f t="shared" si="8"/>
        <v>102519</v>
      </c>
      <c r="K57" s="151">
        <f t="shared" si="8"/>
        <v>102519</v>
      </c>
      <c r="M57" s="5" t="s">
        <v>100</v>
      </c>
    </row>
    <row r="58" spans="3:13" ht="15.75" customHeight="1">
      <c r="C58" s="41" t="s">
        <v>59</v>
      </c>
      <c r="D58" s="37"/>
      <c r="E58" s="37">
        <v>40415</v>
      </c>
      <c r="F58" s="37">
        <v>45180</v>
      </c>
      <c r="G58" s="151">
        <f>F58*(1+G36)</f>
        <v>43372.799999999996</v>
      </c>
      <c r="H58" s="151">
        <f t="shared" ref="H58:K58" si="9">G58*(1+H36)</f>
        <v>45975.167999999998</v>
      </c>
      <c r="I58" s="151">
        <f t="shared" si="9"/>
        <v>49147.454591999995</v>
      </c>
      <c r="J58" s="151">
        <f t="shared" si="9"/>
        <v>52538.628958847992</v>
      </c>
      <c r="K58" s="151">
        <f t="shared" si="9"/>
        <v>56163.794357008504</v>
      </c>
      <c r="L58" s="6"/>
      <c r="M58" t="s">
        <v>103</v>
      </c>
    </row>
    <row r="59" spans="3:13">
      <c r="C59" s="39" t="s">
        <v>24</v>
      </c>
      <c r="D59" s="43"/>
      <c r="E59" s="43">
        <f t="shared" ref="E59:K59" si="10">SUM(E53:E58)</f>
        <v>241272</v>
      </c>
      <c r="F59" s="43">
        <f t="shared" si="10"/>
        <v>258578</v>
      </c>
      <c r="G59" s="147">
        <f t="shared" si="10"/>
        <v>241323.33692226969</v>
      </c>
      <c r="H59" s="147">
        <f t="shared" si="10"/>
        <v>249374.87774562387</v>
      </c>
      <c r="I59" s="147">
        <f t="shared" si="10"/>
        <v>259409.32896672899</v>
      </c>
      <c r="J59" s="147">
        <f t="shared" si="10"/>
        <v>270234.7616654333</v>
      </c>
      <c r="K59" s="147">
        <f t="shared" si="10"/>
        <v>281807.14922034822</v>
      </c>
    </row>
    <row r="60" spans="3:13">
      <c r="C60" s="39"/>
      <c r="D60" s="43"/>
      <c r="E60" s="43"/>
      <c r="F60" s="43"/>
      <c r="G60" s="34"/>
      <c r="H60" s="34"/>
      <c r="I60" s="34"/>
      <c r="J60" s="34"/>
      <c r="K60" s="34"/>
    </row>
    <row r="61" spans="3:13">
      <c r="C61" s="41" t="s">
        <v>61</v>
      </c>
      <c r="D61" s="37"/>
      <c r="E61" s="37">
        <v>35867</v>
      </c>
      <c r="F61" s="3">
        <v>40201</v>
      </c>
      <c r="G61" s="151">
        <f>F61+G32</f>
        <v>45327.4</v>
      </c>
      <c r="H61" s="151">
        <f>G61+H32</f>
        <v>50761.383999999998</v>
      </c>
      <c r="I61" s="151">
        <f>H61+I32</f>
        <v>56570.312895999996</v>
      </c>
      <c r="J61" s="151">
        <f>I61+J32</f>
        <v>62780.057885823997</v>
      </c>
      <c r="K61" s="151">
        <f>J61+K32</f>
        <v>69418.275279945854</v>
      </c>
      <c r="M61" s="5" t="s">
        <v>155</v>
      </c>
    </row>
    <row r="62" spans="3:13" ht="15.75" customHeight="1">
      <c r="C62" s="41" t="s">
        <v>44</v>
      </c>
      <c r="D62" s="38"/>
      <c r="E62" s="37">
        <v>98330</v>
      </c>
      <c r="F62" s="3">
        <v>70400</v>
      </c>
      <c r="G62" s="157">
        <f>G119</f>
        <v>34640.271323199995</v>
      </c>
      <c r="H62" s="157">
        <f>H119</f>
        <v>3339.8331014399882</v>
      </c>
      <c r="I62" s="157">
        <f>I119</f>
        <v>-23794.90977680801</v>
      </c>
      <c r="J62" s="157">
        <f>J119</f>
        <v>-46788.084414655124</v>
      </c>
      <c r="K62" s="157">
        <f>K119</f>
        <v>-65353.922603513696</v>
      </c>
      <c r="M62" s="5" t="s">
        <v>107</v>
      </c>
    </row>
    <row r="63" spans="3:13" ht="15.75" customHeight="1">
      <c r="C63" s="41" t="s">
        <v>121</v>
      </c>
      <c r="D63" s="37"/>
      <c r="E63" s="37">
        <v>-150</v>
      </c>
      <c r="F63" s="3">
        <v>-3454</v>
      </c>
      <c r="G63" s="151">
        <f>F63</f>
        <v>-3454</v>
      </c>
      <c r="H63" s="151">
        <f>G63</f>
        <v>-3454</v>
      </c>
      <c r="I63" s="151">
        <f>H63</f>
        <v>-3454</v>
      </c>
      <c r="J63" s="151">
        <f>I63</f>
        <v>-3454</v>
      </c>
      <c r="K63" s="151">
        <f>J63</f>
        <v>-3454</v>
      </c>
      <c r="M63" s="5" t="s">
        <v>100</v>
      </c>
    </row>
    <row r="64" spans="3:13">
      <c r="C64" s="39" t="s">
        <v>25</v>
      </c>
      <c r="D64" s="44"/>
      <c r="E64" s="44">
        <f t="shared" ref="E64:K64" si="11">SUM(E61:E63)</f>
        <v>134047</v>
      </c>
      <c r="F64" s="44">
        <f t="shared" si="11"/>
        <v>107147</v>
      </c>
      <c r="G64" s="147">
        <f t="shared" si="11"/>
        <v>76513.671323199989</v>
      </c>
      <c r="H64" s="147">
        <f t="shared" si="11"/>
        <v>50647.217101439986</v>
      </c>
      <c r="I64" s="147">
        <f t="shared" si="11"/>
        <v>29321.403119191986</v>
      </c>
      <c r="J64" s="147">
        <f t="shared" si="11"/>
        <v>12537.973471168872</v>
      </c>
      <c r="K64" s="147">
        <f t="shared" si="11"/>
        <v>610.35267643215775</v>
      </c>
    </row>
    <row r="65" spans="3:13">
      <c r="C65" s="6"/>
      <c r="D65" s="45"/>
      <c r="E65" s="45"/>
      <c r="F65" s="45"/>
    </row>
    <row r="66" spans="3:13">
      <c r="C66" s="14" t="s">
        <v>26</v>
      </c>
      <c r="D66" s="46"/>
      <c r="E66" s="46">
        <f t="shared" ref="E66:K66" si="12">ROUND(E51-E59-E64,3)</f>
        <v>0</v>
      </c>
      <c r="F66" s="46">
        <f t="shared" si="12"/>
        <v>0</v>
      </c>
      <c r="G66" s="46">
        <f t="shared" si="12"/>
        <v>11964</v>
      </c>
      <c r="H66" s="46">
        <f t="shared" si="12"/>
        <v>11964</v>
      </c>
      <c r="I66" s="46">
        <f t="shared" si="12"/>
        <v>11964</v>
      </c>
      <c r="J66" s="46">
        <f t="shared" si="12"/>
        <v>11964</v>
      </c>
      <c r="K66" s="46">
        <f t="shared" si="12"/>
        <v>11964</v>
      </c>
    </row>
    <row r="67" spans="3:13">
      <c r="E67" s="34"/>
      <c r="F67" s="34"/>
      <c r="H67" s="34"/>
      <c r="I67" s="34"/>
      <c r="J67" s="34"/>
      <c r="K67" s="34"/>
    </row>
    <row r="68" spans="3:13">
      <c r="C68" s="7" t="s">
        <v>32</v>
      </c>
      <c r="D68" s="13"/>
      <c r="E68" s="13"/>
      <c r="F68" s="13"/>
      <c r="G68" s="13"/>
      <c r="H68" s="13"/>
      <c r="I68" s="13"/>
      <c r="J68" s="13"/>
      <c r="K68" s="13"/>
    </row>
    <row r="69" spans="3:13">
      <c r="C69" s="35" t="str">
        <f>C14</f>
        <v xml:space="preserve">Fiscal year  </v>
      </c>
      <c r="D69" s="30"/>
      <c r="E69" s="30"/>
      <c r="F69" s="30"/>
      <c r="G69" s="31">
        <f t="shared" ref="G69:K70" si="13">G14</f>
        <v>2019</v>
      </c>
      <c r="H69" s="31">
        <f t="shared" si="13"/>
        <v>2020</v>
      </c>
      <c r="I69" s="31">
        <f t="shared" si="13"/>
        <v>2021</v>
      </c>
      <c r="J69" s="31">
        <f t="shared" si="13"/>
        <v>2022</v>
      </c>
      <c r="K69" s="31">
        <f t="shared" si="13"/>
        <v>2023</v>
      </c>
    </row>
    <row r="70" spans="3:13">
      <c r="C70" s="9" t="str">
        <f>C15</f>
        <v>Fiscal year end date</v>
      </c>
      <c r="D70" s="32"/>
      <c r="E70" s="32"/>
      <c r="F70" s="32"/>
      <c r="G70" s="32">
        <f t="shared" si="13"/>
        <v>43738</v>
      </c>
      <c r="H70" s="32">
        <f t="shared" si="13"/>
        <v>44104</v>
      </c>
      <c r="I70" s="32">
        <f t="shared" si="13"/>
        <v>44469</v>
      </c>
      <c r="J70" s="32">
        <f t="shared" si="13"/>
        <v>44834</v>
      </c>
      <c r="K70" s="32">
        <f t="shared" si="13"/>
        <v>45199</v>
      </c>
    </row>
    <row r="72" spans="3:13">
      <c r="C72" s="6" t="s">
        <v>2</v>
      </c>
      <c r="D72" s="50"/>
      <c r="E72" s="50"/>
      <c r="F72" s="50"/>
      <c r="G72" s="151">
        <f>G28</f>
        <v>51031.271323200002</v>
      </c>
      <c r="H72" s="151">
        <f>H28</f>
        <v>55490.56177824</v>
      </c>
      <c r="I72" s="151">
        <f>I28</f>
        <v>59656.257121752002</v>
      </c>
      <c r="J72" s="151">
        <f>J28</f>
        <v>63797.825362152886</v>
      </c>
      <c r="K72" s="151">
        <f>K28</f>
        <v>68225.161811141428</v>
      </c>
      <c r="M72" s="24"/>
    </row>
    <row r="73" spans="3:13">
      <c r="C73" s="6" t="s">
        <v>33</v>
      </c>
      <c r="D73" s="50"/>
      <c r="E73" s="50"/>
      <c r="F73" s="50"/>
      <c r="G73" s="157">
        <f>G30</f>
        <v>11085.020171261172</v>
      </c>
      <c r="H73" s="157">
        <f>H30</f>
        <v>11711.890744865921</v>
      </c>
      <c r="I73" s="157">
        <f>I30</f>
        <v>12226.380531123083</v>
      </c>
      <c r="J73" s="157">
        <f>J30</f>
        <v>13365.451007770575</v>
      </c>
      <c r="K73" s="157">
        <f>K30</f>
        <v>14603.503412486743</v>
      </c>
      <c r="M73" s="5" t="s">
        <v>170</v>
      </c>
    </row>
    <row r="74" spans="3:13">
      <c r="C74" s="6" t="s">
        <v>74</v>
      </c>
      <c r="D74" s="50"/>
      <c r="E74" s="50"/>
      <c r="F74" s="50"/>
      <c r="G74" s="151">
        <f>G32</f>
        <v>5126.3999999999996</v>
      </c>
      <c r="H74" s="151">
        <f>H32</f>
        <v>5433.9839999999995</v>
      </c>
      <c r="I74" s="151">
        <f>I32</f>
        <v>5808.9288959999994</v>
      </c>
      <c r="J74" s="151">
        <f>J32</f>
        <v>6209.7449898239993</v>
      </c>
      <c r="K74" s="151">
        <f>K32</f>
        <v>6638.2173941218552</v>
      </c>
    </row>
    <row r="75" spans="3:13">
      <c r="C75" s="6" t="s">
        <v>65</v>
      </c>
      <c r="D75" s="22"/>
      <c r="E75" s="22"/>
      <c r="F75" s="22"/>
      <c r="G75" s="151">
        <f>-1*(SUM(G46:G48)-SUM(F46:F48))</f>
        <v>2568.0292745401748</v>
      </c>
      <c r="H75" s="151">
        <f>-1*(SUM(H46:H48)-SUM(G46:G48))</f>
        <v>-3728.6108202044925</v>
      </c>
      <c r="I75" s="151">
        <f>-1*(SUM(I46:I48)-SUM(H46:H48))</f>
        <v>-4560.7224748067092</v>
      </c>
      <c r="J75" s="151">
        <f>-1*(SUM(J46:J48)-SUM(I46:I48))</f>
        <v>-4882.3919774125097</v>
      </c>
      <c r="K75" s="151">
        <f>-1*(SUM(K46:K48)-SUM(J46:J48))</f>
        <v>-5219.277023853967</v>
      </c>
    </row>
    <row r="76" spans="3:13">
      <c r="C76" s="6" t="s">
        <v>66</v>
      </c>
      <c r="D76" s="22"/>
      <c r="E76" s="22"/>
      <c r="F76" s="22"/>
      <c r="G76" s="151">
        <f>SUM(G53:G55)-SUM(F53:F55)</f>
        <v>-3483.4630777302955</v>
      </c>
      <c r="H76" s="151">
        <f>SUM(H53:H55)-SUM(G53:G55)</f>
        <v>5449.1728233541653</v>
      </c>
      <c r="I76" s="151">
        <f>SUM(I53:I55)-SUM(H53:H55)</f>
        <v>6862.1646291051147</v>
      </c>
      <c r="J76" s="151">
        <f>SUM(J53:J55)-SUM(I53:I55)</f>
        <v>7434.2583318562974</v>
      </c>
      <c r="K76" s="151">
        <f>SUM(K53:K55)-SUM(J53:J55)</f>
        <v>7947.2221567544038</v>
      </c>
    </row>
    <row r="77" spans="3:13">
      <c r="C77" s="21" t="s">
        <v>56</v>
      </c>
      <c r="E77" s="6"/>
      <c r="F77" s="6"/>
      <c r="G77" s="157">
        <f>-(G111)</f>
        <v>-647.56000000000131</v>
      </c>
      <c r="H77" s="157">
        <f>-(H111)</f>
        <v>-2914.7136000000028</v>
      </c>
      <c r="I77" s="157">
        <f>-(I111)</f>
        <v>-3308.3539583999991</v>
      </c>
      <c r="J77" s="157">
        <f>-(J111)</f>
        <v>-3536.6303815296014</v>
      </c>
      <c r="K77" s="157">
        <f>-(K111)</f>
        <v>-3780.6578778551411</v>
      </c>
      <c r="L77" s="6"/>
      <c r="M77" s="5" t="s">
        <v>171</v>
      </c>
    </row>
    <row r="78" spans="3:13">
      <c r="C78" s="21" t="s">
        <v>59</v>
      </c>
      <c r="E78" s="6"/>
      <c r="F78" s="6"/>
      <c r="G78" s="151">
        <f>G58-F58</f>
        <v>-1807.2000000000044</v>
      </c>
      <c r="H78" s="151">
        <f>H58-G58</f>
        <v>2602.3680000000022</v>
      </c>
      <c r="I78" s="151">
        <f>I58-H58</f>
        <v>3172.2865919999967</v>
      </c>
      <c r="J78" s="151">
        <f>J58-I58</f>
        <v>3391.1743668479976</v>
      </c>
      <c r="K78" s="151">
        <f>K58-J58</f>
        <v>3625.1653981605123</v>
      </c>
      <c r="L78" s="6"/>
      <c r="M78" s="24"/>
    </row>
    <row r="79" spans="3:13">
      <c r="C79" s="19" t="s">
        <v>34</v>
      </c>
      <c r="G79" s="147">
        <f>SUM(G72:G78)</f>
        <v>63872.497691271048</v>
      </c>
      <c r="H79" s="147">
        <f>SUM(H72:H78)</f>
        <v>74044.6529262556</v>
      </c>
      <c r="I79" s="147">
        <f>SUM(I72:I78)</f>
        <v>79856.941336773481</v>
      </c>
      <c r="J79" s="147">
        <f>SUM(J72:J78)</f>
        <v>85779.431699509645</v>
      </c>
      <c r="K79" s="147">
        <f>SUM(K72:K78)</f>
        <v>92039.335270955838</v>
      </c>
    </row>
    <row r="80" spans="3:13">
      <c r="C80" s="6"/>
      <c r="G80" s="34"/>
      <c r="H80" s="34"/>
      <c r="I80" s="34"/>
      <c r="J80" s="34"/>
      <c r="K80" s="34"/>
    </row>
    <row r="81" spans="3:13">
      <c r="C81" s="6" t="s">
        <v>35</v>
      </c>
      <c r="G81" s="157">
        <f>-(G97)</f>
        <v>-13285</v>
      </c>
      <c r="H81" s="157">
        <f>-(H97)</f>
        <v>-13649</v>
      </c>
      <c r="I81" s="157">
        <f>-(I97)</f>
        <v>-13819</v>
      </c>
      <c r="J81" s="157">
        <f>-(J97)</f>
        <v>-14772.510999999999</v>
      </c>
      <c r="K81" s="157">
        <f>-(K97)</f>
        <v>-15791.814258999997</v>
      </c>
      <c r="M81" s="5" t="s">
        <v>105</v>
      </c>
    </row>
    <row r="82" spans="3:13">
      <c r="C82" s="19" t="s">
        <v>36</v>
      </c>
      <c r="G82" s="147">
        <f>IFERROR(G81,"NA")</f>
        <v>-13285</v>
      </c>
      <c r="H82" s="147">
        <f>IFERROR(H81,"NA")</f>
        <v>-13649</v>
      </c>
      <c r="I82" s="147">
        <f>IFERROR(I81,"NA")</f>
        <v>-13819</v>
      </c>
      <c r="J82" s="147">
        <f>IFERROR(J81,"NA")</f>
        <v>-14772.510999999999</v>
      </c>
      <c r="K82" s="147">
        <f>IFERROR(K81,"NA")</f>
        <v>-15791.814258999997</v>
      </c>
    </row>
    <row r="83" spans="3:13">
      <c r="C83" s="6"/>
      <c r="G83" s="153"/>
      <c r="H83" s="153"/>
      <c r="I83" s="153"/>
      <c r="J83" s="153"/>
      <c r="K83" s="153"/>
    </row>
    <row r="84" spans="3:13">
      <c r="C84" s="6" t="s">
        <v>67</v>
      </c>
      <c r="G84" s="151">
        <f>G57-F57</f>
        <v>0</v>
      </c>
      <c r="H84" s="151">
        <f>H57-G57</f>
        <v>0</v>
      </c>
      <c r="I84" s="151">
        <f>I57-H57</f>
        <v>0</v>
      </c>
      <c r="J84" s="151">
        <f>J57-I57</f>
        <v>0</v>
      </c>
      <c r="K84" s="151">
        <f>K57-J57</f>
        <v>0</v>
      </c>
    </row>
    <row r="85" spans="3:13">
      <c r="C85" s="6" t="s">
        <v>23</v>
      </c>
      <c r="G85" s="157"/>
      <c r="H85" s="157"/>
      <c r="I85" s="157"/>
      <c r="J85" s="157"/>
      <c r="K85" s="157"/>
      <c r="M85" s="5" t="s">
        <v>183</v>
      </c>
    </row>
    <row r="86" spans="3:13">
      <c r="C86" s="21" t="s">
        <v>70</v>
      </c>
      <c r="G86" s="157">
        <f>G118</f>
        <v>-73056</v>
      </c>
      <c r="H86" s="157">
        <f>H118</f>
        <v>-73056</v>
      </c>
      <c r="I86" s="157">
        <f>I118</f>
        <v>-73056</v>
      </c>
      <c r="J86" s="157">
        <f>J118</f>
        <v>-73056</v>
      </c>
      <c r="K86" s="157">
        <f>K118</f>
        <v>-73056</v>
      </c>
      <c r="M86" s="5" t="s">
        <v>107</v>
      </c>
    </row>
    <row r="87" spans="3:13">
      <c r="C87" s="21" t="s">
        <v>71</v>
      </c>
      <c r="G87" s="157">
        <f>G117</f>
        <v>-13735</v>
      </c>
      <c r="H87" s="157">
        <f>H117</f>
        <v>-13735</v>
      </c>
      <c r="I87" s="157">
        <f>I117</f>
        <v>-13735</v>
      </c>
      <c r="J87" s="157">
        <f>J117</f>
        <v>-13735</v>
      </c>
      <c r="K87" s="157">
        <f>K117</f>
        <v>-13735</v>
      </c>
      <c r="M87" s="5" t="s">
        <v>107</v>
      </c>
    </row>
    <row r="88" spans="3:13">
      <c r="C88" s="19" t="s">
        <v>37</v>
      </c>
      <c r="G88" s="147">
        <f>SUM(G84:G87)</f>
        <v>-86791</v>
      </c>
      <c r="H88" s="147">
        <f>SUM(H84:H87)</f>
        <v>-86791</v>
      </c>
      <c r="I88" s="147">
        <f>SUM(I84:I87)</f>
        <v>-86791</v>
      </c>
      <c r="J88" s="147">
        <f>SUM(J84:J87)</f>
        <v>-86791</v>
      </c>
      <c r="K88" s="147">
        <f>SUM(K84:K87)</f>
        <v>-86791</v>
      </c>
    </row>
    <row r="89" spans="3:13">
      <c r="G89" s="153"/>
      <c r="H89" s="153"/>
      <c r="I89" s="153"/>
      <c r="J89" s="153"/>
      <c r="K89" s="153"/>
    </row>
    <row r="90" spans="3:13">
      <c r="C90" s="24" t="s">
        <v>38</v>
      </c>
      <c r="G90" s="147">
        <f>G79+G82+G88</f>
        <v>-36203.502308728952</v>
      </c>
      <c r="H90" s="147">
        <f>H79+H82+H88</f>
        <v>-26395.3470737444</v>
      </c>
      <c r="I90" s="147">
        <f>I79+I82+I88</f>
        <v>-20753.058663226519</v>
      </c>
      <c r="J90" s="147">
        <f>J79+J82+J88</f>
        <v>-15784.079300490353</v>
      </c>
      <c r="K90" s="147">
        <f>K79+K82+K88</f>
        <v>-10543.478988044153</v>
      </c>
    </row>
    <row r="92" spans="3:13">
      <c r="C92" s="7" t="s">
        <v>29</v>
      </c>
      <c r="D92" s="9"/>
      <c r="E92" s="9"/>
      <c r="F92" s="9"/>
      <c r="G92" s="9"/>
      <c r="H92" s="9"/>
      <c r="I92" s="9"/>
      <c r="J92" s="9"/>
      <c r="K92" s="9"/>
    </row>
    <row r="93" spans="3:13">
      <c r="C93" s="35" t="str">
        <f t="shared" ref="C93:K93" si="14">C14</f>
        <v xml:space="preserve">Fiscal year  </v>
      </c>
      <c r="D93" s="30">
        <f t="shared" si="14"/>
        <v>2016</v>
      </c>
      <c r="E93" s="30">
        <f t="shared" si="14"/>
        <v>2017</v>
      </c>
      <c r="F93" s="30">
        <f t="shared" si="14"/>
        <v>2018</v>
      </c>
      <c r="G93" s="31">
        <f t="shared" si="14"/>
        <v>2019</v>
      </c>
      <c r="H93" s="31">
        <f t="shared" si="14"/>
        <v>2020</v>
      </c>
      <c r="I93" s="31">
        <f t="shared" si="14"/>
        <v>2021</v>
      </c>
      <c r="J93" s="31">
        <f t="shared" si="14"/>
        <v>2022</v>
      </c>
      <c r="K93" s="31">
        <f t="shared" si="14"/>
        <v>2023</v>
      </c>
    </row>
    <row r="94" spans="3:13">
      <c r="C94" s="9" t="str">
        <f t="shared" ref="C94:K94" si="15">C15</f>
        <v>Fiscal year end date</v>
      </c>
      <c r="D94" s="32">
        <f t="shared" si="15"/>
        <v>42643</v>
      </c>
      <c r="E94" s="32">
        <f t="shared" si="15"/>
        <v>43008</v>
      </c>
      <c r="F94" s="32">
        <f t="shared" si="15"/>
        <v>43372</v>
      </c>
      <c r="G94" s="32">
        <f t="shared" si="15"/>
        <v>43738</v>
      </c>
      <c r="H94" s="32">
        <f t="shared" si="15"/>
        <v>44104</v>
      </c>
      <c r="I94" s="32">
        <f t="shared" si="15"/>
        <v>44469</v>
      </c>
      <c r="J94" s="32">
        <f t="shared" si="15"/>
        <v>44834</v>
      </c>
      <c r="K94" s="32">
        <f t="shared" si="15"/>
        <v>45199</v>
      </c>
    </row>
    <row r="95" spans="3:13">
      <c r="C95" s="19"/>
      <c r="G95" s="110" t="s">
        <v>116</v>
      </c>
      <c r="H95" s="110"/>
      <c r="I95" s="110"/>
      <c r="J95" s="110"/>
      <c r="K95" s="110"/>
    </row>
    <row r="96" spans="3:13">
      <c r="C96" s="41" t="s">
        <v>27</v>
      </c>
      <c r="F96" s="6"/>
      <c r="G96" s="143">
        <f>F99</f>
        <v>41304</v>
      </c>
      <c r="H96" s="143">
        <f>G99</f>
        <v>45042.85982873883</v>
      </c>
      <c r="I96" s="143">
        <f>H99</f>
        <v>48611.181883872909</v>
      </c>
      <c r="J96" s="143">
        <f>I99</f>
        <v>51947.567835949827</v>
      </c>
      <c r="K96" s="143">
        <f>J99</f>
        <v>55218.714198720052</v>
      </c>
      <c r="L96" s="6"/>
      <c r="M96" s="5" t="s">
        <v>167</v>
      </c>
    </row>
    <row r="97" spans="3:17">
      <c r="C97" s="47" t="s">
        <v>30</v>
      </c>
      <c r="D97" s="3">
        <v>12734</v>
      </c>
      <c r="E97" s="3">
        <v>12451</v>
      </c>
      <c r="F97" s="71">
        <v>13313</v>
      </c>
      <c r="G97" s="71">
        <v>13285</v>
      </c>
      <c r="H97" s="71">
        <v>13649</v>
      </c>
      <c r="I97" s="71">
        <v>13819</v>
      </c>
      <c r="J97" s="71">
        <f>I97*(1+J36)</f>
        <v>14772.510999999999</v>
      </c>
      <c r="K97" s="71">
        <f t="shared" ref="K97" si="16">J97*(1+K36)</f>
        <v>15791.814258999997</v>
      </c>
      <c r="L97" s="6"/>
      <c r="M97" s="5" t="s">
        <v>154</v>
      </c>
    </row>
    <row r="98" spans="3:17">
      <c r="C98" s="103" t="s">
        <v>31</v>
      </c>
      <c r="D98" s="95">
        <v>-8300</v>
      </c>
      <c r="E98" s="95">
        <v>-8200</v>
      </c>
      <c r="F98" s="95">
        <v>-9300</v>
      </c>
      <c r="G98" s="148">
        <f>-(G101*G97)</f>
        <v>-9546.1401712611732</v>
      </c>
      <c r="H98" s="148">
        <f>-(H101*H97)</f>
        <v>-10080.677944865922</v>
      </c>
      <c r="I98" s="148">
        <f>-(I101*I97)</f>
        <v>-10482.614047923083</v>
      </c>
      <c r="J98" s="148">
        <f>-(J101*J97)</f>
        <v>-11501.364637229775</v>
      </c>
      <c r="K98" s="148">
        <f>-(K101*K97)</f>
        <v>-12610.795082378629</v>
      </c>
      <c r="L98" s="6"/>
      <c r="M98" s="5" t="s">
        <v>166</v>
      </c>
    </row>
    <row r="99" spans="3:17">
      <c r="C99" s="54" t="s">
        <v>28</v>
      </c>
      <c r="D99" s="51"/>
      <c r="E99" s="51">
        <f>E49</f>
        <v>33783</v>
      </c>
      <c r="F99" s="51">
        <f>F49</f>
        <v>41304</v>
      </c>
      <c r="G99" s="146">
        <f>SUM(G96:G98)</f>
        <v>45042.85982873883</v>
      </c>
      <c r="H99" s="146">
        <f>SUM(H96:H98)</f>
        <v>48611.181883872909</v>
      </c>
      <c r="I99" s="146">
        <f>SUM(I96:I98)</f>
        <v>51947.567835949827</v>
      </c>
      <c r="J99" s="146">
        <f>SUM(J96:J98)</f>
        <v>55218.714198720052</v>
      </c>
      <c r="K99" s="146">
        <f>SUM(K96:K98)</f>
        <v>58399.73337534142</v>
      </c>
      <c r="L99" s="6"/>
      <c r="M99" s="5" t="s">
        <v>165</v>
      </c>
    </row>
    <row r="100" spans="3:17">
      <c r="C100" s="41"/>
      <c r="F100" s="6"/>
      <c r="G100" s="6"/>
      <c r="H100" s="6"/>
      <c r="I100" s="6"/>
      <c r="J100" s="6"/>
      <c r="K100" s="6"/>
      <c r="L100" s="6"/>
      <c r="M100" s="25" t="s">
        <v>48</v>
      </c>
    </row>
    <row r="101" spans="3:17" customFormat="1">
      <c r="C101" s="41" t="s">
        <v>123</v>
      </c>
      <c r="D101" s="4">
        <f>-(D98/D97)</f>
        <v>0.65179833516569818</v>
      </c>
      <c r="E101" s="4">
        <f>-(E98/E97)</f>
        <v>0.6585816400289134</v>
      </c>
      <c r="F101" s="80">
        <f>-(F98/F97)</f>
        <v>0.69856531210095396</v>
      </c>
      <c r="G101" s="134">
        <f>F101+$M$101</f>
        <v>0.71856531210095398</v>
      </c>
      <c r="H101" s="134">
        <f>G101+$M$101</f>
        <v>0.738565312100954</v>
      </c>
      <c r="I101" s="134">
        <f>H101+$M$101</f>
        <v>0.75856531210095401</v>
      </c>
      <c r="J101" s="134">
        <f>I101+$M$101</f>
        <v>0.77856531210095403</v>
      </c>
      <c r="K101" s="134">
        <f>J101+$M$101</f>
        <v>0.79856531210095405</v>
      </c>
      <c r="L101" s="6"/>
      <c r="M101" s="88">
        <v>0.02</v>
      </c>
    </row>
    <row r="102" spans="3:17">
      <c r="C102" s="41"/>
      <c r="D102" s="4"/>
      <c r="E102" s="4"/>
      <c r="F102" s="80"/>
      <c r="G102" s="27"/>
      <c r="H102" s="27"/>
      <c r="I102" s="27"/>
      <c r="J102" s="27"/>
      <c r="K102" s="27"/>
      <c r="L102" s="6"/>
      <c r="O102" s="98"/>
      <c r="P102" s="98"/>
      <c r="Q102" s="98"/>
    </row>
    <row r="103" spans="3:17">
      <c r="C103" s="128" t="s">
        <v>130</v>
      </c>
      <c r="D103" s="48"/>
      <c r="E103" s="48"/>
      <c r="F103" s="48"/>
      <c r="G103" s="129"/>
      <c r="H103" s="129"/>
      <c r="I103" s="129"/>
      <c r="J103" s="129"/>
      <c r="K103" s="129"/>
      <c r="L103" s="6"/>
      <c r="O103" s="98"/>
      <c r="P103" s="98"/>
      <c r="Q103" s="98"/>
    </row>
    <row r="104" spans="3:17">
      <c r="C104" s="41" t="s">
        <v>156</v>
      </c>
      <c r="D104" s="22">
        <f>D106+D98</f>
        <v>2205</v>
      </c>
      <c r="E104" s="22">
        <f>E106+E98</f>
        <v>1957</v>
      </c>
      <c r="F104" s="22">
        <f>F106+F98</f>
        <v>1603</v>
      </c>
      <c r="G104" s="141">
        <f>G105*G17</f>
        <v>1538.8799999999999</v>
      </c>
      <c r="H104" s="141">
        <f>H105*H17</f>
        <v>1631.2128</v>
      </c>
      <c r="I104" s="141">
        <f>I105*I17</f>
        <v>1743.7664832</v>
      </c>
      <c r="J104" s="141">
        <f>J105*J17</f>
        <v>1864.0863705407999</v>
      </c>
      <c r="K104" s="141">
        <f>K105*K17</f>
        <v>1992.708330108115</v>
      </c>
      <c r="L104" s="6"/>
      <c r="M104" s="5" t="s">
        <v>238</v>
      </c>
      <c r="O104" s="98"/>
      <c r="P104" s="98"/>
      <c r="Q104" s="98"/>
    </row>
    <row r="105" spans="3:17">
      <c r="C105" s="26" t="s">
        <v>157</v>
      </c>
      <c r="D105" s="93">
        <f>D104/D17</f>
        <v>1.0225423044996499E-2</v>
      </c>
      <c r="E105" s="93">
        <f>E104/E17</f>
        <v>8.537128000209393E-3</v>
      </c>
      <c r="F105" s="100">
        <f>F104/F17</f>
        <v>6.0355051864681188E-3</v>
      </c>
      <c r="G105" s="134">
        <f>F105</f>
        <v>6.0355051864681188E-3</v>
      </c>
      <c r="H105" s="134">
        <f>G105</f>
        <v>6.0355051864681188E-3</v>
      </c>
      <c r="I105" s="134">
        <f>H105</f>
        <v>6.0355051864681188E-3</v>
      </c>
      <c r="J105" s="134">
        <f>I105</f>
        <v>6.0355051864681188E-3</v>
      </c>
      <c r="K105" s="134">
        <f>J105</f>
        <v>6.0355051864681188E-3</v>
      </c>
      <c r="L105" s="6"/>
      <c r="M105" s="5" t="s">
        <v>158</v>
      </c>
      <c r="O105" s="98"/>
      <c r="P105" s="98"/>
      <c r="Q105" s="98"/>
    </row>
    <row r="106" spans="3:17">
      <c r="C106" s="39" t="s">
        <v>110</v>
      </c>
      <c r="D106" s="51">
        <f>D30</f>
        <v>10505</v>
      </c>
      <c r="E106" s="51">
        <f>E30</f>
        <v>10157</v>
      </c>
      <c r="F106" s="51">
        <f>F30</f>
        <v>10903</v>
      </c>
      <c r="G106" s="142">
        <f>-G98+G104</f>
        <v>11085.020171261172</v>
      </c>
      <c r="H106" s="142">
        <f>-H98+H104</f>
        <v>11711.890744865921</v>
      </c>
      <c r="I106" s="142">
        <f>-I98+I104</f>
        <v>12226.380531123083</v>
      </c>
      <c r="J106" s="142">
        <f>-J98+J104</f>
        <v>13365.451007770575</v>
      </c>
      <c r="K106" s="142">
        <f>-K98+K104</f>
        <v>14603.503412486743</v>
      </c>
      <c r="M106" s="5" t="s">
        <v>160</v>
      </c>
      <c r="O106" s="98"/>
      <c r="P106" s="98"/>
      <c r="Q106" s="98"/>
    </row>
    <row r="107" spans="3:17">
      <c r="G107" s="6"/>
      <c r="H107" s="22"/>
      <c r="I107" s="22"/>
      <c r="J107" s="22"/>
      <c r="K107" s="22"/>
    </row>
    <row r="108" spans="3:17">
      <c r="C108" s="127" t="s">
        <v>129</v>
      </c>
      <c r="D108" s="9"/>
      <c r="E108" s="9"/>
      <c r="F108" s="9"/>
      <c r="G108" s="6"/>
      <c r="H108" s="22"/>
      <c r="I108" s="22"/>
      <c r="J108" s="22"/>
      <c r="K108" s="22"/>
    </row>
    <row r="109" spans="3:17">
      <c r="C109" s="41" t="s">
        <v>27</v>
      </c>
      <c r="D109" s="22"/>
      <c r="E109" s="6"/>
      <c r="F109" s="6"/>
      <c r="G109" s="156">
        <f>F112</f>
        <v>22283</v>
      </c>
      <c r="H109" s="156">
        <f>G112</f>
        <v>21391.68</v>
      </c>
      <c r="I109" s="156">
        <f>H112</f>
        <v>22675.180800000002</v>
      </c>
      <c r="J109" s="156">
        <f>I112</f>
        <v>24239.7682752</v>
      </c>
      <c r="K109" s="156">
        <f>J112</f>
        <v>25912.3122861888</v>
      </c>
      <c r="M109" s="5" t="s">
        <v>167</v>
      </c>
    </row>
    <row r="110" spans="3:17">
      <c r="C110" s="26" t="s">
        <v>161</v>
      </c>
      <c r="G110" s="22">
        <f>-(G104)</f>
        <v>-1538.8799999999999</v>
      </c>
      <c r="H110" s="22">
        <f>-(H104)</f>
        <v>-1631.2128</v>
      </c>
      <c r="I110" s="22">
        <f>-(I104)</f>
        <v>-1743.7664832</v>
      </c>
      <c r="J110" s="22">
        <f>-(J104)</f>
        <v>-1864.0863705407999</v>
      </c>
      <c r="K110" s="22">
        <f>-(K104)</f>
        <v>-1992.708330108115</v>
      </c>
      <c r="M110" s="5" t="s">
        <v>162</v>
      </c>
    </row>
    <row r="111" spans="3:17" ht="15" customHeight="1">
      <c r="C111" s="111" t="s">
        <v>125</v>
      </c>
      <c r="D111" s="101"/>
      <c r="E111" s="101"/>
      <c r="F111" s="101"/>
      <c r="G111" s="155">
        <f>G112-G110-G109</f>
        <v>647.56000000000131</v>
      </c>
      <c r="H111" s="155">
        <f>H112-H110-H109</f>
        <v>2914.7136000000028</v>
      </c>
      <c r="I111" s="155">
        <f>I112-I110-I109</f>
        <v>3308.3539583999991</v>
      </c>
      <c r="J111" s="155">
        <f>J112-J110-J109</f>
        <v>3536.6303815296014</v>
      </c>
      <c r="K111" s="155">
        <f>K112-K110-K109</f>
        <v>3780.6578778551411</v>
      </c>
      <c r="M111" s="5" t="s">
        <v>168</v>
      </c>
    </row>
    <row r="112" spans="3:17">
      <c r="C112" s="54" t="s">
        <v>28</v>
      </c>
      <c r="D112" s="6"/>
      <c r="E112" s="51">
        <f t="shared" ref="E112:K112" si="17">E50</f>
        <v>18177</v>
      </c>
      <c r="F112" s="51">
        <f t="shared" si="17"/>
        <v>22283</v>
      </c>
      <c r="G112" s="51">
        <f t="shared" si="17"/>
        <v>21391.68</v>
      </c>
      <c r="H112" s="51">
        <f t="shared" si="17"/>
        <v>22675.180800000002</v>
      </c>
      <c r="I112" s="51">
        <f t="shared" si="17"/>
        <v>24239.7682752</v>
      </c>
      <c r="J112" s="51">
        <f t="shared" si="17"/>
        <v>25912.3122861888</v>
      </c>
      <c r="K112" s="51">
        <f t="shared" si="17"/>
        <v>27700.261833935827</v>
      </c>
      <c r="M112" s="5" t="s">
        <v>169</v>
      </c>
    </row>
    <row r="113" spans="3:13">
      <c r="C113" s="26"/>
      <c r="E113" s="34"/>
      <c r="F113" s="34"/>
      <c r="G113" s="6"/>
      <c r="H113" s="22"/>
      <c r="I113" s="22"/>
      <c r="J113" s="22"/>
      <c r="K113" s="22"/>
    </row>
    <row r="114" spans="3:13">
      <c r="C114" s="74" t="s">
        <v>75</v>
      </c>
      <c r="D114" s="70"/>
      <c r="E114" s="70"/>
      <c r="F114" s="70"/>
      <c r="G114" s="9"/>
      <c r="H114" s="9"/>
      <c r="I114" s="9"/>
      <c r="J114" s="9"/>
      <c r="K114" s="9"/>
    </row>
    <row r="115" spans="3:13">
      <c r="C115" s="41" t="s">
        <v>27</v>
      </c>
      <c r="D115" s="6"/>
      <c r="E115" s="6"/>
      <c r="F115" s="6"/>
      <c r="G115" s="151">
        <f>F119</f>
        <v>70400</v>
      </c>
      <c r="H115" s="151">
        <f>G119</f>
        <v>34640.271323199995</v>
      </c>
      <c r="I115" s="151">
        <f>H119</f>
        <v>3339.8331014399882</v>
      </c>
      <c r="J115" s="151">
        <f>I119</f>
        <v>-23794.90977680801</v>
      </c>
      <c r="K115" s="151">
        <f>J119</f>
        <v>-46788.084414655124</v>
      </c>
      <c r="M115" s="5" t="s">
        <v>167</v>
      </c>
    </row>
    <row r="116" spans="3:13">
      <c r="C116" s="26" t="s">
        <v>62</v>
      </c>
      <c r="D116" s="33">
        <f t="shared" ref="D116:K116" si="18">D28</f>
        <v>45687</v>
      </c>
      <c r="E116" s="33">
        <f t="shared" si="18"/>
        <v>48351</v>
      </c>
      <c r="F116" s="33">
        <f t="shared" si="18"/>
        <v>59531</v>
      </c>
      <c r="G116" s="151">
        <f t="shared" si="18"/>
        <v>51031.271323200002</v>
      </c>
      <c r="H116" s="151">
        <f t="shared" si="18"/>
        <v>55490.56177824</v>
      </c>
      <c r="I116" s="151">
        <f t="shared" si="18"/>
        <v>59656.257121752002</v>
      </c>
      <c r="J116" s="151">
        <f t="shared" si="18"/>
        <v>63797.825362152886</v>
      </c>
      <c r="K116" s="151">
        <f t="shared" si="18"/>
        <v>68225.161811141428</v>
      </c>
      <c r="M116" s="5" t="s">
        <v>101</v>
      </c>
    </row>
    <row r="117" spans="3:13">
      <c r="C117" s="26" t="s">
        <v>63</v>
      </c>
      <c r="D117" s="3">
        <v>-12188</v>
      </c>
      <c r="E117" s="3">
        <v>-12803</v>
      </c>
      <c r="F117" s="3">
        <v>-13735</v>
      </c>
      <c r="G117" s="151">
        <f>F117</f>
        <v>-13735</v>
      </c>
      <c r="H117" s="151">
        <f>G117</f>
        <v>-13735</v>
      </c>
      <c r="I117" s="151">
        <f t="shared" ref="I117:K118" si="19">H117</f>
        <v>-13735</v>
      </c>
      <c r="J117" s="151">
        <f t="shared" si="19"/>
        <v>-13735</v>
      </c>
      <c r="K117" s="151">
        <f t="shared" si="19"/>
        <v>-13735</v>
      </c>
      <c r="M117" s="5" t="s">
        <v>163</v>
      </c>
    </row>
    <row r="118" spans="3:13">
      <c r="C118" s="104" t="s">
        <v>64</v>
      </c>
      <c r="D118" s="95">
        <v>-29000</v>
      </c>
      <c r="E118" s="95">
        <v>-33001</v>
      </c>
      <c r="F118" s="95">
        <v>-73056</v>
      </c>
      <c r="G118" s="158">
        <f>F118</f>
        <v>-73056</v>
      </c>
      <c r="H118" s="158">
        <f>G118</f>
        <v>-73056</v>
      </c>
      <c r="I118" s="158">
        <f t="shared" si="19"/>
        <v>-73056</v>
      </c>
      <c r="J118" s="158">
        <f t="shared" si="19"/>
        <v>-73056</v>
      </c>
      <c r="K118" s="158">
        <f t="shared" si="19"/>
        <v>-73056</v>
      </c>
      <c r="M118" s="5" t="s">
        <v>236</v>
      </c>
    </row>
    <row r="119" spans="3:13">
      <c r="C119" s="83" t="s">
        <v>28</v>
      </c>
      <c r="D119" s="23">
        <f>D62</f>
        <v>0</v>
      </c>
      <c r="E119" s="23">
        <f>E62</f>
        <v>98330</v>
      </c>
      <c r="F119" s="23">
        <f>F62</f>
        <v>70400</v>
      </c>
      <c r="G119" s="146">
        <f>SUM(G115:G118)</f>
        <v>34640.271323199995</v>
      </c>
      <c r="H119" s="146">
        <f>SUM(H115:H118)</f>
        <v>3339.8331014399882</v>
      </c>
      <c r="I119" s="146">
        <f>SUM(I115:I118)</f>
        <v>-23794.90977680801</v>
      </c>
      <c r="J119" s="146">
        <f>SUM(J115:J118)</f>
        <v>-46788.084414655124</v>
      </c>
      <c r="K119" s="146">
        <f>SUM(K115:K118)</f>
        <v>-65353.922603513696</v>
      </c>
      <c r="M119" s="5" t="s">
        <v>164</v>
      </c>
    </row>
    <row r="120" spans="3:13">
      <c r="E120" s="68"/>
      <c r="F120" s="68"/>
    </row>
    <row r="121" spans="3:13">
      <c r="C121" s="7" t="s">
        <v>131</v>
      </c>
      <c r="D121" s="9"/>
      <c r="E121" s="9"/>
      <c r="F121" s="9"/>
      <c r="G121" s="9"/>
      <c r="H121" s="9"/>
      <c r="I121" s="9"/>
      <c r="J121" s="9"/>
      <c r="K121" s="9"/>
    </row>
    <row r="122" spans="3:13">
      <c r="C122" s="35" t="str">
        <f t="shared" ref="C122:K122" si="20">C14</f>
        <v xml:space="preserve">Fiscal year  </v>
      </c>
      <c r="D122" s="30">
        <f t="shared" si="20"/>
        <v>2016</v>
      </c>
      <c r="E122" s="30">
        <f t="shared" si="20"/>
        <v>2017</v>
      </c>
      <c r="F122" s="30">
        <f t="shared" si="20"/>
        <v>2018</v>
      </c>
      <c r="G122" s="31">
        <f t="shared" si="20"/>
        <v>2019</v>
      </c>
      <c r="H122" s="31">
        <f t="shared" si="20"/>
        <v>2020</v>
      </c>
      <c r="I122" s="31">
        <f t="shared" si="20"/>
        <v>2021</v>
      </c>
      <c r="J122" s="31">
        <f t="shared" si="20"/>
        <v>2022</v>
      </c>
      <c r="K122" s="31">
        <f t="shared" si="20"/>
        <v>2023</v>
      </c>
    </row>
    <row r="123" spans="3:13">
      <c r="C123" s="9" t="str">
        <f t="shared" ref="C123:K123" si="21">C15</f>
        <v>Fiscal year end date</v>
      </c>
      <c r="D123" s="32">
        <f t="shared" si="21"/>
        <v>42643</v>
      </c>
      <c r="E123" s="32">
        <f t="shared" si="21"/>
        <v>43008</v>
      </c>
      <c r="F123" s="32">
        <f t="shared" si="21"/>
        <v>43372</v>
      </c>
      <c r="G123" s="32">
        <f t="shared" si="21"/>
        <v>43738</v>
      </c>
      <c r="H123" s="32">
        <f t="shared" si="21"/>
        <v>44104</v>
      </c>
      <c r="I123" s="32">
        <f t="shared" si="21"/>
        <v>44469</v>
      </c>
      <c r="J123" s="32">
        <f t="shared" si="21"/>
        <v>44834</v>
      </c>
      <c r="K123" s="32">
        <f t="shared" si="21"/>
        <v>45199</v>
      </c>
    </row>
    <row r="124" spans="3:13">
      <c r="C124" s="19"/>
    </row>
    <row r="125" spans="3:13">
      <c r="C125" s="53" t="s">
        <v>39</v>
      </c>
    </row>
    <row r="126" spans="3:13">
      <c r="C126" s="26" t="s">
        <v>45</v>
      </c>
      <c r="G126" s="92"/>
      <c r="H126" s="92"/>
      <c r="I126" s="92"/>
      <c r="J126" s="92"/>
      <c r="K126" s="92"/>
      <c r="M126" s="5" t="s">
        <v>172</v>
      </c>
    </row>
    <row r="127" spans="3:13">
      <c r="C127" s="26" t="s">
        <v>69</v>
      </c>
      <c r="G127" s="3">
        <v>-50000</v>
      </c>
      <c r="H127" s="3">
        <v>-50000</v>
      </c>
      <c r="I127" s="3">
        <v>-50000</v>
      </c>
      <c r="J127" s="3">
        <v>-50000</v>
      </c>
      <c r="K127" s="3">
        <v>-50000</v>
      </c>
      <c r="M127" s="5" t="s">
        <v>126</v>
      </c>
    </row>
    <row r="128" spans="3:13">
      <c r="C128" s="111" t="s">
        <v>173</v>
      </c>
      <c r="D128" s="101"/>
      <c r="E128" s="101"/>
      <c r="F128" s="101"/>
      <c r="G128" s="148"/>
      <c r="H128" s="148"/>
      <c r="I128" s="148"/>
      <c r="J128" s="148"/>
      <c r="K128" s="148"/>
      <c r="M128" s="5" t="s">
        <v>174</v>
      </c>
    </row>
    <row r="129" spans="3:13">
      <c r="C129" s="54" t="s">
        <v>102</v>
      </c>
      <c r="D129" s="6"/>
      <c r="E129" s="6"/>
      <c r="F129" s="6"/>
      <c r="G129" s="146"/>
      <c r="H129" s="146"/>
      <c r="I129" s="146"/>
      <c r="J129" s="146"/>
      <c r="K129" s="146"/>
    </row>
    <row r="130" spans="3:13">
      <c r="C130" s="28"/>
      <c r="G130" s="244"/>
      <c r="H130" s="244"/>
      <c r="I130" s="244"/>
      <c r="J130" s="244"/>
      <c r="K130" s="244"/>
    </row>
    <row r="131" spans="3:13">
      <c r="C131" s="19" t="s">
        <v>113</v>
      </c>
    </row>
    <row r="132" spans="3:13">
      <c r="C132" s="26" t="s">
        <v>27</v>
      </c>
      <c r="G132" s="92"/>
      <c r="H132" s="92"/>
      <c r="I132" s="92"/>
      <c r="J132" s="92"/>
      <c r="K132" s="92"/>
      <c r="M132" s="5" t="s">
        <v>167</v>
      </c>
    </row>
    <row r="133" spans="3:13">
      <c r="C133" s="47" t="s">
        <v>176</v>
      </c>
      <c r="G133" s="92"/>
      <c r="H133" s="92"/>
      <c r="I133" s="92"/>
      <c r="J133" s="92"/>
      <c r="K133" s="92"/>
      <c r="M133" s="5" t="s">
        <v>179</v>
      </c>
    </row>
    <row r="134" spans="3:13">
      <c r="C134" s="103" t="s">
        <v>177</v>
      </c>
      <c r="D134" s="101"/>
      <c r="E134" s="101"/>
      <c r="F134" s="101"/>
      <c r="G134" s="95">
        <v>12000</v>
      </c>
      <c r="H134" s="95">
        <v>12000</v>
      </c>
      <c r="I134" s="95">
        <v>12000</v>
      </c>
      <c r="J134" s="95">
        <v>12000</v>
      </c>
      <c r="K134" s="95">
        <v>12000</v>
      </c>
      <c r="M134" s="5" t="s">
        <v>126</v>
      </c>
    </row>
    <row r="135" spans="3:13">
      <c r="C135" s="159" t="s">
        <v>28</v>
      </c>
      <c r="D135" s="160">
        <f>D56</f>
        <v>0</v>
      </c>
      <c r="E135" s="160">
        <f>E56</f>
        <v>11977</v>
      </c>
      <c r="F135" s="160">
        <f>F56</f>
        <v>11964</v>
      </c>
      <c r="G135" s="160">
        <f>SUM(G132:G134)</f>
        <v>12000</v>
      </c>
      <c r="H135" s="160">
        <f>SUM(H132:H134)</f>
        <v>12000</v>
      </c>
      <c r="I135" s="160">
        <f>SUM(I132:I134)</f>
        <v>12000</v>
      </c>
      <c r="J135" s="160">
        <f>SUM(J132:J134)</f>
        <v>12000</v>
      </c>
      <c r="K135" s="160">
        <f>SUM(K132:K134)</f>
        <v>12000</v>
      </c>
    </row>
    <row r="136" spans="3:13">
      <c r="C136" s="117" t="s">
        <v>119</v>
      </c>
      <c r="D136" s="122"/>
      <c r="E136" s="122"/>
      <c r="F136" s="123"/>
      <c r="G136" s="118" t="str">
        <f>IF(G135&lt;0,"Negative Debt","OK")</f>
        <v>OK</v>
      </c>
      <c r="H136" s="118" t="str">
        <f>IF(H135&lt;0,"Negative Debt","OK")</f>
        <v>OK</v>
      </c>
      <c r="I136" s="118" t="str">
        <f>IF(I135&lt;0,"Negative Debt","OK")</f>
        <v>OK</v>
      </c>
      <c r="J136" s="118" t="str">
        <f>IF(J135&lt;0,"Negative Debt","OK")</f>
        <v>OK</v>
      </c>
      <c r="K136" s="119" t="str">
        <f>IF(K135&lt;0,"Negative Debt","OK")</f>
        <v>OK</v>
      </c>
      <c r="L136" s="6"/>
    </row>
    <row r="137" spans="3:13">
      <c r="D137" s="22"/>
      <c r="E137" s="22"/>
      <c r="F137" s="120"/>
      <c r="G137" s="121"/>
      <c r="H137" s="121"/>
      <c r="I137" s="121"/>
      <c r="J137" s="121"/>
      <c r="K137" s="121"/>
      <c r="L137" s="6"/>
    </row>
    <row r="138" spans="3:13">
      <c r="C138" s="7" t="s">
        <v>43</v>
      </c>
      <c r="D138" s="48"/>
      <c r="E138" s="48"/>
      <c r="F138" s="48"/>
      <c r="G138" s="49"/>
      <c r="H138" s="49"/>
      <c r="I138" s="49"/>
      <c r="J138" s="49"/>
      <c r="K138" s="49"/>
    </row>
    <row r="139" spans="3:13">
      <c r="C139" s="35" t="str">
        <f t="shared" ref="C139:K139" si="22">C14</f>
        <v xml:space="preserve">Fiscal year  </v>
      </c>
      <c r="D139" s="30">
        <f t="shared" si="22"/>
        <v>2016</v>
      </c>
      <c r="E139" s="30">
        <f t="shared" si="22"/>
        <v>2017</v>
      </c>
      <c r="F139" s="30">
        <f t="shared" si="22"/>
        <v>2018</v>
      </c>
      <c r="G139" s="31">
        <f t="shared" si="22"/>
        <v>2019</v>
      </c>
      <c r="H139" s="31">
        <f t="shared" si="22"/>
        <v>2020</v>
      </c>
      <c r="I139" s="31">
        <f t="shared" si="22"/>
        <v>2021</v>
      </c>
      <c r="J139" s="31">
        <f t="shared" si="22"/>
        <v>2022</v>
      </c>
      <c r="K139" s="31">
        <f t="shared" si="22"/>
        <v>2023</v>
      </c>
    </row>
    <row r="140" spans="3:13">
      <c r="C140" s="9" t="str">
        <f t="shared" ref="C140:K140" si="23">C15</f>
        <v>Fiscal year end date</v>
      </c>
      <c r="D140" s="32">
        <f t="shared" si="23"/>
        <v>42643</v>
      </c>
      <c r="E140" s="32">
        <f t="shared" si="23"/>
        <v>43008</v>
      </c>
      <c r="F140" s="32">
        <f t="shared" si="23"/>
        <v>43372</v>
      </c>
      <c r="G140" s="32">
        <f t="shared" si="23"/>
        <v>43738</v>
      </c>
      <c r="H140" s="32">
        <f t="shared" si="23"/>
        <v>44104</v>
      </c>
      <c r="I140" s="32">
        <f t="shared" si="23"/>
        <v>44469</v>
      </c>
      <c r="J140" s="32">
        <f t="shared" si="23"/>
        <v>44834</v>
      </c>
      <c r="K140" s="32">
        <f t="shared" si="23"/>
        <v>45199</v>
      </c>
    </row>
    <row r="141" spans="3:13">
      <c r="C141" s="26"/>
      <c r="D141" s="34"/>
      <c r="E141" s="34"/>
      <c r="F141" s="34"/>
      <c r="G141" s="125"/>
      <c r="H141" s="125"/>
      <c r="I141" s="125"/>
      <c r="J141" s="125"/>
      <c r="K141" s="125"/>
    </row>
    <row r="142" spans="3:13">
      <c r="C142" s="41" t="s">
        <v>182</v>
      </c>
      <c r="D142" s="34">
        <f>-(D24)</f>
        <v>1456</v>
      </c>
      <c r="E142" s="34">
        <f>-(E24)</f>
        <v>2323</v>
      </c>
      <c r="F142" s="22">
        <f>-(F24)</f>
        <v>3240</v>
      </c>
      <c r="G142" s="143"/>
      <c r="H142" s="143"/>
      <c r="I142" s="143"/>
      <c r="J142" s="143"/>
      <c r="K142" s="143"/>
      <c r="L142" s="6"/>
      <c r="M142" s="5" t="s">
        <v>178</v>
      </c>
    </row>
    <row r="143" spans="3:13">
      <c r="C143" s="60"/>
      <c r="F143" s="6"/>
      <c r="G143" s="168"/>
      <c r="H143" s="168"/>
      <c r="I143" s="168"/>
      <c r="J143" s="168"/>
      <c r="K143" s="168"/>
      <c r="L143" s="6"/>
    </row>
    <row r="144" spans="3:13">
      <c r="C144" s="94" t="s">
        <v>68</v>
      </c>
      <c r="F144" s="6"/>
      <c r="G144" s="168"/>
      <c r="H144" s="168"/>
      <c r="I144" s="168"/>
      <c r="J144" s="168"/>
      <c r="K144" s="168"/>
      <c r="L144" s="6"/>
    </row>
    <row r="145" spans="3:13">
      <c r="C145" s="26" t="s">
        <v>111</v>
      </c>
      <c r="E145" s="56">
        <v>1.2E-2</v>
      </c>
      <c r="F145" s="124">
        <v>2.18E-2</v>
      </c>
      <c r="G145" s="437"/>
      <c r="H145" s="437"/>
      <c r="I145" s="437"/>
      <c r="J145" s="437"/>
      <c r="K145" s="437"/>
      <c r="L145" s="6"/>
      <c r="M145" s="5" t="s">
        <v>132</v>
      </c>
    </row>
    <row r="146" spans="3:13">
      <c r="C146" s="26" t="s">
        <v>112</v>
      </c>
      <c r="D146" s="22"/>
      <c r="E146" s="22">
        <f>E56</f>
        <v>11977</v>
      </c>
      <c r="F146" s="22">
        <f>F56</f>
        <v>11964</v>
      </c>
      <c r="G146" s="143"/>
      <c r="H146" s="143"/>
      <c r="I146" s="143"/>
      <c r="J146" s="143"/>
      <c r="K146" s="143"/>
      <c r="L146" s="6"/>
      <c r="M146" s="5" t="s">
        <v>181</v>
      </c>
    </row>
    <row r="147" spans="3:13">
      <c r="C147" s="163" t="s">
        <v>41</v>
      </c>
      <c r="D147" s="164"/>
      <c r="E147" s="164">
        <f>AVERAGE(E146,D146)*E145</f>
        <v>143.72399999999999</v>
      </c>
      <c r="F147" s="164">
        <f>AVERAGE(F146,E146)*F145</f>
        <v>260.95690000000002</v>
      </c>
      <c r="G147" s="438"/>
      <c r="H147" s="438"/>
      <c r="I147" s="438"/>
      <c r="J147" s="438"/>
      <c r="K147" s="438"/>
      <c r="L147" s="6"/>
      <c r="M147" s="5" t="s">
        <v>180</v>
      </c>
    </row>
    <row r="148" spans="3:13">
      <c r="C148" s="81"/>
      <c r="D148" s="22"/>
      <c r="E148" s="22"/>
      <c r="F148" s="22"/>
      <c r="G148" s="168"/>
      <c r="H148" s="168"/>
      <c r="I148" s="168"/>
      <c r="J148" s="168"/>
      <c r="K148" s="168"/>
      <c r="L148" s="6"/>
    </row>
    <row r="149" spans="3:13">
      <c r="C149" s="94" t="s">
        <v>67</v>
      </c>
      <c r="D149" s="34"/>
      <c r="E149" s="34"/>
      <c r="F149" s="22"/>
      <c r="G149" s="168"/>
      <c r="H149" s="168"/>
      <c r="I149" s="168"/>
      <c r="J149" s="168"/>
      <c r="K149" s="168"/>
      <c r="L149" s="6"/>
    </row>
    <row r="150" spans="3:13">
      <c r="C150" s="26" t="s">
        <v>112</v>
      </c>
      <c r="D150" s="34"/>
      <c r="E150" s="34">
        <f t="shared" ref="E150:F150" si="24">E57</f>
        <v>103703</v>
      </c>
      <c r="F150" s="34">
        <f t="shared" si="24"/>
        <v>102519</v>
      </c>
      <c r="G150" s="143"/>
      <c r="H150" s="143"/>
      <c r="I150" s="143"/>
      <c r="J150" s="143"/>
      <c r="K150" s="143"/>
      <c r="L150" s="6"/>
      <c r="M150" s="5" t="s">
        <v>183</v>
      </c>
    </row>
    <row r="151" spans="3:13">
      <c r="C151" s="26" t="s">
        <v>111</v>
      </c>
      <c r="E151" s="167">
        <f t="shared" ref="E151" si="25">E152/AVERAGE(D150:E150)</f>
        <v>2.101458974185896E-2</v>
      </c>
      <c r="F151" s="167">
        <f>F152/AVERAGE(E150:F150)</f>
        <v>2.8891612921996681E-2</v>
      </c>
      <c r="G151" s="439"/>
      <c r="H151" s="439"/>
      <c r="I151" s="439"/>
      <c r="J151" s="439"/>
      <c r="K151" s="439"/>
      <c r="L151" s="6"/>
      <c r="M151" s="5" t="s">
        <v>132</v>
      </c>
    </row>
    <row r="152" spans="3:13">
      <c r="C152" s="54" t="s">
        <v>186</v>
      </c>
      <c r="D152" s="52"/>
      <c r="E152" s="161">
        <f>E142-E147</f>
        <v>2179.2759999999998</v>
      </c>
      <c r="F152" s="161">
        <f>F142-F147</f>
        <v>2979.0430999999999</v>
      </c>
      <c r="G152" s="142"/>
      <c r="H152" s="142"/>
      <c r="I152" s="142"/>
      <c r="J152" s="142"/>
      <c r="K152" s="142"/>
      <c r="L152" s="6"/>
      <c r="M152" s="5" t="s">
        <v>114</v>
      </c>
    </row>
    <row r="153" spans="3:13">
      <c r="C153" s="54"/>
      <c r="D153" s="52"/>
      <c r="E153" s="52"/>
      <c r="F153" s="52"/>
      <c r="G153" s="52"/>
      <c r="H153" s="52"/>
      <c r="I153" s="52"/>
      <c r="J153" s="52"/>
      <c r="K153" s="52"/>
      <c r="L153" s="6"/>
    </row>
    <row r="154" spans="3:13">
      <c r="C154" s="60" t="s">
        <v>42</v>
      </c>
      <c r="E154" s="34"/>
      <c r="F154" s="22"/>
      <c r="G154" s="168"/>
      <c r="H154" s="168"/>
      <c r="I154" s="168"/>
      <c r="J154" s="168"/>
      <c r="K154" s="168"/>
      <c r="L154" s="6"/>
    </row>
    <row r="155" spans="3:13">
      <c r="C155" s="26" t="s">
        <v>115</v>
      </c>
      <c r="D155" s="55">
        <v>1.7299999999999999E-2</v>
      </c>
      <c r="E155" s="56">
        <v>1.9900000000000001E-2</v>
      </c>
      <c r="F155" s="124">
        <v>2.1600000000000001E-2</v>
      </c>
      <c r="G155" s="437"/>
      <c r="H155" s="437"/>
      <c r="I155" s="437"/>
      <c r="J155" s="437"/>
      <c r="K155" s="437"/>
      <c r="L155" s="6"/>
      <c r="M155" s="5" t="s">
        <v>132</v>
      </c>
    </row>
    <row r="156" spans="3:13">
      <c r="C156" s="26" t="s">
        <v>4</v>
      </c>
      <c r="D156" s="34">
        <f>D23</f>
        <v>3999</v>
      </c>
      <c r="E156" s="34">
        <f>E23</f>
        <v>5201</v>
      </c>
      <c r="F156" s="22">
        <f>F23</f>
        <v>5686</v>
      </c>
      <c r="G156" s="143"/>
      <c r="H156" s="143"/>
      <c r="I156" s="143"/>
      <c r="J156" s="143"/>
      <c r="K156" s="143"/>
      <c r="L156" s="6"/>
      <c r="M156" s="5" t="s">
        <v>185</v>
      </c>
    </row>
  </sheetData>
  <conditionalFormatting sqref="C39">
    <cfRule type="expression" dxfId="26" priority="3">
      <formula>#REF!=$C39</formula>
    </cfRule>
  </conditionalFormatting>
  <dataValidations disablePrompts="1" count="2">
    <dataValidation type="list" allowBlank="1" showInputMessage="1" showErrorMessage="1" sqref="D7" xr:uid="{9717D803-5E0E-462D-97D7-159165B20FE4}">
      <formula1>"0,1"</formula1>
    </dataValidation>
    <dataValidation type="list" allowBlank="1" showInputMessage="1" showErrorMessage="1" sqref="C3" xr:uid="{DAD44E4F-3F46-4471-B974-3EB35D27D5DD}">
      <formula1>"$ bns except per share, $ mm except per share,$ in thousands except per share"</formula1>
    </dataValidation>
  </dataValidations>
  <pageMargins left="0.7" right="0.7" top="0.75" bottom="0.75" header="0.3" footer="0.3"/>
  <pageSetup scale="26"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CE93C-4E65-4935-A6A4-F25878B0273E}">
  <dimension ref="C1:T120"/>
  <sheetViews>
    <sheetView topLeftCell="A77" zoomScaleNormal="100" workbookViewId="0">
      <selection activeCell="M96" sqref="M96:M119"/>
    </sheetView>
  </sheetViews>
  <sheetFormatPr defaultColWidth="8.85546875" defaultRowHeight="15"/>
  <cols>
    <col min="1" max="2" width="1.7109375" style="5" customWidth="1"/>
    <col min="3" max="3" width="42.7109375" style="5" customWidth="1"/>
    <col min="4" max="4" width="12.140625" style="5" customWidth="1"/>
    <col min="5" max="11" width="11.42578125" style="5" customWidth="1"/>
    <col min="12" max="12" width="2.28515625" style="5" customWidth="1"/>
    <col min="13" max="13" width="11.42578125" style="5" customWidth="1"/>
    <col min="14" max="14" width="11.85546875" style="5" customWidth="1"/>
    <col min="15" max="17" width="10.28515625" style="5" bestFit="1" customWidth="1"/>
    <col min="18" max="19" width="9.42578125" style="5" bestFit="1" customWidth="1"/>
    <col min="20" max="16384" width="8.85546875" style="5"/>
  </cols>
  <sheetData>
    <row r="1" spans="3:19" ht="15.75" thickBot="1"/>
    <row r="2" spans="3:19" ht="15.75" thickBot="1">
      <c r="C2" s="96" t="str">
        <f>"Financial Statement Model for "&amp;D5</f>
        <v>Financial Statement Model for Apple</v>
      </c>
      <c r="D2" s="79"/>
      <c r="E2" s="79"/>
      <c r="F2" s="79"/>
      <c r="G2" s="79"/>
      <c r="H2" s="79"/>
      <c r="I2" s="79"/>
      <c r="J2" s="79"/>
      <c r="K2" s="79"/>
    </row>
    <row r="3" spans="3:19">
      <c r="C3" s="2" t="s">
        <v>46</v>
      </c>
      <c r="D3" s="64"/>
      <c r="E3" s="64"/>
      <c r="F3" s="64"/>
      <c r="G3" s="64"/>
      <c r="H3" s="64"/>
      <c r="I3" s="6"/>
      <c r="J3" s="6"/>
      <c r="K3" s="6"/>
    </row>
    <row r="4" spans="3:19">
      <c r="O4" s="6"/>
      <c r="P4" s="6"/>
    </row>
    <row r="5" spans="3:19">
      <c r="C5" s="1" t="s">
        <v>5</v>
      </c>
      <c r="D5" s="112" t="s">
        <v>50</v>
      </c>
      <c r="O5" s="6"/>
      <c r="P5" s="6"/>
    </row>
    <row r="6" spans="3:19">
      <c r="C6" s="1" t="s">
        <v>6</v>
      </c>
      <c r="D6" s="112" t="s">
        <v>51</v>
      </c>
      <c r="O6" s="6"/>
      <c r="P6" s="6"/>
    </row>
    <row r="7" spans="3:19">
      <c r="C7" s="5" t="s">
        <v>109</v>
      </c>
      <c r="D7" s="113">
        <v>1</v>
      </c>
      <c r="O7" s="6"/>
      <c r="P7" s="6"/>
    </row>
    <row r="8" spans="3:19">
      <c r="C8" s="5" t="s">
        <v>73</v>
      </c>
      <c r="D8" s="114">
        <v>171.25</v>
      </c>
      <c r="O8" s="6"/>
      <c r="P8" s="6"/>
    </row>
    <row r="9" spans="3:19">
      <c r="C9" s="5" t="s">
        <v>9</v>
      </c>
      <c r="D9" s="115">
        <v>43500</v>
      </c>
      <c r="O9" s="6"/>
      <c r="P9" s="6"/>
    </row>
    <row r="10" spans="3:19">
      <c r="C10" s="1" t="s">
        <v>8</v>
      </c>
      <c r="D10" s="116">
        <v>43372</v>
      </c>
      <c r="G10" s="427"/>
      <c r="O10" s="6"/>
      <c r="P10" s="6"/>
    </row>
    <row r="11" spans="3:19" ht="15" customHeight="1">
      <c r="C11" t="s">
        <v>292</v>
      </c>
      <c r="D11" s="132">
        <v>4745.3980000000001</v>
      </c>
      <c r="O11" s="6"/>
      <c r="P11" s="6"/>
    </row>
    <row r="12" spans="3:19">
      <c r="O12" s="6"/>
      <c r="P12" s="6"/>
    </row>
    <row r="13" spans="3:19">
      <c r="C13" s="7" t="s">
        <v>19</v>
      </c>
      <c r="D13" s="9"/>
      <c r="E13" s="9"/>
      <c r="F13" s="9"/>
      <c r="G13" s="9"/>
      <c r="H13" s="9"/>
      <c r="I13" s="9"/>
      <c r="J13" s="9"/>
      <c r="K13" s="9"/>
      <c r="Q13" s="6"/>
    </row>
    <row r="14" spans="3:19">
      <c r="C14" s="6" t="s">
        <v>10</v>
      </c>
      <c r="D14" s="10">
        <f>E14-1</f>
        <v>2016</v>
      </c>
      <c r="E14" s="10">
        <f>F14-1</f>
        <v>2017</v>
      </c>
      <c r="F14" s="10">
        <f>YEAR(D10)</f>
        <v>2018</v>
      </c>
      <c r="G14" s="11">
        <f>F14+1</f>
        <v>2019</v>
      </c>
      <c r="H14" s="11">
        <f>G14+1</f>
        <v>2020</v>
      </c>
      <c r="I14" s="11">
        <f>H14+1</f>
        <v>2021</v>
      </c>
      <c r="J14" s="11">
        <f>I14+1</f>
        <v>2022</v>
      </c>
      <c r="K14" s="11">
        <f>J14+1</f>
        <v>2023</v>
      </c>
      <c r="Q14" s="6"/>
    </row>
    <row r="15" spans="3:19">
      <c r="C15" s="12" t="s">
        <v>7</v>
      </c>
      <c r="D15" s="89">
        <f>EOMONTH(E15,-12)</f>
        <v>42643</v>
      </c>
      <c r="E15" s="89">
        <f>EOMONTH(F15,-12)</f>
        <v>43008</v>
      </c>
      <c r="F15" s="89">
        <f>D10</f>
        <v>43372</v>
      </c>
      <c r="G15" s="89">
        <f>EOMONTH(F15,12)</f>
        <v>43738</v>
      </c>
      <c r="H15" s="89">
        <f>EOMONTH(G15,12)</f>
        <v>44104</v>
      </c>
      <c r="I15" s="89">
        <f>EOMONTH(H15,12)</f>
        <v>44469</v>
      </c>
      <c r="J15" s="89">
        <f>EOMONTH(I15,12)</f>
        <v>44834</v>
      </c>
      <c r="K15" s="89">
        <f>EOMONTH(J15,12)</f>
        <v>45199</v>
      </c>
      <c r="M15" s="84" t="s">
        <v>86</v>
      </c>
      <c r="N15" s="97"/>
      <c r="O15" s="97"/>
      <c r="P15" s="97"/>
      <c r="Q15" s="97"/>
      <c r="R15" s="97"/>
      <c r="S15" s="97"/>
    </row>
    <row r="16" spans="3:19">
      <c r="C16" s="14"/>
      <c r="D16" s="15"/>
      <c r="E16" s="16"/>
      <c r="F16" s="16"/>
      <c r="G16" s="85"/>
      <c r="H16" s="86"/>
      <c r="I16" s="86"/>
      <c r="J16" s="16"/>
      <c r="K16" s="16"/>
    </row>
    <row r="17" spans="3:14">
      <c r="C17" s="6" t="s">
        <v>11</v>
      </c>
      <c r="D17" s="17">
        <v>215639</v>
      </c>
      <c r="E17" s="17">
        <v>229234</v>
      </c>
      <c r="F17" s="17">
        <v>265595</v>
      </c>
      <c r="G17" s="428"/>
      <c r="H17" s="428"/>
      <c r="I17" s="428"/>
      <c r="J17" s="428"/>
      <c r="K17" s="428"/>
      <c r="M17" s="5" t="s">
        <v>87</v>
      </c>
    </row>
    <row r="18" spans="3:14">
      <c r="C18" s="6" t="s">
        <v>14</v>
      </c>
      <c r="D18" s="17">
        <v>-131376</v>
      </c>
      <c r="E18" s="17">
        <v>-141048</v>
      </c>
      <c r="F18" s="17">
        <v>-163756</v>
      </c>
      <c r="G18" s="428"/>
      <c r="H18" s="428"/>
      <c r="I18" s="428"/>
      <c r="J18" s="428"/>
      <c r="K18" s="428"/>
      <c r="M18" s="5" t="s">
        <v>88</v>
      </c>
    </row>
    <row r="19" spans="3:14">
      <c r="C19" s="19" t="s">
        <v>13</v>
      </c>
      <c r="D19" s="20">
        <f>SUM(D17:D18)</f>
        <v>84263</v>
      </c>
      <c r="E19" s="20">
        <f>SUM(E17:E18)</f>
        <v>88186</v>
      </c>
      <c r="F19" s="20">
        <f>SUM(F17:F18)</f>
        <v>101839</v>
      </c>
      <c r="G19" s="429"/>
      <c r="H19" s="429"/>
      <c r="I19" s="429"/>
      <c r="J19" s="429"/>
      <c r="K19" s="429"/>
      <c r="M19" s="87" t="s">
        <v>89</v>
      </c>
    </row>
    <row r="20" spans="3:14">
      <c r="C20" s="21" t="s">
        <v>52</v>
      </c>
      <c r="D20" s="17">
        <v>-10045</v>
      </c>
      <c r="E20" s="17">
        <v>-11581</v>
      </c>
      <c r="F20" s="17">
        <v>-14236</v>
      </c>
      <c r="G20" s="428"/>
      <c r="H20" s="428"/>
      <c r="I20" s="428"/>
      <c r="J20" s="428"/>
      <c r="K20" s="428"/>
      <c r="M20" s="87" t="s">
        <v>233</v>
      </c>
    </row>
    <row r="21" spans="3:14">
      <c r="C21" s="21" t="s">
        <v>16</v>
      </c>
      <c r="D21" s="17">
        <v>-14194</v>
      </c>
      <c r="E21" s="17">
        <v>-15261</v>
      </c>
      <c r="F21" s="17">
        <v>-16705</v>
      </c>
      <c r="G21" s="428"/>
      <c r="H21" s="428"/>
      <c r="I21" s="428"/>
      <c r="J21" s="428"/>
      <c r="K21" s="428"/>
      <c r="M21" s="87" t="s">
        <v>235</v>
      </c>
    </row>
    <row r="22" spans="3:14">
      <c r="C22" s="19" t="s">
        <v>3</v>
      </c>
      <c r="D22" s="20">
        <f>D19+D20+D21</f>
        <v>60024</v>
      </c>
      <c r="E22" s="20">
        <f>E19+E20+E21</f>
        <v>61344</v>
      </c>
      <c r="F22" s="20">
        <f>F19+F20+F21</f>
        <v>70898</v>
      </c>
      <c r="G22" s="429"/>
      <c r="H22" s="429"/>
      <c r="I22" s="429"/>
      <c r="J22" s="429"/>
      <c r="K22" s="429"/>
      <c r="M22" s="24" t="s">
        <v>90</v>
      </c>
    </row>
    <row r="23" spans="3:14">
      <c r="C23" s="6" t="s">
        <v>4</v>
      </c>
      <c r="D23" s="17">
        <v>3999</v>
      </c>
      <c r="E23" s="17">
        <v>5201</v>
      </c>
      <c r="F23" s="17">
        <v>5686</v>
      </c>
      <c r="G23" s="136"/>
      <c r="H23" s="136"/>
      <c r="I23" s="136"/>
      <c r="J23" s="136"/>
      <c r="K23" s="136"/>
      <c r="M23" s="5" t="s">
        <v>95</v>
      </c>
    </row>
    <row r="24" spans="3:14">
      <c r="C24" s="6" t="s">
        <v>17</v>
      </c>
      <c r="D24" s="17">
        <v>-1456</v>
      </c>
      <c r="E24" s="17">
        <v>-2323</v>
      </c>
      <c r="F24" s="17">
        <v>-3240</v>
      </c>
      <c r="G24" s="136"/>
      <c r="H24" s="136"/>
      <c r="I24" s="136"/>
      <c r="J24" s="136"/>
      <c r="K24" s="136"/>
      <c r="M24" s="5" t="s">
        <v>94</v>
      </c>
    </row>
    <row r="25" spans="3:14">
      <c r="C25" s="21" t="s">
        <v>53</v>
      </c>
      <c r="D25" s="17">
        <v>-1195</v>
      </c>
      <c r="E25" s="17">
        <v>-133</v>
      </c>
      <c r="F25" s="17">
        <v>-441</v>
      </c>
      <c r="G25" s="428"/>
      <c r="H25" s="428"/>
      <c r="I25" s="428"/>
      <c r="J25" s="428"/>
      <c r="K25" s="428"/>
      <c r="M25" s="5" t="s">
        <v>91</v>
      </c>
    </row>
    <row r="26" spans="3:14">
      <c r="C26" s="19" t="s">
        <v>12</v>
      </c>
      <c r="D26" s="20">
        <f>SUM(D22:D25)</f>
        <v>61372</v>
      </c>
      <c r="E26" s="20">
        <f>SUM(E22:E25)</f>
        <v>64089</v>
      </c>
      <c r="F26" s="20">
        <f>SUM(F22:F25)</f>
        <v>72903</v>
      </c>
      <c r="G26" s="430"/>
      <c r="H26" s="430"/>
      <c r="I26" s="430"/>
      <c r="J26" s="430"/>
      <c r="K26" s="430"/>
      <c r="M26" s="24" t="s">
        <v>96</v>
      </c>
      <c r="N26" s="24"/>
    </row>
    <row r="27" spans="3:14">
      <c r="C27" s="6" t="s">
        <v>15</v>
      </c>
      <c r="D27" s="17">
        <v>-15685</v>
      </c>
      <c r="E27" s="17">
        <v>-15738</v>
      </c>
      <c r="F27" s="17">
        <v>-13372</v>
      </c>
      <c r="G27" s="428"/>
      <c r="H27" s="428"/>
      <c r="I27" s="428"/>
      <c r="J27" s="428"/>
      <c r="K27" s="428"/>
      <c r="M27" s="5" t="s">
        <v>92</v>
      </c>
    </row>
    <row r="28" spans="3:14">
      <c r="C28" s="19" t="s">
        <v>2</v>
      </c>
      <c r="D28" s="23">
        <f>SUM(D26:D27)</f>
        <v>45687</v>
      </c>
      <c r="E28" s="23">
        <f>SUM(E26:E27)</f>
        <v>48351</v>
      </c>
      <c r="F28" s="23">
        <f>SUM(F26:F27)</f>
        <v>59531</v>
      </c>
      <c r="G28" s="429"/>
      <c r="H28" s="429"/>
      <c r="I28" s="429"/>
      <c r="J28" s="429"/>
      <c r="K28" s="429"/>
      <c r="M28" s="24" t="s">
        <v>93</v>
      </c>
    </row>
    <row r="29" spans="3:14">
      <c r="C29" s="28"/>
      <c r="D29" s="34"/>
      <c r="E29" s="34"/>
      <c r="F29" s="34"/>
      <c r="G29" s="431"/>
      <c r="H29" s="431"/>
      <c r="I29" s="431"/>
      <c r="J29" s="431"/>
      <c r="K29" s="431"/>
    </row>
    <row r="30" spans="3:14">
      <c r="C30" s="72" t="s">
        <v>49</v>
      </c>
      <c r="D30" s="3">
        <v>10505</v>
      </c>
      <c r="E30" s="3">
        <v>10157</v>
      </c>
      <c r="F30" s="3">
        <v>10903</v>
      </c>
      <c r="G30" s="136"/>
      <c r="H30" s="136"/>
      <c r="I30" s="136"/>
      <c r="J30" s="136"/>
      <c r="K30" s="136"/>
      <c r="M30" s="5" t="s">
        <v>159</v>
      </c>
    </row>
    <row r="31" spans="3:14">
      <c r="C31" s="73" t="s">
        <v>47</v>
      </c>
      <c r="D31" s="69">
        <f>D22+D30</f>
        <v>70529</v>
      </c>
      <c r="E31" s="69">
        <f>E22+E30</f>
        <v>71501</v>
      </c>
      <c r="F31" s="69">
        <f>F22+F30</f>
        <v>81801</v>
      </c>
      <c r="G31" s="429"/>
      <c r="H31" s="429"/>
      <c r="I31" s="429"/>
      <c r="J31" s="429"/>
      <c r="K31" s="429"/>
      <c r="M31" s="24" t="s">
        <v>97</v>
      </c>
    </row>
    <row r="32" spans="3:14">
      <c r="C32" s="72" t="s">
        <v>74</v>
      </c>
      <c r="D32" s="3">
        <v>4210</v>
      </c>
      <c r="E32" s="3">
        <v>4840</v>
      </c>
      <c r="F32" s="3">
        <v>5340</v>
      </c>
      <c r="G32" s="428"/>
      <c r="H32" s="428"/>
      <c r="I32" s="428"/>
      <c r="J32" s="428"/>
      <c r="K32" s="428"/>
      <c r="M32" s="5" t="s">
        <v>99</v>
      </c>
    </row>
    <row r="33" spans="3:20">
      <c r="C33" s="73" t="s">
        <v>72</v>
      </c>
      <c r="D33" s="69">
        <f>SUM(D31:D32)</f>
        <v>74739</v>
      </c>
      <c r="E33" s="69">
        <f>SUM(E31:E32)</f>
        <v>76341</v>
      </c>
      <c r="F33" s="69">
        <f>SUM(F31:F32)</f>
        <v>87141</v>
      </c>
      <c r="G33" s="429"/>
      <c r="H33" s="429"/>
      <c r="I33" s="429"/>
      <c r="J33" s="429"/>
      <c r="K33" s="429"/>
      <c r="M33" s="24" t="s">
        <v>98</v>
      </c>
    </row>
    <row r="34" spans="3:20">
      <c r="C34" s="28"/>
      <c r="G34" s="135"/>
      <c r="H34" s="135"/>
      <c r="I34" s="135"/>
      <c r="J34" s="135"/>
      <c r="K34" s="135"/>
    </row>
    <row r="35" spans="3:20">
      <c r="C35" s="25" t="s">
        <v>18</v>
      </c>
      <c r="G35" s="135"/>
      <c r="H35" s="135"/>
      <c r="I35" s="135"/>
      <c r="J35" s="135"/>
      <c r="K35" s="135"/>
    </row>
    <row r="36" spans="3:20">
      <c r="C36" s="26" t="s">
        <v>1</v>
      </c>
      <c r="D36" s="27"/>
      <c r="E36" s="27">
        <f>E17/D17-1</f>
        <v>6.304518199398057E-2</v>
      </c>
      <c r="F36" s="27">
        <f>F17/E17-1</f>
        <v>0.15861957650261305</v>
      </c>
      <c r="G36" s="432"/>
      <c r="H36" s="432"/>
      <c r="I36" s="432"/>
      <c r="J36" s="137"/>
      <c r="K36" s="137"/>
      <c r="M36" s="5" t="s">
        <v>151</v>
      </c>
      <c r="O36" s="59"/>
      <c r="P36" s="59"/>
      <c r="Q36" s="59"/>
      <c r="R36" s="59"/>
      <c r="S36" s="59"/>
      <c r="T36" s="59"/>
    </row>
    <row r="37" spans="3:20">
      <c r="C37" s="26" t="s">
        <v>231</v>
      </c>
      <c r="D37" s="27">
        <f>D19/D17</f>
        <v>0.39075955648097049</v>
      </c>
      <c r="E37" s="27">
        <f>E19/E17</f>
        <v>0.38469860491899105</v>
      </c>
      <c r="F37" s="27">
        <f>F19/F17</f>
        <v>0.38343718820007905</v>
      </c>
      <c r="G37" s="432"/>
      <c r="H37" s="432"/>
      <c r="I37" s="432"/>
      <c r="J37" s="137"/>
      <c r="K37" s="137"/>
      <c r="M37" s="5" t="s">
        <v>152</v>
      </c>
      <c r="O37" s="59"/>
      <c r="P37" s="59"/>
      <c r="Q37" s="59"/>
      <c r="R37" s="59"/>
      <c r="S37" s="59"/>
      <c r="T37" s="59"/>
    </row>
    <row r="38" spans="3:20">
      <c r="C38" s="26" t="s">
        <v>232</v>
      </c>
      <c r="D38" s="27">
        <f>-D20/D17</f>
        <v>4.6582482760539605E-2</v>
      </c>
      <c r="E38" s="27">
        <f>-E20/E17</f>
        <v>5.0520428906706681E-2</v>
      </c>
      <c r="F38" s="27">
        <f>-F20/F17</f>
        <v>5.3600406634161032E-2</v>
      </c>
      <c r="G38" s="432"/>
      <c r="H38" s="432"/>
      <c r="I38" s="432"/>
      <c r="J38" s="137"/>
      <c r="K38" s="137"/>
      <c r="M38" s="5" t="s">
        <v>153</v>
      </c>
      <c r="O38" s="59"/>
      <c r="P38" s="59"/>
      <c r="Q38" s="59"/>
      <c r="R38" s="59"/>
      <c r="S38" s="59"/>
      <c r="T38" s="59"/>
    </row>
    <row r="39" spans="3:20">
      <c r="C39" s="26" t="s">
        <v>234</v>
      </c>
      <c r="D39" s="27">
        <f>-D21/D17</f>
        <v>6.5822972653369755E-2</v>
      </c>
      <c r="E39" s="27">
        <f>-E21/E17</f>
        <v>6.6573893924984945E-2</v>
      </c>
      <c r="F39" s="27">
        <f>-F21/F17</f>
        <v>6.2896515371147807E-2</v>
      </c>
      <c r="G39" s="432"/>
      <c r="H39" s="432"/>
      <c r="I39" s="432"/>
      <c r="J39" s="137"/>
      <c r="K39" s="137"/>
      <c r="M39" s="5" t="s">
        <v>153</v>
      </c>
      <c r="O39" s="59"/>
      <c r="P39" s="59"/>
      <c r="Q39" s="59"/>
      <c r="R39" s="59"/>
      <c r="S39" s="59"/>
      <c r="T39" s="59"/>
    </row>
    <row r="40" spans="3:20">
      <c r="C40" s="26" t="s">
        <v>0</v>
      </c>
      <c r="D40" s="27">
        <f>-(D27/D26)</f>
        <v>0.25557257381216192</v>
      </c>
      <c r="E40" s="27">
        <f>-(E27/E26)</f>
        <v>0.24556476150353415</v>
      </c>
      <c r="F40" s="27">
        <f>-(F27/F26)</f>
        <v>0.18342180705869443</v>
      </c>
      <c r="G40" s="432"/>
      <c r="H40" s="432"/>
      <c r="I40" s="432"/>
      <c r="J40" s="137"/>
      <c r="K40" s="137"/>
      <c r="M40" s="5" t="s">
        <v>153</v>
      </c>
      <c r="O40" s="29"/>
      <c r="P40" s="29"/>
      <c r="Q40" s="29"/>
      <c r="R40" s="29"/>
      <c r="S40" s="29"/>
      <c r="T40" s="29"/>
    </row>
    <row r="41" spans="3:20">
      <c r="C41" s="28"/>
      <c r="G41" s="58"/>
    </row>
    <row r="42" spans="3:20">
      <c r="C42" s="7" t="s">
        <v>20</v>
      </c>
      <c r="D42" s="13"/>
      <c r="E42" s="13"/>
      <c r="F42" s="13"/>
      <c r="G42" s="9"/>
      <c r="H42" s="9"/>
      <c r="I42" s="9"/>
      <c r="J42" s="9"/>
      <c r="K42" s="9"/>
    </row>
    <row r="43" spans="3:20">
      <c r="C43" s="35" t="str">
        <f>C14</f>
        <v xml:space="preserve">Fiscal year  </v>
      </c>
      <c r="D43" s="30"/>
      <c r="E43" s="30">
        <f t="shared" ref="E43:K44" si="0">E14</f>
        <v>2017</v>
      </c>
      <c r="F43" s="30">
        <f t="shared" si="0"/>
        <v>2018</v>
      </c>
      <c r="G43" s="31">
        <f t="shared" si="0"/>
        <v>2019</v>
      </c>
      <c r="H43" s="31">
        <f t="shared" si="0"/>
        <v>2020</v>
      </c>
      <c r="I43" s="31">
        <f t="shared" si="0"/>
        <v>2021</v>
      </c>
      <c r="J43" s="31">
        <f t="shared" si="0"/>
        <v>2022</v>
      </c>
      <c r="K43" s="31">
        <f t="shared" si="0"/>
        <v>2023</v>
      </c>
    </row>
    <row r="44" spans="3:20">
      <c r="C44" s="9" t="str">
        <f>C15</f>
        <v>Fiscal year end date</v>
      </c>
      <c r="D44" s="32"/>
      <c r="E44" s="32">
        <f t="shared" si="0"/>
        <v>43008</v>
      </c>
      <c r="F44" s="32">
        <f t="shared" si="0"/>
        <v>43372</v>
      </c>
      <c r="G44" s="32">
        <f t="shared" si="0"/>
        <v>43738</v>
      </c>
      <c r="H44" s="32">
        <f t="shared" si="0"/>
        <v>44104</v>
      </c>
      <c r="I44" s="32">
        <f t="shared" si="0"/>
        <v>44469</v>
      </c>
      <c r="J44" s="32">
        <f t="shared" si="0"/>
        <v>44834</v>
      </c>
      <c r="K44" s="32">
        <f t="shared" si="0"/>
        <v>45199</v>
      </c>
    </row>
    <row r="45" spans="3:20">
      <c r="C45" s="5" t="s">
        <v>138</v>
      </c>
      <c r="D45" s="36"/>
      <c r="E45" s="36">
        <f>20289+53892+194714</f>
        <v>268895</v>
      </c>
      <c r="F45" s="36">
        <f>25913+40388+170799</f>
        <v>237100</v>
      </c>
      <c r="G45" s="428"/>
      <c r="H45" s="428"/>
      <c r="I45" s="428"/>
      <c r="J45" s="428"/>
      <c r="K45" s="428"/>
      <c r="M45" s="5" t="s">
        <v>118</v>
      </c>
    </row>
    <row r="46" spans="3:20">
      <c r="C46" s="5" t="s">
        <v>54</v>
      </c>
      <c r="D46" s="36"/>
      <c r="E46" s="36">
        <v>17874</v>
      </c>
      <c r="F46" s="36">
        <v>23186</v>
      </c>
      <c r="G46" s="428"/>
      <c r="H46" s="428"/>
      <c r="I46" s="428"/>
      <c r="J46" s="428"/>
      <c r="K46" s="428"/>
      <c r="M46" s="5" t="s">
        <v>103</v>
      </c>
    </row>
    <row r="47" spans="3:20">
      <c r="C47" s="5" t="s">
        <v>55</v>
      </c>
      <c r="D47" s="36"/>
      <c r="E47" s="36">
        <v>4855</v>
      </c>
      <c r="F47" s="36">
        <v>3956</v>
      </c>
      <c r="G47" s="428"/>
      <c r="H47" s="428"/>
      <c r="I47" s="428"/>
      <c r="J47" s="428"/>
      <c r="K47" s="428"/>
      <c r="M47" s="5" t="s">
        <v>104</v>
      </c>
    </row>
    <row r="48" spans="3:20">
      <c r="C48" s="6" t="s">
        <v>108</v>
      </c>
      <c r="D48" s="37"/>
      <c r="E48" s="37">
        <f>17799+13936</f>
        <v>31735</v>
      </c>
      <c r="F48" s="37">
        <f>25809+12087</f>
        <v>37896</v>
      </c>
      <c r="G48" s="428"/>
      <c r="H48" s="428"/>
      <c r="I48" s="428"/>
      <c r="J48" s="428"/>
      <c r="K48" s="428"/>
      <c r="M48" s="5" t="s">
        <v>103</v>
      </c>
    </row>
    <row r="49" spans="3:13">
      <c r="C49" s="21" t="s">
        <v>21</v>
      </c>
      <c r="D49" s="37"/>
      <c r="E49" s="37">
        <v>33783</v>
      </c>
      <c r="F49" s="37">
        <v>41304</v>
      </c>
      <c r="G49" s="136"/>
      <c r="H49" s="136"/>
      <c r="I49" s="136"/>
      <c r="J49" s="136"/>
      <c r="K49" s="136"/>
      <c r="M49" s="5" t="s">
        <v>105</v>
      </c>
    </row>
    <row r="50" spans="3:13">
      <c r="C50" s="21" t="s">
        <v>56</v>
      </c>
      <c r="D50" s="37"/>
      <c r="E50" s="37">
        <v>18177</v>
      </c>
      <c r="F50" s="37">
        <v>22283</v>
      </c>
      <c r="G50" s="428"/>
      <c r="H50" s="428"/>
      <c r="I50" s="428"/>
      <c r="J50" s="428"/>
      <c r="K50" s="428"/>
      <c r="M50" s="5" t="s">
        <v>103</v>
      </c>
    </row>
    <row r="51" spans="3:13">
      <c r="C51" s="39" t="s">
        <v>22</v>
      </c>
      <c r="D51" s="40"/>
      <c r="E51" s="40">
        <f>SUM(E45:E50)</f>
        <v>375319</v>
      </c>
      <c r="F51" s="40">
        <f>SUM(F45:F50)</f>
        <v>365725</v>
      </c>
      <c r="G51" s="429"/>
      <c r="H51" s="429"/>
      <c r="I51" s="429"/>
      <c r="J51" s="429"/>
      <c r="K51" s="429"/>
    </row>
    <row r="52" spans="3:13">
      <c r="C52" s="41"/>
      <c r="D52" s="42"/>
      <c r="E52" s="42"/>
      <c r="F52" s="42"/>
      <c r="G52" s="431"/>
      <c r="H52" s="431"/>
      <c r="I52" s="431"/>
      <c r="J52" s="431"/>
      <c r="K52" s="431"/>
    </row>
    <row r="53" spans="3:13">
      <c r="C53" s="41" t="s">
        <v>57</v>
      </c>
      <c r="D53" s="37"/>
      <c r="E53" s="37">
        <v>44242</v>
      </c>
      <c r="F53" s="37">
        <v>55888</v>
      </c>
      <c r="G53" s="428"/>
      <c r="H53" s="428"/>
      <c r="I53" s="428"/>
      <c r="J53" s="428"/>
      <c r="K53" s="428"/>
      <c r="M53" s="5" t="s">
        <v>104</v>
      </c>
    </row>
    <row r="54" spans="3:13">
      <c r="C54" s="41" t="s">
        <v>117</v>
      </c>
      <c r="D54" s="37"/>
      <c r="E54" s="37">
        <v>30551</v>
      </c>
      <c r="F54" s="37">
        <v>32687</v>
      </c>
      <c r="G54" s="428"/>
      <c r="H54" s="428"/>
      <c r="I54" s="428"/>
      <c r="J54" s="428"/>
      <c r="K54" s="428"/>
      <c r="M54" s="5" t="s">
        <v>103</v>
      </c>
    </row>
    <row r="55" spans="3:13">
      <c r="C55" s="41" t="s">
        <v>58</v>
      </c>
      <c r="D55" s="37"/>
      <c r="E55" s="37">
        <f>7548+2836</f>
        <v>10384</v>
      </c>
      <c r="F55" s="37">
        <f>7543+2797</f>
        <v>10340</v>
      </c>
      <c r="G55" s="428"/>
      <c r="H55" s="428"/>
      <c r="I55" s="428"/>
      <c r="J55" s="428"/>
      <c r="K55" s="428"/>
      <c r="M55" s="5" t="s">
        <v>103</v>
      </c>
    </row>
    <row r="56" spans="3:13">
      <c r="C56" s="41" t="s">
        <v>60</v>
      </c>
      <c r="D56" s="37"/>
      <c r="E56" s="37">
        <v>11977</v>
      </c>
      <c r="F56" s="37">
        <v>11964</v>
      </c>
      <c r="G56" s="136"/>
      <c r="H56" s="136"/>
      <c r="I56" s="136"/>
      <c r="J56" s="136"/>
      <c r="K56" s="136"/>
      <c r="M56" s="5" t="s">
        <v>106</v>
      </c>
    </row>
    <row r="57" spans="3:13">
      <c r="C57" s="41" t="s">
        <v>122</v>
      </c>
      <c r="D57" s="37"/>
      <c r="E57" s="37">
        <f>6496+97207</f>
        <v>103703</v>
      </c>
      <c r="F57" s="37">
        <f>8784+93735</f>
        <v>102519</v>
      </c>
      <c r="G57" s="428"/>
      <c r="H57" s="428"/>
      <c r="I57" s="428"/>
      <c r="J57" s="428"/>
      <c r="K57" s="428"/>
      <c r="M57" s="5" t="s">
        <v>100</v>
      </c>
    </row>
    <row r="58" spans="3:13" ht="15.75" customHeight="1">
      <c r="C58" s="41" t="s">
        <v>59</v>
      </c>
      <c r="D58" s="37"/>
      <c r="E58" s="37">
        <v>40415</v>
      </c>
      <c r="F58" s="37">
        <v>45180</v>
      </c>
      <c r="G58" s="428"/>
      <c r="H58" s="428"/>
      <c r="I58" s="428"/>
      <c r="J58" s="428"/>
      <c r="K58" s="428"/>
      <c r="L58" s="6"/>
      <c r="M58" t="s">
        <v>103</v>
      </c>
    </row>
    <row r="59" spans="3:13">
      <c r="C59" s="39" t="s">
        <v>24</v>
      </c>
      <c r="D59" s="43"/>
      <c r="E59" s="43">
        <f>SUM(E53:E58)</f>
        <v>241272</v>
      </c>
      <c r="F59" s="43">
        <f>SUM(F53:F58)</f>
        <v>258578</v>
      </c>
      <c r="G59" s="429"/>
      <c r="H59" s="429"/>
      <c r="I59" s="429"/>
      <c r="J59" s="429"/>
      <c r="K59" s="429"/>
    </row>
    <row r="60" spans="3:13">
      <c r="C60" s="39"/>
      <c r="D60" s="43"/>
      <c r="E60" s="43"/>
      <c r="F60" s="43"/>
      <c r="G60" s="135"/>
      <c r="H60" s="135"/>
      <c r="I60" s="135"/>
      <c r="J60" s="135"/>
      <c r="K60" s="135"/>
    </row>
    <row r="61" spans="3:13">
      <c r="C61" s="41" t="s">
        <v>61</v>
      </c>
      <c r="D61" s="37"/>
      <c r="E61" s="37">
        <v>35867</v>
      </c>
      <c r="F61" s="3">
        <v>40201</v>
      </c>
      <c r="G61" s="428"/>
      <c r="H61" s="428"/>
      <c r="I61" s="428"/>
      <c r="J61" s="428"/>
      <c r="K61" s="428"/>
      <c r="M61" s="5" t="s">
        <v>155</v>
      </c>
    </row>
    <row r="62" spans="3:13" ht="15.75" customHeight="1">
      <c r="C62" s="41" t="s">
        <v>44</v>
      </c>
      <c r="D62" s="38"/>
      <c r="E62" s="37">
        <v>98330</v>
      </c>
      <c r="F62" s="3">
        <v>70400</v>
      </c>
      <c r="G62" s="136"/>
      <c r="H62" s="136"/>
      <c r="I62" s="136"/>
      <c r="J62" s="136"/>
      <c r="K62" s="136"/>
      <c r="M62" s="5" t="s">
        <v>107</v>
      </c>
    </row>
    <row r="63" spans="3:13" ht="15.75" customHeight="1">
      <c r="C63" s="41" t="s">
        <v>121</v>
      </c>
      <c r="D63" s="37"/>
      <c r="E63" s="37">
        <v>-150</v>
      </c>
      <c r="F63" s="3">
        <v>-3454</v>
      </c>
      <c r="G63" s="428"/>
      <c r="H63" s="428"/>
      <c r="I63" s="428"/>
      <c r="J63" s="428"/>
      <c r="K63" s="428"/>
      <c r="M63" s="5" t="s">
        <v>100</v>
      </c>
    </row>
    <row r="64" spans="3:13">
      <c r="C64" s="39" t="s">
        <v>25</v>
      </c>
      <c r="D64" s="44"/>
      <c r="E64" s="44">
        <f>SUM(E61:E63)</f>
        <v>134047</v>
      </c>
      <c r="F64" s="44">
        <f>SUM(F61:F63)</f>
        <v>107147</v>
      </c>
      <c r="G64" s="429"/>
      <c r="H64" s="429"/>
      <c r="I64" s="429"/>
      <c r="J64" s="429"/>
      <c r="K64" s="429"/>
    </row>
    <row r="65" spans="3:13">
      <c r="C65" s="6"/>
      <c r="D65" s="45"/>
      <c r="E65" s="45"/>
      <c r="F65" s="45"/>
    </row>
    <row r="66" spans="3:13">
      <c r="C66" s="14" t="s">
        <v>26</v>
      </c>
      <c r="D66" s="46"/>
      <c r="E66" s="46">
        <f t="shared" ref="E66:K66" si="1">ROUND(E51-E59-E64,3)</f>
        <v>0</v>
      </c>
      <c r="F66" s="46">
        <f t="shared" si="1"/>
        <v>0</v>
      </c>
      <c r="G66" s="46">
        <f t="shared" si="1"/>
        <v>0</v>
      </c>
      <c r="H66" s="46">
        <f t="shared" si="1"/>
        <v>0</v>
      </c>
      <c r="I66" s="46">
        <f t="shared" si="1"/>
        <v>0</v>
      </c>
      <c r="J66" s="46">
        <f t="shared" si="1"/>
        <v>0</v>
      </c>
      <c r="K66" s="46">
        <f t="shared" si="1"/>
        <v>0</v>
      </c>
    </row>
    <row r="67" spans="3:13">
      <c r="E67" s="34"/>
      <c r="F67" s="34"/>
      <c r="H67" s="34"/>
      <c r="I67" s="34"/>
      <c r="J67" s="34"/>
      <c r="K67" s="34"/>
    </row>
    <row r="68" spans="3:13">
      <c r="C68" s="7" t="s">
        <v>32</v>
      </c>
      <c r="D68" s="13"/>
      <c r="E68" s="13"/>
      <c r="F68" s="13"/>
      <c r="G68" s="13"/>
      <c r="H68" s="13"/>
      <c r="I68" s="13"/>
      <c r="J68" s="13"/>
      <c r="K68" s="13"/>
    </row>
    <row r="69" spans="3:13">
      <c r="C69" s="35" t="str">
        <f>C14</f>
        <v xml:space="preserve">Fiscal year  </v>
      </c>
      <c r="D69" s="30"/>
      <c r="E69" s="30"/>
      <c r="F69" s="30"/>
      <c r="G69" s="31">
        <f t="shared" ref="G69:K70" si="2">G14</f>
        <v>2019</v>
      </c>
      <c r="H69" s="31">
        <f t="shared" si="2"/>
        <v>2020</v>
      </c>
      <c r="I69" s="31">
        <f t="shared" si="2"/>
        <v>2021</v>
      </c>
      <c r="J69" s="31">
        <f t="shared" si="2"/>
        <v>2022</v>
      </c>
      <c r="K69" s="31">
        <f t="shared" si="2"/>
        <v>2023</v>
      </c>
    </row>
    <row r="70" spans="3:13">
      <c r="C70" s="9" t="str">
        <f>C15</f>
        <v>Fiscal year end date</v>
      </c>
      <c r="D70" s="32"/>
      <c r="E70" s="32"/>
      <c r="F70" s="32"/>
      <c r="G70" s="32">
        <f t="shared" si="2"/>
        <v>43738</v>
      </c>
      <c r="H70" s="32">
        <f t="shared" si="2"/>
        <v>44104</v>
      </c>
      <c r="I70" s="32">
        <f t="shared" si="2"/>
        <v>44469</v>
      </c>
      <c r="J70" s="32">
        <f t="shared" si="2"/>
        <v>44834</v>
      </c>
      <c r="K70" s="32">
        <f t="shared" si="2"/>
        <v>45199</v>
      </c>
    </row>
    <row r="72" spans="3:13">
      <c r="C72" s="6" t="s">
        <v>2</v>
      </c>
      <c r="D72" s="50"/>
      <c r="E72" s="50"/>
      <c r="F72" s="50"/>
      <c r="G72" s="428"/>
      <c r="H72" s="428"/>
      <c r="I72" s="428"/>
      <c r="J72" s="428"/>
      <c r="K72" s="428"/>
      <c r="M72" s="24"/>
    </row>
    <row r="73" spans="3:13">
      <c r="C73" s="6" t="s">
        <v>33</v>
      </c>
      <c r="D73" s="50"/>
      <c r="E73" s="50"/>
      <c r="F73" s="50"/>
      <c r="G73" s="136"/>
      <c r="H73" s="136"/>
      <c r="I73" s="136"/>
      <c r="J73" s="136"/>
      <c r="K73" s="136"/>
    </row>
    <row r="74" spans="3:13">
      <c r="C74" s="6" t="s">
        <v>74</v>
      </c>
      <c r="D74" s="50"/>
      <c r="E74" s="50"/>
      <c r="F74" s="50"/>
      <c r="G74" s="428"/>
      <c r="H74" s="428"/>
      <c r="I74" s="428"/>
      <c r="J74" s="428"/>
      <c r="K74" s="428"/>
    </row>
    <row r="75" spans="3:13">
      <c r="C75" s="6" t="s">
        <v>65</v>
      </c>
      <c r="D75" s="22"/>
      <c r="E75" s="22"/>
      <c r="F75" s="22"/>
      <c r="G75" s="428"/>
      <c r="H75" s="428"/>
      <c r="I75" s="428"/>
      <c r="J75" s="428"/>
      <c r="K75" s="428"/>
    </row>
    <row r="76" spans="3:13">
      <c r="C76" s="6" t="s">
        <v>66</v>
      </c>
      <c r="D76" s="22"/>
      <c r="E76" s="22"/>
      <c r="F76" s="22"/>
      <c r="G76" s="428"/>
      <c r="H76" s="428"/>
      <c r="I76" s="428"/>
      <c r="J76" s="428"/>
      <c r="K76" s="428"/>
    </row>
    <row r="77" spans="3:13">
      <c r="C77" s="21" t="s">
        <v>56</v>
      </c>
      <c r="E77" s="6"/>
      <c r="F77" s="6"/>
      <c r="G77" s="136"/>
      <c r="H77" s="136"/>
      <c r="I77" s="136"/>
      <c r="J77" s="136"/>
      <c r="K77" s="136"/>
      <c r="L77" s="6"/>
      <c r="M77" s="5" t="s">
        <v>127</v>
      </c>
    </row>
    <row r="78" spans="3:13">
      <c r="C78" s="21" t="s">
        <v>59</v>
      </c>
      <c r="E78" s="6"/>
      <c r="F78" s="6"/>
      <c r="G78" s="428"/>
      <c r="H78" s="428"/>
      <c r="I78" s="428"/>
      <c r="J78" s="428"/>
      <c r="K78" s="428"/>
      <c r="L78" s="6"/>
      <c r="M78" s="24"/>
    </row>
    <row r="79" spans="3:13">
      <c r="C79" s="19" t="s">
        <v>34</v>
      </c>
      <c r="G79" s="429"/>
      <c r="H79" s="429"/>
      <c r="I79" s="429"/>
      <c r="J79" s="429"/>
      <c r="K79" s="429"/>
    </row>
    <row r="80" spans="3:13">
      <c r="C80" s="6"/>
      <c r="G80" s="135"/>
      <c r="H80" s="135"/>
      <c r="I80" s="135"/>
      <c r="J80" s="135"/>
      <c r="K80" s="135"/>
    </row>
    <row r="81" spans="3:13">
      <c r="C81" s="6" t="s">
        <v>35</v>
      </c>
      <c r="G81" s="136"/>
      <c r="H81" s="136"/>
      <c r="I81" s="136"/>
      <c r="J81" s="136"/>
      <c r="K81" s="136"/>
    </row>
    <row r="82" spans="3:13">
      <c r="C82" s="19" t="s">
        <v>36</v>
      </c>
      <c r="G82" s="429"/>
      <c r="H82" s="429"/>
      <c r="I82" s="429"/>
      <c r="J82" s="429"/>
      <c r="K82" s="429"/>
    </row>
    <row r="83" spans="3:13">
      <c r="C83" s="6"/>
      <c r="G83" s="431"/>
      <c r="H83" s="431"/>
      <c r="I83" s="431"/>
      <c r="J83" s="431"/>
      <c r="K83" s="431"/>
    </row>
    <row r="84" spans="3:13">
      <c r="C84" s="6" t="s">
        <v>67</v>
      </c>
      <c r="G84" s="433"/>
      <c r="H84" s="433"/>
      <c r="I84" s="433"/>
      <c r="J84" s="433"/>
      <c r="K84" s="433"/>
    </row>
    <row r="85" spans="3:13">
      <c r="C85" s="6" t="s">
        <v>23</v>
      </c>
      <c r="G85" s="136"/>
      <c r="H85" s="136"/>
      <c r="I85" s="136"/>
      <c r="J85" s="136"/>
      <c r="K85" s="136"/>
    </row>
    <row r="86" spans="3:13">
      <c r="C86" s="21" t="s">
        <v>70</v>
      </c>
      <c r="G86" s="136"/>
      <c r="H86" s="136"/>
      <c r="I86" s="136"/>
      <c r="J86" s="136"/>
      <c r="K86" s="136"/>
    </row>
    <row r="87" spans="3:13">
      <c r="C87" s="21" t="s">
        <v>71</v>
      </c>
      <c r="G87" s="136"/>
      <c r="H87" s="136"/>
      <c r="I87" s="136"/>
      <c r="J87" s="136"/>
      <c r="K87" s="136"/>
    </row>
    <row r="88" spans="3:13">
      <c r="C88" s="19" t="s">
        <v>37</v>
      </c>
      <c r="G88" s="429"/>
      <c r="H88" s="429"/>
      <c r="I88" s="429"/>
      <c r="J88" s="429"/>
      <c r="K88" s="429"/>
    </row>
    <row r="89" spans="3:13">
      <c r="G89" s="431"/>
      <c r="H89" s="431"/>
      <c r="I89" s="431"/>
      <c r="J89" s="431"/>
      <c r="K89" s="431"/>
    </row>
    <row r="90" spans="3:13">
      <c r="C90" s="24" t="s">
        <v>38</v>
      </c>
      <c r="G90" s="429"/>
      <c r="H90" s="429"/>
      <c r="I90" s="429"/>
      <c r="J90" s="429"/>
      <c r="K90" s="429"/>
    </row>
    <row r="92" spans="3:13">
      <c r="C92" s="7" t="s">
        <v>29</v>
      </c>
      <c r="D92" s="9"/>
      <c r="E92" s="9"/>
      <c r="F92" s="9"/>
      <c r="G92" s="9"/>
      <c r="H92" s="9"/>
      <c r="I92" s="9"/>
      <c r="J92" s="9"/>
      <c r="K92" s="9"/>
    </row>
    <row r="93" spans="3:13">
      <c r="C93" s="35" t="str">
        <f t="shared" ref="C93:K93" si="3">C14</f>
        <v xml:space="preserve">Fiscal year  </v>
      </c>
      <c r="D93" s="30">
        <f t="shared" si="3"/>
        <v>2016</v>
      </c>
      <c r="E93" s="30">
        <f t="shared" si="3"/>
        <v>2017</v>
      </c>
      <c r="F93" s="30">
        <f t="shared" si="3"/>
        <v>2018</v>
      </c>
      <c r="G93" s="31">
        <f t="shared" si="3"/>
        <v>2019</v>
      </c>
      <c r="H93" s="31">
        <f t="shared" si="3"/>
        <v>2020</v>
      </c>
      <c r="I93" s="31">
        <f t="shared" si="3"/>
        <v>2021</v>
      </c>
      <c r="J93" s="31">
        <f t="shared" si="3"/>
        <v>2022</v>
      </c>
      <c r="K93" s="31">
        <f t="shared" si="3"/>
        <v>2023</v>
      </c>
    </row>
    <row r="94" spans="3:13">
      <c r="C94" s="9" t="str">
        <f t="shared" ref="C94:K94" si="4">C15</f>
        <v>Fiscal year end date</v>
      </c>
      <c r="D94" s="32">
        <f t="shared" si="4"/>
        <v>42643</v>
      </c>
      <c r="E94" s="32">
        <f t="shared" si="4"/>
        <v>43008</v>
      </c>
      <c r="F94" s="32">
        <f t="shared" si="4"/>
        <v>43372</v>
      </c>
      <c r="G94" s="32">
        <f t="shared" si="4"/>
        <v>43738</v>
      </c>
      <c r="H94" s="32">
        <f t="shared" si="4"/>
        <v>44104</v>
      </c>
      <c r="I94" s="32">
        <f t="shared" si="4"/>
        <v>44469</v>
      </c>
      <c r="J94" s="32">
        <f t="shared" si="4"/>
        <v>44834</v>
      </c>
      <c r="K94" s="32">
        <f t="shared" si="4"/>
        <v>45199</v>
      </c>
    </row>
    <row r="95" spans="3:13">
      <c r="C95" s="19"/>
      <c r="G95" s="110" t="s">
        <v>116</v>
      </c>
      <c r="H95" s="110"/>
      <c r="I95" s="110"/>
      <c r="J95" s="110"/>
      <c r="K95" s="110"/>
    </row>
    <row r="96" spans="3:13">
      <c r="C96" s="41" t="s">
        <v>27</v>
      </c>
      <c r="F96" s="6"/>
      <c r="G96" s="143"/>
      <c r="H96" s="143"/>
      <c r="I96" s="143"/>
      <c r="J96" s="143"/>
      <c r="K96" s="143"/>
      <c r="L96" s="6"/>
      <c r="M96" s="5" t="s">
        <v>167</v>
      </c>
    </row>
    <row r="97" spans="3:17">
      <c r="C97" s="47" t="s">
        <v>30</v>
      </c>
      <c r="D97" s="3">
        <v>12734</v>
      </c>
      <c r="E97" s="3">
        <v>12451</v>
      </c>
      <c r="F97" s="71">
        <v>13313</v>
      </c>
      <c r="G97" s="71">
        <v>13285</v>
      </c>
      <c r="H97" s="71">
        <v>13649</v>
      </c>
      <c r="I97" s="71">
        <v>13819</v>
      </c>
      <c r="J97" s="71">
        <v>14000</v>
      </c>
      <c r="K97" s="71">
        <v>14200</v>
      </c>
      <c r="L97" s="6"/>
      <c r="M97" s="5" t="s">
        <v>154</v>
      </c>
    </row>
    <row r="98" spans="3:17">
      <c r="C98" s="103" t="s">
        <v>31</v>
      </c>
      <c r="D98" s="95">
        <v>-8300</v>
      </c>
      <c r="E98" s="95">
        <v>-8200</v>
      </c>
      <c r="F98" s="95">
        <v>-9300</v>
      </c>
      <c r="G98" s="148"/>
      <c r="H98" s="148"/>
      <c r="I98" s="148"/>
      <c r="J98" s="148"/>
      <c r="K98" s="148"/>
      <c r="L98" s="6"/>
      <c r="M98" s="5" t="s">
        <v>166</v>
      </c>
    </row>
    <row r="99" spans="3:17">
      <c r="C99" s="54" t="s">
        <v>28</v>
      </c>
      <c r="D99" s="51"/>
      <c r="E99" s="51">
        <f>E49</f>
        <v>33783</v>
      </c>
      <c r="F99" s="51">
        <f>F49</f>
        <v>41304</v>
      </c>
      <c r="G99" s="146"/>
      <c r="H99" s="146"/>
      <c r="I99" s="146"/>
      <c r="J99" s="146"/>
      <c r="K99" s="146"/>
      <c r="L99" s="6"/>
      <c r="M99" s="5" t="s">
        <v>165</v>
      </c>
    </row>
    <row r="100" spans="3:17">
      <c r="C100" s="41"/>
      <c r="F100" s="6"/>
      <c r="G100" s="6"/>
      <c r="H100" s="6"/>
      <c r="I100" s="6"/>
      <c r="J100" s="6"/>
      <c r="K100" s="6"/>
      <c r="L100" s="6"/>
      <c r="M100" s="25" t="s">
        <v>48</v>
      </c>
    </row>
    <row r="101" spans="3:17" customFormat="1">
      <c r="C101" s="41" t="s">
        <v>123</v>
      </c>
      <c r="D101" s="4">
        <f>-(D98/D97)</f>
        <v>0.65179833516569818</v>
      </c>
      <c r="E101" s="4">
        <f>-(E98/E97)</f>
        <v>0.6585816400289134</v>
      </c>
      <c r="F101" s="80">
        <f>-(F98/F97)</f>
        <v>0.69856531210095396</v>
      </c>
      <c r="G101" s="134"/>
      <c r="H101" s="134"/>
      <c r="I101" s="134"/>
      <c r="J101" s="134"/>
      <c r="K101" s="134"/>
      <c r="L101" s="6"/>
      <c r="M101" s="88">
        <v>0.02</v>
      </c>
    </row>
    <row r="102" spans="3:17">
      <c r="C102" s="41"/>
      <c r="D102" s="4"/>
      <c r="E102" s="4"/>
      <c r="F102" s="80"/>
      <c r="G102" s="27"/>
      <c r="H102" s="27"/>
      <c r="I102" s="27"/>
      <c r="J102" s="27"/>
      <c r="K102" s="27"/>
      <c r="L102" s="6"/>
      <c r="O102" s="98"/>
      <c r="P102" s="98"/>
      <c r="Q102" s="98"/>
    </row>
    <row r="103" spans="3:17">
      <c r="C103" s="128" t="s">
        <v>130</v>
      </c>
      <c r="D103" s="48"/>
      <c r="E103" s="48"/>
      <c r="F103" s="48"/>
      <c r="G103" s="129"/>
      <c r="H103" s="129"/>
      <c r="I103" s="129"/>
      <c r="J103" s="129"/>
      <c r="K103" s="129"/>
      <c r="L103" s="6"/>
      <c r="O103" s="98"/>
      <c r="P103" s="98"/>
      <c r="Q103" s="98"/>
    </row>
    <row r="104" spans="3:17">
      <c r="C104" s="41" t="s">
        <v>156</v>
      </c>
      <c r="D104" s="22">
        <f>D106+D98</f>
        <v>2205</v>
      </c>
      <c r="E104" s="22">
        <f>E106+E98</f>
        <v>1957</v>
      </c>
      <c r="F104" s="22">
        <f>F106+F98</f>
        <v>1603</v>
      </c>
      <c r="G104" s="141"/>
      <c r="H104" s="141"/>
      <c r="I104" s="141"/>
      <c r="J104" s="141"/>
      <c r="K104" s="141"/>
      <c r="L104" s="6"/>
      <c r="M104" s="5" t="s">
        <v>238</v>
      </c>
      <c r="O104" s="98"/>
      <c r="P104" s="98"/>
      <c r="Q104" s="98"/>
    </row>
    <row r="105" spans="3:17">
      <c r="C105" s="26" t="s">
        <v>157</v>
      </c>
      <c r="D105" s="93">
        <f>D104/D17</f>
        <v>1.0225423044996499E-2</v>
      </c>
      <c r="E105" s="93">
        <f>E104/E17</f>
        <v>8.537128000209393E-3</v>
      </c>
      <c r="F105" s="100">
        <f>F104/F17</f>
        <v>6.0355051864681188E-3</v>
      </c>
      <c r="G105" s="134"/>
      <c r="H105" s="134"/>
      <c r="I105" s="134"/>
      <c r="J105" s="134"/>
      <c r="K105" s="134"/>
      <c r="L105" s="6"/>
      <c r="M105" s="5" t="s">
        <v>158</v>
      </c>
      <c r="O105" s="98"/>
      <c r="P105" s="98"/>
      <c r="Q105" s="98"/>
    </row>
    <row r="106" spans="3:17">
      <c r="C106" s="39" t="s">
        <v>110</v>
      </c>
      <c r="D106" s="51">
        <f>D30</f>
        <v>10505</v>
      </c>
      <c r="E106" s="51">
        <f>E30</f>
        <v>10157</v>
      </c>
      <c r="F106" s="51">
        <f>F30</f>
        <v>10903</v>
      </c>
      <c r="G106" s="142"/>
      <c r="H106" s="142"/>
      <c r="I106" s="142"/>
      <c r="J106" s="142"/>
      <c r="K106" s="142"/>
      <c r="M106" s="5" t="s">
        <v>160</v>
      </c>
      <c r="O106" s="98"/>
      <c r="P106" s="98"/>
      <c r="Q106" s="98"/>
    </row>
    <row r="107" spans="3:17">
      <c r="G107" s="6"/>
      <c r="H107" s="22"/>
      <c r="I107" s="22"/>
      <c r="J107" s="22"/>
      <c r="K107" s="22"/>
    </row>
    <row r="108" spans="3:17">
      <c r="C108" s="127" t="s">
        <v>129</v>
      </c>
      <c r="D108" s="9"/>
      <c r="E108" s="9"/>
      <c r="F108" s="9"/>
      <c r="G108" s="6"/>
      <c r="H108" s="22"/>
      <c r="I108" s="22"/>
      <c r="J108" s="22"/>
      <c r="K108" s="22"/>
    </row>
    <row r="109" spans="3:17" ht="15" customHeight="1">
      <c r="C109" s="41" t="s">
        <v>27</v>
      </c>
      <c r="D109" s="22"/>
      <c r="E109" s="6"/>
      <c r="F109" s="6"/>
      <c r="G109" s="156"/>
      <c r="H109" s="156"/>
      <c r="I109" s="156"/>
      <c r="J109" s="156"/>
      <c r="K109" s="156"/>
      <c r="M109" s="5" t="s">
        <v>167</v>
      </c>
    </row>
    <row r="110" spans="3:17">
      <c r="C110" s="26" t="s">
        <v>161</v>
      </c>
      <c r="G110" s="22">
        <f>-(G104)</f>
        <v>0</v>
      </c>
      <c r="H110" s="22">
        <f>-(H104)</f>
        <v>0</v>
      </c>
      <c r="I110" s="22">
        <f>-(I104)</f>
        <v>0</v>
      </c>
      <c r="J110" s="22">
        <f>-(J104)</f>
        <v>0</v>
      </c>
      <c r="K110" s="22">
        <f>-(K104)</f>
        <v>0</v>
      </c>
      <c r="M110" s="5" t="s">
        <v>162</v>
      </c>
    </row>
    <row r="111" spans="3:17" ht="15" customHeight="1">
      <c r="C111" s="111" t="s">
        <v>125</v>
      </c>
      <c r="D111" s="101"/>
      <c r="E111" s="101"/>
      <c r="F111" s="101"/>
      <c r="G111" s="155"/>
      <c r="H111" s="155"/>
      <c r="I111" s="155"/>
      <c r="J111" s="155"/>
      <c r="K111" s="155"/>
      <c r="M111" s="5" t="s">
        <v>168</v>
      </c>
    </row>
    <row r="112" spans="3:17">
      <c r="C112" s="54" t="s">
        <v>28</v>
      </c>
      <c r="D112" s="6"/>
      <c r="E112" s="51">
        <f t="shared" ref="E112:K112" si="5">E50</f>
        <v>18177</v>
      </c>
      <c r="F112" s="51">
        <f t="shared" si="5"/>
        <v>22283</v>
      </c>
      <c r="G112" s="51">
        <f t="shared" si="5"/>
        <v>0</v>
      </c>
      <c r="H112" s="51">
        <f t="shared" si="5"/>
        <v>0</v>
      </c>
      <c r="I112" s="51">
        <f t="shared" si="5"/>
        <v>0</v>
      </c>
      <c r="J112" s="51">
        <f t="shared" si="5"/>
        <v>0</v>
      </c>
      <c r="K112" s="51">
        <f t="shared" si="5"/>
        <v>0</v>
      </c>
      <c r="M112" s="5" t="s">
        <v>169</v>
      </c>
    </row>
    <row r="113" spans="3:13">
      <c r="C113" s="26"/>
      <c r="E113" s="34"/>
      <c r="F113" s="34"/>
      <c r="G113" s="6"/>
      <c r="H113" s="22"/>
      <c r="I113" s="22"/>
      <c r="J113" s="22"/>
      <c r="K113" s="22"/>
    </row>
    <row r="114" spans="3:13">
      <c r="C114" s="74" t="s">
        <v>75</v>
      </c>
      <c r="D114" s="70"/>
      <c r="E114" s="70"/>
      <c r="F114" s="70"/>
      <c r="G114" s="9"/>
      <c r="H114" s="9"/>
      <c r="I114" s="9"/>
      <c r="J114" s="9"/>
      <c r="K114" s="9"/>
    </row>
    <row r="115" spans="3:13">
      <c r="C115" s="41" t="s">
        <v>27</v>
      </c>
      <c r="D115" s="6"/>
      <c r="E115" s="6"/>
      <c r="F115" s="6"/>
      <c r="G115" s="145"/>
      <c r="H115" s="145"/>
      <c r="I115" s="145"/>
      <c r="J115" s="145"/>
      <c r="K115" s="145"/>
      <c r="M115" s="5" t="s">
        <v>167</v>
      </c>
    </row>
    <row r="116" spans="3:13">
      <c r="C116" s="26" t="s">
        <v>62</v>
      </c>
      <c r="D116" s="33">
        <f>D28</f>
        <v>45687</v>
      </c>
      <c r="E116" s="33">
        <f>E28</f>
        <v>48351</v>
      </c>
      <c r="F116" s="33">
        <f>F28</f>
        <v>59531</v>
      </c>
      <c r="G116" s="145"/>
      <c r="H116" s="145"/>
      <c r="I116" s="145"/>
      <c r="J116" s="145"/>
      <c r="K116" s="145"/>
      <c r="M116" s="5" t="s">
        <v>101</v>
      </c>
    </row>
    <row r="117" spans="3:13">
      <c r="C117" s="26" t="s">
        <v>63</v>
      </c>
      <c r="D117" s="3">
        <v>-12188</v>
      </c>
      <c r="E117" s="3">
        <v>-12803</v>
      </c>
      <c r="F117" s="3">
        <v>-13735</v>
      </c>
      <c r="G117" s="145"/>
      <c r="H117" s="145"/>
      <c r="I117" s="145"/>
      <c r="J117" s="145"/>
      <c r="K117" s="145"/>
      <c r="M117" s="5" t="s">
        <v>163</v>
      </c>
    </row>
    <row r="118" spans="3:13">
      <c r="C118" s="104" t="s">
        <v>64</v>
      </c>
      <c r="D118" s="95">
        <v>-29000</v>
      </c>
      <c r="E118" s="95">
        <v>-33001</v>
      </c>
      <c r="F118" s="95">
        <v>-73056</v>
      </c>
      <c r="G118" s="150"/>
      <c r="H118" s="150"/>
      <c r="I118" s="150"/>
      <c r="J118" s="150"/>
      <c r="K118" s="150"/>
      <c r="M118" s="5" t="s">
        <v>236</v>
      </c>
    </row>
    <row r="119" spans="3:13">
      <c r="C119" s="83" t="s">
        <v>28</v>
      </c>
      <c r="D119" s="23">
        <f>D62</f>
        <v>0</v>
      </c>
      <c r="E119" s="23">
        <f>E62</f>
        <v>98330</v>
      </c>
      <c r="F119" s="23">
        <f>F62</f>
        <v>70400</v>
      </c>
      <c r="G119" s="149"/>
      <c r="H119" s="149"/>
      <c r="I119" s="149"/>
      <c r="J119" s="149"/>
      <c r="K119" s="149"/>
      <c r="M119" s="5" t="s">
        <v>164</v>
      </c>
    </row>
    <row r="120" spans="3:13">
      <c r="E120" s="68"/>
      <c r="F120" s="68"/>
    </row>
  </sheetData>
  <conditionalFormatting sqref="C39">
    <cfRule type="expression" dxfId="25" priority="3">
      <formula>#REF!=$C39</formula>
    </cfRule>
  </conditionalFormatting>
  <dataValidations disablePrompts="1" count="2">
    <dataValidation type="list" allowBlank="1" showInputMessage="1" showErrorMessage="1" sqref="D7" xr:uid="{A4334518-F1B1-4909-A556-B5CEE49FC183}">
      <formula1>"0,1"</formula1>
    </dataValidation>
    <dataValidation type="list" allowBlank="1" showInputMessage="1" showErrorMessage="1" sqref="C3" xr:uid="{FCC6ED00-C6F6-4723-BB61-A6CCA5F6A9E3}">
      <formula1>"$ bns except per share, $ mm except per share,$ in thousands except per share"</formula1>
    </dataValidation>
  </dataValidations>
  <pageMargins left="0.7" right="0.7" top="0.75" bottom="0.75" header="0.3" footer="0.3"/>
  <pageSetup scale="23"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C9D69-961A-4718-882C-A41746680855}">
  <sheetPr>
    <pageSetUpPr fitToPage="1"/>
  </sheetPr>
  <dimension ref="C1:O75"/>
  <sheetViews>
    <sheetView topLeftCell="A33" zoomScaleNormal="100" workbookViewId="0">
      <selection activeCell="F69" sqref="F69"/>
    </sheetView>
  </sheetViews>
  <sheetFormatPr defaultColWidth="8.85546875" defaultRowHeight="15"/>
  <cols>
    <col min="1" max="2" width="1.7109375" style="5" customWidth="1"/>
    <col min="3" max="3" width="48" style="5" customWidth="1"/>
    <col min="4" max="4" width="12" style="5" customWidth="1"/>
    <col min="5" max="6" width="11.42578125" style="5" customWidth="1"/>
    <col min="7" max="7" width="2.28515625" style="5" customWidth="1"/>
    <col min="8" max="8" width="11.42578125" style="5" customWidth="1"/>
    <col min="9" max="9" width="11.85546875" style="5" customWidth="1"/>
    <col min="10" max="12" width="10.28515625" style="5" bestFit="1" customWidth="1"/>
    <col min="13" max="14" width="9.42578125" style="5" bestFit="1" customWidth="1"/>
    <col min="15" max="16384" width="8.85546875" style="5"/>
  </cols>
  <sheetData>
    <row r="1" spans="3:15" ht="15.75" thickBot="1"/>
    <row r="2" spans="3:15" ht="15.75" thickBot="1">
      <c r="C2" s="96" t="str">
        <f>"Financial Statement Model for "&amp;D5</f>
        <v>Financial Statement Model for Apple</v>
      </c>
      <c r="D2" s="79"/>
      <c r="E2" s="79"/>
      <c r="F2" s="79"/>
      <c r="H2" s="87"/>
    </row>
    <row r="3" spans="3:15">
      <c r="C3" s="2" t="s">
        <v>46</v>
      </c>
      <c r="D3" s="64"/>
      <c r="E3" s="64"/>
      <c r="F3" s="64"/>
    </row>
    <row r="4" spans="3:15">
      <c r="J4" s="6"/>
      <c r="K4" s="6"/>
    </row>
    <row r="5" spans="3:15">
      <c r="C5" s="1" t="s">
        <v>5</v>
      </c>
      <c r="D5" s="112" t="s">
        <v>50</v>
      </c>
      <c r="F5"/>
      <c r="J5" s="6"/>
      <c r="K5" s="6"/>
    </row>
    <row r="6" spans="3:15">
      <c r="C6" s="1" t="s">
        <v>6</v>
      </c>
      <c r="D6" s="112" t="s">
        <v>51</v>
      </c>
      <c r="F6"/>
      <c r="J6" s="6"/>
      <c r="K6" s="6"/>
    </row>
    <row r="7" spans="3:15">
      <c r="C7" s="5" t="s">
        <v>109</v>
      </c>
      <c r="D7" s="113">
        <v>1</v>
      </c>
      <c r="F7"/>
      <c r="I7"/>
      <c r="J7" s="6"/>
      <c r="K7" s="6"/>
    </row>
    <row r="8" spans="3:15">
      <c r="C8" s="5" t="s">
        <v>73</v>
      </c>
      <c r="D8" s="114">
        <v>171.25</v>
      </c>
      <c r="F8"/>
      <c r="J8" s="6"/>
      <c r="K8" s="6"/>
    </row>
    <row r="9" spans="3:15">
      <c r="C9" s="5" t="s">
        <v>9</v>
      </c>
      <c r="D9" s="115">
        <v>43500</v>
      </c>
      <c r="F9"/>
      <c r="J9" s="6"/>
      <c r="K9" s="6"/>
    </row>
    <row r="10" spans="3:15">
      <c r="C10" s="1" t="s">
        <v>8</v>
      </c>
      <c r="D10" s="116">
        <v>43372</v>
      </c>
      <c r="J10" s="6"/>
      <c r="K10" s="6"/>
    </row>
    <row r="11" spans="3:15" ht="15" customHeight="1">
      <c r="C11" t="s">
        <v>292</v>
      </c>
      <c r="D11" s="130">
        <v>4745.3980000000001</v>
      </c>
      <c r="J11" s="6"/>
      <c r="K11" s="6"/>
    </row>
    <row r="12" spans="3:15">
      <c r="J12" s="6"/>
      <c r="K12" s="6"/>
    </row>
    <row r="13" spans="3:15">
      <c r="C13" s="7" t="s">
        <v>19</v>
      </c>
      <c r="D13" s="9"/>
      <c r="E13" s="9"/>
      <c r="F13" s="9"/>
      <c r="L13" s="6"/>
    </row>
    <row r="14" spans="3:15">
      <c r="C14" s="6" t="s">
        <v>10</v>
      </c>
      <c r="D14" s="10">
        <f>E14-1</f>
        <v>2016</v>
      </c>
      <c r="E14" s="10">
        <f>F14-1</f>
        <v>2017</v>
      </c>
      <c r="F14" s="10">
        <f>YEAR(D10)</f>
        <v>2018</v>
      </c>
      <c r="H14" s="140"/>
      <c r="L14" s="6"/>
    </row>
    <row r="15" spans="3:15">
      <c r="C15" s="12" t="s">
        <v>7</v>
      </c>
      <c r="D15" s="89">
        <f>EOMONTH(E15,-12)</f>
        <v>42643</v>
      </c>
      <c r="E15" s="89">
        <f>EOMONTH(F15,-12)</f>
        <v>43008</v>
      </c>
      <c r="F15" s="89">
        <f>D10</f>
        <v>43372</v>
      </c>
      <c r="H15"/>
      <c r="I15"/>
      <c r="J15"/>
      <c r="K15"/>
      <c r="L15"/>
      <c r="M15"/>
      <c r="N15"/>
      <c r="O15"/>
    </row>
    <row r="16" spans="3:15">
      <c r="C16" s="14"/>
      <c r="D16" s="15"/>
      <c r="E16" s="16"/>
      <c r="F16" s="16"/>
      <c r="H16"/>
      <c r="I16"/>
      <c r="J16"/>
      <c r="K16"/>
      <c r="L16"/>
      <c r="M16"/>
      <c r="N16"/>
      <c r="O16"/>
    </row>
    <row r="17" spans="3:10">
      <c r="C17" s="6" t="s">
        <v>11</v>
      </c>
      <c r="D17" s="416">
        <v>215639</v>
      </c>
      <c r="E17" s="416">
        <v>229234</v>
      </c>
      <c r="F17" s="416">
        <v>265595</v>
      </c>
      <c r="H17" s="68"/>
      <c r="I17" s="68"/>
      <c r="J17" s="68"/>
    </row>
    <row r="18" spans="3:10" ht="15" customHeight="1">
      <c r="C18" s="6" t="s">
        <v>14</v>
      </c>
      <c r="D18" s="419">
        <v>-131376</v>
      </c>
      <c r="E18" s="419">
        <v>-141048</v>
      </c>
      <c r="F18" s="419">
        <v>-163756</v>
      </c>
      <c r="H18" s="68"/>
      <c r="I18" s="68"/>
      <c r="J18" s="68"/>
    </row>
    <row r="19" spans="3:10" ht="15" customHeight="1">
      <c r="C19" s="19" t="s">
        <v>13</v>
      </c>
      <c r="D19" s="421">
        <f>SUM(D17:D18)</f>
        <v>84263</v>
      </c>
      <c r="E19" s="421">
        <f>SUM(E17:E18)</f>
        <v>88186</v>
      </c>
      <c r="F19" s="421">
        <f>SUM(F17:F18)</f>
        <v>101839</v>
      </c>
      <c r="H19" s="414"/>
      <c r="I19" s="68"/>
      <c r="J19" s="68"/>
    </row>
    <row r="20" spans="3:10" ht="15" customHeight="1">
      <c r="C20" s="21" t="s">
        <v>52</v>
      </c>
      <c r="D20" s="419">
        <v>-10045</v>
      </c>
      <c r="E20" s="419">
        <v>-11581</v>
      </c>
      <c r="F20" s="419">
        <v>-14236</v>
      </c>
      <c r="H20" s="414"/>
      <c r="I20" s="68"/>
      <c r="J20" s="68"/>
    </row>
    <row r="21" spans="3:10" ht="15" customHeight="1">
      <c r="C21" s="21" t="s">
        <v>16</v>
      </c>
      <c r="D21" s="419">
        <v>-14194</v>
      </c>
      <c r="E21" s="419">
        <v>-15261</v>
      </c>
      <c r="F21" s="419">
        <v>-16705</v>
      </c>
      <c r="H21" s="414"/>
      <c r="I21" s="68"/>
      <c r="J21" s="68"/>
    </row>
    <row r="22" spans="3:10">
      <c r="C22" s="19" t="s">
        <v>3</v>
      </c>
      <c r="D22" s="142">
        <f>SUM(D19:D21)</f>
        <v>60024</v>
      </c>
      <c r="E22" s="142">
        <f>SUM(E19:E21)</f>
        <v>61344</v>
      </c>
      <c r="F22" s="142">
        <f>SUM(F19:F21)</f>
        <v>70898</v>
      </c>
      <c r="H22" s="415"/>
      <c r="I22" s="68"/>
      <c r="J22" s="68"/>
    </row>
    <row r="23" spans="3:10">
      <c r="C23" s="6" t="s">
        <v>4</v>
      </c>
      <c r="D23" s="417">
        <v>3999</v>
      </c>
      <c r="E23" s="417">
        <v>5201</v>
      </c>
      <c r="F23" s="417">
        <v>5686</v>
      </c>
      <c r="H23" s="68"/>
      <c r="I23" s="68"/>
      <c r="J23" s="68"/>
    </row>
    <row r="24" spans="3:10">
      <c r="C24" s="6" t="s">
        <v>17</v>
      </c>
      <c r="D24" s="417">
        <v>-1456</v>
      </c>
      <c r="E24" s="417">
        <v>-2323</v>
      </c>
      <c r="F24" s="417">
        <v>-3240</v>
      </c>
      <c r="H24" s="68"/>
      <c r="I24" s="68"/>
      <c r="J24" s="68"/>
    </row>
    <row r="25" spans="3:10">
      <c r="C25" s="21" t="s">
        <v>53</v>
      </c>
      <c r="D25" s="417">
        <v>-1195</v>
      </c>
      <c r="E25" s="417">
        <v>-133</v>
      </c>
      <c r="F25" s="417">
        <v>-441</v>
      </c>
      <c r="H25" s="68"/>
      <c r="I25" s="68"/>
      <c r="J25" s="68"/>
    </row>
    <row r="26" spans="3:10">
      <c r="C26" s="19" t="s">
        <v>12</v>
      </c>
      <c r="D26" s="142">
        <f>SUM(D22:D25)</f>
        <v>61372</v>
      </c>
      <c r="E26" s="142">
        <f>SUM(E22:E25)</f>
        <v>64089</v>
      </c>
      <c r="F26" s="142">
        <f>SUM(F22:F25)</f>
        <v>72903</v>
      </c>
      <c r="H26" s="415"/>
      <c r="I26" s="415"/>
      <c r="J26" s="68"/>
    </row>
    <row r="27" spans="3:10">
      <c r="C27" s="6" t="s">
        <v>15</v>
      </c>
      <c r="D27" s="417">
        <v>-15685</v>
      </c>
      <c r="E27" s="417">
        <v>-15738</v>
      </c>
      <c r="F27" s="417">
        <v>-13372</v>
      </c>
      <c r="H27" s="68"/>
      <c r="I27" s="68"/>
      <c r="J27" s="68"/>
    </row>
    <row r="28" spans="3:10">
      <c r="C28" s="19" t="s">
        <v>2</v>
      </c>
      <c r="D28" s="142">
        <f>SUM(D26:D27)</f>
        <v>45687</v>
      </c>
      <c r="E28" s="142">
        <f>SUM(E26:E27)</f>
        <v>48351</v>
      </c>
      <c r="F28" s="142">
        <f>SUM(F26:F27)</f>
        <v>59531</v>
      </c>
      <c r="H28" s="24"/>
    </row>
    <row r="29" spans="3:10">
      <c r="C29" s="28"/>
      <c r="D29" s="135"/>
      <c r="E29" s="135"/>
      <c r="F29" s="135"/>
    </row>
    <row r="30" spans="3:10">
      <c r="C30" s="72" t="s">
        <v>49</v>
      </c>
      <c r="D30" s="91">
        <v>10505</v>
      </c>
      <c r="E30" s="91">
        <v>10157</v>
      </c>
      <c r="F30" s="91">
        <v>10903</v>
      </c>
      <c r="H30" s="5" t="s">
        <v>133</v>
      </c>
    </row>
    <row r="31" spans="3:10">
      <c r="C31" s="73" t="s">
        <v>47</v>
      </c>
      <c r="D31" s="144">
        <f>D22+D30</f>
        <v>70529</v>
      </c>
      <c r="E31" s="144">
        <f>E22+E30</f>
        <v>71501</v>
      </c>
      <c r="F31" s="144">
        <f>F22+F30</f>
        <v>81801</v>
      </c>
      <c r="H31" s="24" t="s">
        <v>97</v>
      </c>
    </row>
    <row r="32" spans="3:10">
      <c r="C32" s="72" t="s">
        <v>74</v>
      </c>
      <c r="D32" s="91">
        <v>4210</v>
      </c>
      <c r="E32" s="91">
        <v>4840</v>
      </c>
      <c r="F32" s="91">
        <v>5340</v>
      </c>
      <c r="H32" s="5" t="s">
        <v>133</v>
      </c>
    </row>
    <row r="33" spans="3:15">
      <c r="C33" s="73" t="s">
        <v>72</v>
      </c>
      <c r="D33" s="144">
        <f>SUM(D31:D32)</f>
        <v>74739</v>
      </c>
      <c r="E33" s="144">
        <f>SUM(E31:E32)</f>
        <v>76341</v>
      </c>
      <c r="F33" s="144">
        <f>SUM(F31:F32)</f>
        <v>87141</v>
      </c>
      <c r="H33" s="24" t="s">
        <v>98</v>
      </c>
    </row>
    <row r="34" spans="3:15">
      <c r="C34" s="28"/>
      <c r="D34" s="135"/>
      <c r="E34" s="135"/>
      <c r="F34" s="135"/>
    </row>
    <row r="35" spans="3:15">
      <c r="C35" s="25" t="s">
        <v>143</v>
      </c>
      <c r="D35" s="135"/>
      <c r="E35" s="135"/>
      <c r="F35" s="135"/>
    </row>
    <row r="36" spans="3:15">
      <c r="C36" s="26" t="s">
        <v>1</v>
      </c>
      <c r="D36" s="136"/>
      <c r="E36" s="422">
        <f>E17/D17-1</f>
        <v>6.304518199398057E-2</v>
      </c>
      <c r="F36" s="422">
        <f>F17/E17-1</f>
        <v>0.15861957650261305</v>
      </c>
      <c r="H36" s="5" t="s">
        <v>134</v>
      </c>
      <c r="J36" s="59"/>
      <c r="K36" s="59"/>
      <c r="L36" s="59"/>
      <c r="M36" s="59"/>
      <c r="N36" s="59"/>
      <c r="O36" s="59"/>
    </row>
    <row r="37" spans="3:15">
      <c r="C37" s="26" t="s">
        <v>231</v>
      </c>
      <c r="D37" s="422">
        <f>D19/D17</f>
        <v>0.39075955648097049</v>
      </c>
      <c r="E37" s="422">
        <f>E19/E17</f>
        <v>0.38469860491899105</v>
      </c>
      <c r="F37" s="422">
        <f>F19/F17</f>
        <v>0.38343718820007905</v>
      </c>
      <c r="H37" s="5" t="s">
        <v>145</v>
      </c>
      <c r="J37" s="59"/>
      <c r="K37" s="59"/>
      <c r="L37" s="59"/>
      <c r="M37" s="59"/>
      <c r="N37" s="59"/>
      <c r="O37" s="59"/>
    </row>
    <row r="38" spans="3:15">
      <c r="C38" s="26" t="s">
        <v>232</v>
      </c>
      <c r="D38" s="422">
        <f>-(D20/D17)</f>
        <v>4.6582482760539605E-2</v>
      </c>
      <c r="E38" s="422">
        <f>-(E20/E17)</f>
        <v>5.0520428906706681E-2</v>
      </c>
      <c r="F38" s="422">
        <f>-(F20/F17)</f>
        <v>5.3600406634161032E-2</v>
      </c>
      <c r="H38" s="5" t="s">
        <v>135</v>
      </c>
      <c r="J38" s="59"/>
      <c r="K38" s="59"/>
      <c r="L38" s="59"/>
      <c r="M38" s="59"/>
      <c r="N38" s="59"/>
      <c r="O38" s="59"/>
    </row>
    <row r="39" spans="3:15">
      <c r="C39" s="26" t="s">
        <v>234</v>
      </c>
      <c r="D39" s="422">
        <f>-(D21/D17)</f>
        <v>6.5822972653369755E-2</v>
      </c>
      <c r="E39" s="422">
        <f>-(E21/E17)</f>
        <v>6.6573893924984945E-2</v>
      </c>
      <c r="F39" s="422">
        <f>-(F21/F17)</f>
        <v>6.2896515371147807E-2</v>
      </c>
      <c r="H39" s="5" t="s">
        <v>136</v>
      </c>
      <c r="J39" s="59"/>
      <c r="K39" s="59"/>
      <c r="L39" s="59"/>
      <c r="M39" s="59"/>
      <c r="N39" s="59"/>
      <c r="O39" s="59"/>
    </row>
    <row r="40" spans="3:15">
      <c r="C40" s="26" t="s">
        <v>0</v>
      </c>
      <c r="D40" s="422">
        <f>-(D27/D26)</f>
        <v>0.25557257381216192</v>
      </c>
      <c r="E40" s="422">
        <f>-(E27/E26)</f>
        <v>0.24556476150353415</v>
      </c>
      <c r="F40" s="422">
        <f>-(F27/F26)</f>
        <v>0.18342180705869443</v>
      </c>
      <c r="H40" s="5" t="s">
        <v>137</v>
      </c>
      <c r="J40" s="29"/>
      <c r="K40" s="29"/>
      <c r="L40" s="29"/>
      <c r="M40" s="29"/>
      <c r="N40" s="29"/>
      <c r="O40" s="29"/>
    </row>
    <row r="41" spans="3:15">
      <c r="C41" s="28"/>
    </row>
    <row r="42" spans="3:15">
      <c r="C42" s="7" t="s">
        <v>20</v>
      </c>
      <c r="D42" s="13"/>
      <c r="E42" s="13"/>
      <c r="F42" s="13"/>
    </row>
    <row r="43" spans="3:15">
      <c r="C43" s="35" t="str">
        <f>C14</f>
        <v xml:space="preserve">Fiscal year  </v>
      </c>
      <c r="D43" s="30"/>
      <c r="E43" s="30">
        <f>E14</f>
        <v>2017</v>
      </c>
      <c r="F43" s="30">
        <f>F14</f>
        <v>2018</v>
      </c>
    </row>
    <row r="44" spans="3:15">
      <c r="C44" s="9" t="str">
        <f>C15</f>
        <v>Fiscal year end date</v>
      </c>
      <c r="D44" s="32"/>
      <c r="E44" s="32">
        <f>E15</f>
        <v>43008</v>
      </c>
      <c r="F44" s="32">
        <f>F15</f>
        <v>43372</v>
      </c>
    </row>
    <row r="45" spans="3:15">
      <c r="C45" s="5" t="s">
        <v>138</v>
      </c>
      <c r="D45" s="36"/>
      <c r="E45" s="423">
        <f>20289+53892+194714</f>
        <v>268895</v>
      </c>
      <c r="F45" s="423">
        <f>25913+40388+170799</f>
        <v>237100</v>
      </c>
    </row>
    <row r="46" spans="3:15">
      <c r="C46" s="5" t="s">
        <v>54</v>
      </c>
      <c r="D46" s="36"/>
      <c r="E46" s="423">
        <v>17874</v>
      </c>
      <c r="F46" s="423">
        <v>23186</v>
      </c>
    </row>
    <row r="47" spans="3:15">
      <c r="C47" s="5" t="s">
        <v>55</v>
      </c>
      <c r="D47" s="36"/>
      <c r="E47" s="423">
        <v>4855</v>
      </c>
      <c r="F47" s="423">
        <v>3956</v>
      </c>
    </row>
    <row r="48" spans="3:15">
      <c r="C48" s="6" t="s">
        <v>108</v>
      </c>
      <c r="D48" s="37"/>
      <c r="E48" s="418">
        <f>17799+13936</f>
        <v>31735</v>
      </c>
      <c r="F48" s="418">
        <f>25809+12087</f>
        <v>37896</v>
      </c>
      <c r="H48" s="5" t="s">
        <v>150</v>
      </c>
    </row>
    <row r="49" spans="3:8">
      <c r="C49" s="21" t="s">
        <v>21</v>
      </c>
      <c r="D49" s="37"/>
      <c r="E49" s="418">
        <v>33783</v>
      </c>
      <c r="F49" s="418">
        <v>41304</v>
      </c>
    </row>
    <row r="50" spans="3:8">
      <c r="C50" s="21" t="s">
        <v>56</v>
      </c>
      <c r="D50" s="37"/>
      <c r="E50" s="418">
        <v>18177</v>
      </c>
      <c r="F50" s="418">
        <v>22283</v>
      </c>
      <c r="H50" s="68"/>
    </row>
    <row r="51" spans="3:8">
      <c r="C51" s="39" t="s">
        <v>22</v>
      </c>
      <c r="D51" s="40"/>
      <c r="E51" s="420">
        <f>SUM(E45:E50)</f>
        <v>375319</v>
      </c>
      <c r="F51" s="420">
        <f>SUM(F45:F50)</f>
        <v>365725</v>
      </c>
      <c r="H51" s="68"/>
    </row>
    <row r="52" spans="3:8">
      <c r="C52" s="41"/>
      <c r="D52" s="42"/>
      <c r="E52" s="138"/>
      <c r="F52" s="138"/>
      <c r="H52" s="68"/>
    </row>
    <row r="53" spans="3:8">
      <c r="C53" s="41" t="s">
        <v>57</v>
      </c>
      <c r="D53" s="37"/>
      <c r="E53" s="418">
        <v>44242</v>
      </c>
      <c r="F53" s="418">
        <v>55888</v>
      </c>
      <c r="H53" s="68"/>
    </row>
    <row r="54" spans="3:8">
      <c r="C54" s="41" t="s">
        <v>117</v>
      </c>
      <c r="D54" s="37"/>
      <c r="E54" s="418">
        <v>30551</v>
      </c>
      <c r="F54" s="418">
        <v>32687</v>
      </c>
      <c r="H54" s="68"/>
    </row>
    <row r="55" spans="3:8">
      <c r="C55" s="41" t="s">
        <v>58</v>
      </c>
      <c r="D55" s="37"/>
      <c r="E55" s="418">
        <f>7548+2836</f>
        <v>10384</v>
      </c>
      <c r="F55" s="418">
        <f>7543+2797</f>
        <v>10340</v>
      </c>
      <c r="H55" s="68"/>
    </row>
    <row r="56" spans="3:8">
      <c r="C56" s="41" t="s">
        <v>60</v>
      </c>
      <c r="D56" s="37"/>
      <c r="E56" s="418">
        <v>11977</v>
      </c>
      <c r="F56" s="418">
        <v>11964</v>
      </c>
      <c r="H56" s="68"/>
    </row>
    <row r="57" spans="3:8">
      <c r="C57" s="41" t="s">
        <v>122</v>
      </c>
      <c r="D57" s="37"/>
      <c r="E57" s="418">
        <f>6496+97207</f>
        <v>103703</v>
      </c>
      <c r="F57" s="418">
        <f>8784+93735</f>
        <v>102519</v>
      </c>
      <c r="H57" s="68"/>
    </row>
    <row r="58" spans="3:8" ht="15.75" customHeight="1">
      <c r="C58" s="41" t="s">
        <v>59</v>
      </c>
      <c r="D58" s="37"/>
      <c r="E58" s="418">
        <v>40415</v>
      </c>
      <c r="F58" s="418">
        <v>45180</v>
      </c>
      <c r="G58" s="6"/>
      <c r="H58" s="68"/>
    </row>
    <row r="59" spans="3:8">
      <c r="C59" s="39" t="s">
        <v>24</v>
      </c>
      <c r="D59" s="43"/>
      <c r="E59" s="420">
        <f>SUM(E53:E58)</f>
        <v>241272</v>
      </c>
      <c r="F59" s="420">
        <f>SUM(F53:F58)</f>
        <v>258578</v>
      </c>
      <c r="H59" s="68"/>
    </row>
    <row r="60" spans="3:8">
      <c r="C60" s="39"/>
      <c r="D60" s="43"/>
      <c r="E60" s="139"/>
      <c r="F60" s="139"/>
      <c r="H60" s="68"/>
    </row>
    <row r="61" spans="3:8">
      <c r="C61" s="41" t="s">
        <v>61</v>
      </c>
      <c r="D61" s="37"/>
      <c r="E61" s="418">
        <v>35867</v>
      </c>
      <c r="F61" s="91">
        <v>40201</v>
      </c>
      <c r="H61" s="68"/>
    </row>
    <row r="62" spans="3:8" ht="15.75" customHeight="1">
      <c r="C62" s="41" t="s">
        <v>44</v>
      </c>
      <c r="D62" s="38"/>
      <c r="E62" s="418">
        <v>98330</v>
      </c>
      <c r="F62" s="91">
        <v>70400</v>
      </c>
    </row>
    <row r="63" spans="3:8" ht="15.75" customHeight="1">
      <c r="C63" s="41" t="s">
        <v>121</v>
      </c>
      <c r="D63" s="37"/>
      <c r="E63" s="418">
        <v>-150</v>
      </c>
      <c r="F63" s="91">
        <v>-3454</v>
      </c>
    </row>
    <row r="64" spans="3:8">
      <c r="C64" s="39" t="s">
        <v>25</v>
      </c>
      <c r="D64" s="44"/>
      <c r="E64" s="420">
        <f>SUM(E61:E63)</f>
        <v>134047</v>
      </c>
      <c r="F64" s="420">
        <f>SUM(F61:F63)</f>
        <v>107147</v>
      </c>
    </row>
    <row r="65" spans="3:9">
      <c r="C65" s="6"/>
      <c r="D65" s="45"/>
      <c r="E65" s="45"/>
      <c r="F65" s="45"/>
    </row>
    <row r="66" spans="3:9">
      <c r="C66" s="14" t="s">
        <v>26</v>
      </c>
      <c r="D66" s="46"/>
      <c r="E66" s="46">
        <f>ROUND(E51-E59-E64,3)</f>
        <v>0</v>
      </c>
      <c r="F66" s="46">
        <f>ROUND(F51-F59-F64,3)</f>
        <v>0</v>
      </c>
    </row>
    <row r="67" spans="3:9">
      <c r="E67" s="34"/>
      <c r="F67" s="34"/>
    </row>
    <row r="68" spans="3:9">
      <c r="C68" s="24" t="s">
        <v>142</v>
      </c>
      <c r="D68" s="68"/>
      <c r="E68" s="34"/>
      <c r="F68" s="34"/>
    </row>
    <row r="69" spans="3:9">
      <c r="C69" s="72" t="s">
        <v>147</v>
      </c>
      <c r="D69" s="91">
        <v>12734</v>
      </c>
      <c r="E69" s="91">
        <v>12451</v>
      </c>
      <c r="F69" s="417">
        <v>13313</v>
      </c>
      <c r="G69" s="6"/>
      <c r="H69"/>
      <c r="I69"/>
    </row>
    <row r="70" spans="3:9">
      <c r="C70" s="72" t="s">
        <v>149</v>
      </c>
      <c r="D70" s="91">
        <v>-8300</v>
      </c>
      <c r="E70" s="91">
        <v>-8200</v>
      </c>
      <c r="F70" s="417">
        <v>-9300</v>
      </c>
      <c r="G70" s="6"/>
      <c r="H70" s="87" t="s">
        <v>148</v>
      </c>
      <c r="I70"/>
    </row>
    <row r="71" spans="3:9">
      <c r="C71" s="41" t="s">
        <v>139</v>
      </c>
      <c r="D71" s="91">
        <v>-12188</v>
      </c>
      <c r="E71" s="91">
        <v>-12803</v>
      </c>
      <c r="F71" s="91">
        <v>-13735</v>
      </c>
      <c r="H71" t="s">
        <v>146</v>
      </c>
      <c r="I71"/>
    </row>
    <row r="72" spans="3:9">
      <c r="C72" s="72" t="s">
        <v>140</v>
      </c>
      <c r="D72" s="424">
        <v>-29000</v>
      </c>
      <c r="E72" s="417">
        <v>-33001</v>
      </c>
      <c r="F72" s="417">
        <v>-73056</v>
      </c>
      <c r="H72" t="s">
        <v>146</v>
      </c>
      <c r="I72"/>
    </row>
    <row r="73" spans="3:9">
      <c r="C73" s="72" t="s">
        <v>141</v>
      </c>
      <c r="D73" s="136"/>
      <c r="E73" s="425">
        <v>1.2E-2</v>
      </c>
      <c r="F73" s="425">
        <v>2.18E-2</v>
      </c>
      <c r="G73" s="6"/>
      <c r="H73" s="5" t="s">
        <v>144</v>
      </c>
    </row>
    <row r="74" spans="3:9">
      <c r="C74" s="72" t="s">
        <v>115</v>
      </c>
      <c r="D74" s="426">
        <v>1.7299999999999999E-2</v>
      </c>
      <c r="E74" s="426">
        <v>1.9900000000000001E-2</v>
      </c>
      <c r="F74" s="425">
        <v>2.1600000000000001E-2</v>
      </c>
      <c r="G74" s="6"/>
      <c r="H74" s="87" t="s">
        <v>237</v>
      </c>
    </row>
    <row r="75" spans="3:9">
      <c r="C75" s="65"/>
      <c r="D75" s="100"/>
      <c r="E75" s="93"/>
      <c r="F75" s="93"/>
    </row>
  </sheetData>
  <conditionalFormatting sqref="C39">
    <cfRule type="expression" dxfId="24" priority="1">
      <formula>#REF!=$C39</formula>
    </cfRule>
  </conditionalFormatting>
  <dataValidations count="2">
    <dataValidation type="list" allowBlank="1" showInputMessage="1" showErrorMessage="1" sqref="C3" xr:uid="{704C8707-F078-44D7-A210-2E09B4193B16}">
      <formula1>"$ bns except per share, $ mm except per share,$ in thousands except per share"</formula1>
    </dataValidation>
    <dataValidation type="list" allowBlank="1" showInputMessage="1" showErrorMessage="1" sqref="D7" xr:uid="{82A305A1-0325-4282-B4A3-0E8D9440F1B6}">
      <formula1>"0,1"</formula1>
    </dataValidation>
  </dataValidations>
  <pageMargins left="0.7" right="0.7" top="0.75" bottom="0.75" header="0.3" footer="0.3"/>
  <pageSetup scale="63" fitToHeight="0"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8BF3E-A2A4-45CF-A71B-9152A9810736}">
  <sheetPr>
    <pageSetUpPr fitToPage="1"/>
  </sheetPr>
  <dimension ref="C1:T90"/>
  <sheetViews>
    <sheetView topLeftCell="A33" zoomScaleNormal="100" workbookViewId="0">
      <selection activeCell="G45" sqref="G45"/>
    </sheetView>
  </sheetViews>
  <sheetFormatPr defaultColWidth="8.85546875" defaultRowHeight="15"/>
  <cols>
    <col min="1" max="2" width="1.7109375" style="5" customWidth="1"/>
    <col min="3" max="3" width="42.7109375" style="5" customWidth="1"/>
    <col min="4" max="11" width="11.42578125" style="5" customWidth="1"/>
    <col min="12" max="12" width="2.28515625" style="5" customWidth="1"/>
    <col min="13" max="13" width="11.42578125" style="5" customWidth="1"/>
    <col min="14" max="14" width="11.85546875" style="5" customWidth="1"/>
    <col min="15" max="17" width="10.28515625" style="5" bestFit="1" customWidth="1"/>
    <col min="18" max="19" width="9.42578125" style="5" bestFit="1" customWidth="1"/>
    <col min="20" max="16384" width="8.85546875" style="5"/>
  </cols>
  <sheetData>
    <row r="1" spans="3:19" ht="15.75" thickBot="1"/>
    <row r="2" spans="3:19" ht="15.75" thickBot="1">
      <c r="C2" s="96" t="str">
        <f>"Financial Statement Model for "&amp;D5</f>
        <v>Financial Statement Model for Apple</v>
      </c>
      <c r="D2" s="79"/>
      <c r="E2" s="79"/>
      <c r="F2" s="79"/>
      <c r="G2" s="79"/>
      <c r="H2" s="79"/>
      <c r="I2" s="79"/>
      <c r="J2" s="79"/>
      <c r="K2" s="79"/>
    </row>
    <row r="3" spans="3:19">
      <c r="C3" s="2" t="s">
        <v>46</v>
      </c>
      <c r="D3" s="64"/>
      <c r="E3" s="64"/>
      <c r="F3" s="64"/>
      <c r="G3" s="64"/>
      <c r="H3" s="64"/>
      <c r="I3" s="6"/>
      <c r="J3" s="6"/>
      <c r="K3" s="6"/>
    </row>
    <row r="4" spans="3:19">
      <c r="O4" s="6"/>
      <c r="P4" s="6"/>
    </row>
    <row r="5" spans="3:19">
      <c r="C5" s="1" t="s">
        <v>5</v>
      </c>
      <c r="D5" s="112" t="s">
        <v>50</v>
      </c>
      <c r="O5" s="6"/>
      <c r="P5" s="6"/>
    </row>
    <row r="6" spans="3:19">
      <c r="C6" s="1" t="s">
        <v>6</v>
      </c>
      <c r="D6" s="112" t="s">
        <v>51</v>
      </c>
      <c r="O6" s="6"/>
      <c r="P6" s="6"/>
    </row>
    <row r="7" spans="3:19">
      <c r="C7" s="5" t="s">
        <v>109</v>
      </c>
      <c r="D7" s="113">
        <v>1</v>
      </c>
      <c r="O7" s="6"/>
      <c r="P7" s="6"/>
    </row>
    <row r="8" spans="3:19">
      <c r="C8" s="5" t="s">
        <v>73</v>
      </c>
      <c r="D8" s="114">
        <v>171.25</v>
      </c>
      <c r="O8" s="6"/>
      <c r="P8" s="6"/>
    </row>
    <row r="9" spans="3:19">
      <c r="C9" s="5" t="s">
        <v>9</v>
      </c>
      <c r="D9" s="115">
        <v>43500</v>
      </c>
      <c r="O9" s="6"/>
      <c r="P9" s="6"/>
    </row>
    <row r="10" spans="3:19">
      <c r="C10" s="1" t="s">
        <v>8</v>
      </c>
      <c r="D10" s="116">
        <v>43372</v>
      </c>
      <c r="O10" s="6"/>
      <c r="P10" s="6"/>
    </row>
    <row r="11" spans="3:19" ht="15" customHeight="1">
      <c r="C11" t="s">
        <v>292</v>
      </c>
      <c r="D11" s="132">
        <v>4745.3980000000001</v>
      </c>
      <c r="O11" s="6"/>
      <c r="P11" s="6"/>
    </row>
    <row r="12" spans="3:19">
      <c r="O12" s="6"/>
      <c r="P12" s="6"/>
    </row>
    <row r="13" spans="3:19">
      <c r="C13" s="7" t="s">
        <v>19</v>
      </c>
      <c r="D13" s="9"/>
      <c r="E13" s="9"/>
      <c r="F13" s="9"/>
      <c r="G13" s="9"/>
      <c r="H13" s="9"/>
      <c r="I13" s="9"/>
      <c r="J13" s="9"/>
      <c r="K13" s="9"/>
      <c r="Q13" s="6"/>
    </row>
    <row r="14" spans="3:19">
      <c r="C14" s="6" t="s">
        <v>10</v>
      </c>
      <c r="D14" s="10">
        <f>E14-1</f>
        <v>2016</v>
      </c>
      <c r="E14" s="10">
        <f>F14-1</f>
        <v>2017</v>
      </c>
      <c r="F14" s="10">
        <f>YEAR(D10)</f>
        <v>2018</v>
      </c>
      <c r="G14" s="11">
        <f>F14+1</f>
        <v>2019</v>
      </c>
      <c r="H14" s="11">
        <f>G14+1</f>
        <v>2020</v>
      </c>
      <c r="I14" s="11">
        <f>H14+1</f>
        <v>2021</v>
      </c>
      <c r="J14" s="11">
        <f>I14+1</f>
        <v>2022</v>
      </c>
      <c r="K14" s="11">
        <f>J14+1</f>
        <v>2023</v>
      </c>
      <c r="Q14" s="6"/>
    </row>
    <row r="15" spans="3:19">
      <c r="C15" s="12" t="s">
        <v>7</v>
      </c>
      <c r="D15" s="89">
        <f>EOMONTH(E15,-12)</f>
        <v>42643</v>
      </c>
      <c r="E15" s="89">
        <f>EOMONTH(F15,-12)</f>
        <v>43008</v>
      </c>
      <c r="F15" s="89">
        <f>D10</f>
        <v>43372</v>
      </c>
      <c r="G15" s="89">
        <f>EOMONTH(F15,12)</f>
        <v>43738</v>
      </c>
      <c r="H15" s="89">
        <f>EOMONTH(G15,12)</f>
        <v>44104</v>
      </c>
      <c r="I15" s="89">
        <f>EOMONTH(H15,12)</f>
        <v>44469</v>
      </c>
      <c r="J15" s="89">
        <f>EOMONTH(I15,12)</f>
        <v>44834</v>
      </c>
      <c r="K15" s="89">
        <f>EOMONTH(J15,12)</f>
        <v>45199</v>
      </c>
      <c r="M15" s="84" t="s">
        <v>86</v>
      </c>
      <c r="N15" s="97"/>
      <c r="O15" s="97"/>
      <c r="P15" s="97"/>
      <c r="Q15" s="97"/>
      <c r="R15" s="97"/>
      <c r="S15" s="97"/>
    </row>
    <row r="16" spans="3:19">
      <c r="C16" s="14"/>
      <c r="D16" s="15"/>
      <c r="E16" s="16"/>
      <c r="F16" s="16"/>
      <c r="G16" s="85"/>
      <c r="H16" s="86"/>
      <c r="I16" s="86"/>
      <c r="J16" s="16"/>
      <c r="K16" s="16"/>
    </row>
    <row r="17" spans="3:14">
      <c r="C17" s="6" t="s">
        <v>11</v>
      </c>
      <c r="D17" s="17">
        <v>215639</v>
      </c>
      <c r="E17" s="17">
        <v>229234</v>
      </c>
      <c r="F17" s="17">
        <v>265595</v>
      </c>
      <c r="G17" s="151">
        <f>F17*(1+G36)</f>
        <v>254971.19999999998</v>
      </c>
      <c r="H17" s="151">
        <f>G17*(1+H36)</f>
        <v>270269.47200000001</v>
      </c>
      <c r="I17" s="151">
        <f>H17*(1+I36)</f>
        <v>288918.06556800002</v>
      </c>
      <c r="J17" s="151">
        <f>I17*(1+J36)</f>
        <v>308853.41209219198</v>
      </c>
      <c r="K17" s="151">
        <f>J17*(1+K36)</f>
        <v>330164.29752655321</v>
      </c>
      <c r="M17" s="5" t="s">
        <v>87</v>
      </c>
    </row>
    <row r="18" spans="3:14">
      <c r="C18" s="6" t="s">
        <v>14</v>
      </c>
      <c r="D18" s="17">
        <v>-131376</v>
      </c>
      <c r="E18" s="17">
        <v>-141048</v>
      </c>
      <c r="F18" s="17">
        <v>-163756</v>
      </c>
      <c r="G18" s="151">
        <f>G19-G17</f>
        <v>-158592.08639999997</v>
      </c>
      <c r="H18" s="151">
        <f>H19-H17</f>
        <v>-167296.80316800001</v>
      </c>
      <c r="I18" s="151">
        <f>I19-I17</f>
        <v>-178551.36452102399</v>
      </c>
      <c r="J18" s="151">
        <f>J19-J17</f>
        <v>-190871.40867297465</v>
      </c>
      <c r="K18" s="151">
        <f>K19-K17</f>
        <v>-204041.53587140987</v>
      </c>
      <c r="M18" s="5" t="s">
        <v>88</v>
      </c>
    </row>
    <row r="19" spans="3:14">
      <c r="C19" s="19" t="s">
        <v>13</v>
      </c>
      <c r="D19" s="20">
        <f>SUM(D17:D18)</f>
        <v>84263</v>
      </c>
      <c r="E19" s="20">
        <f>SUM(E17:E18)</f>
        <v>88186</v>
      </c>
      <c r="F19" s="20">
        <f>SUM(F17:F18)</f>
        <v>101839</v>
      </c>
      <c r="G19" s="147">
        <f>G17*G37</f>
        <v>96379.113599999997</v>
      </c>
      <c r="H19" s="147">
        <f>H17*H37</f>
        <v>102972.66883200001</v>
      </c>
      <c r="I19" s="147">
        <f>I17*I37</f>
        <v>110366.70104697601</v>
      </c>
      <c r="J19" s="147">
        <f>J17*J37</f>
        <v>117982.00341921733</v>
      </c>
      <c r="K19" s="147">
        <f>K17*K37</f>
        <v>126122.76165514333</v>
      </c>
      <c r="M19" s="87" t="s">
        <v>89</v>
      </c>
    </row>
    <row r="20" spans="3:14">
      <c r="C20" s="21" t="s">
        <v>52</v>
      </c>
      <c r="D20" s="17">
        <v>-10045</v>
      </c>
      <c r="E20" s="17">
        <v>-11581</v>
      </c>
      <c r="F20" s="17">
        <v>-14236</v>
      </c>
      <c r="G20" s="151">
        <f>-G38*G17</f>
        <v>-15808.214399999999</v>
      </c>
      <c r="H20" s="151">
        <f>-H38*H17</f>
        <v>-17026.976736000001</v>
      </c>
      <c r="I20" s="151">
        <f>-I38*I17</f>
        <v>-18201.838130784003</v>
      </c>
      <c r="J20" s="151">
        <f>-J38*J17</f>
        <v>-19457.764961808094</v>
      </c>
      <c r="K20" s="151">
        <f>-K38*K17</f>
        <v>-20800.350744172854</v>
      </c>
      <c r="M20" s="87" t="s">
        <v>233</v>
      </c>
    </row>
    <row r="21" spans="3:14">
      <c r="C21" s="21" t="s">
        <v>16</v>
      </c>
      <c r="D21" s="17">
        <v>-14194</v>
      </c>
      <c r="E21" s="17">
        <v>-15261</v>
      </c>
      <c r="F21" s="17">
        <v>-16705</v>
      </c>
      <c r="G21" s="151">
        <f>-G17*G39</f>
        <v>-18867.868799999997</v>
      </c>
      <c r="H21" s="151">
        <f>-H17*H39</f>
        <v>-18648.593568000004</v>
      </c>
      <c r="I21" s="151">
        <f>-I17*I39</f>
        <v>-19935.346524192002</v>
      </c>
      <c r="J21" s="151">
        <f>-J17*J39</f>
        <v>-21310.885434361247</v>
      </c>
      <c r="K21" s="151">
        <f>-K17*K39</f>
        <v>-22781.336529332173</v>
      </c>
      <c r="M21" s="87" t="s">
        <v>235</v>
      </c>
    </row>
    <row r="22" spans="3:14">
      <c r="C22" s="19" t="s">
        <v>3</v>
      </c>
      <c r="D22" s="20">
        <f t="shared" ref="D22:K22" si="0">D19+D20+D21</f>
        <v>60024</v>
      </c>
      <c r="E22" s="20">
        <f t="shared" si="0"/>
        <v>61344</v>
      </c>
      <c r="F22" s="20">
        <f t="shared" si="0"/>
        <v>70898</v>
      </c>
      <c r="G22" s="147">
        <f t="shared" si="0"/>
        <v>61703.030400000003</v>
      </c>
      <c r="H22" s="147">
        <f t="shared" si="0"/>
        <v>67297.098528000002</v>
      </c>
      <c r="I22" s="147">
        <f t="shared" si="0"/>
        <v>72229.516392000005</v>
      </c>
      <c r="J22" s="147">
        <f t="shared" si="0"/>
        <v>77213.353023047996</v>
      </c>
      <c r="K22" s="147">
        <f t="shared" si="0"/>
        <v>82541.074381638304</v>
      </c>
      <c r="M22" s="24" t="s">
        <v>90</v>
      </c>
    </row>
    <row r="23" spans="3:14">
      <c r="C23" s="6" t="s">
        <v>4</v>
      </c>
      <c r="D23" s="17">
        <v>3999</v>
      </c>
      <c r="E23" s="17">
        <v>5201</v>
      </c>
      <c r="F23" s="17">
        <v>5686</v>
      </c>
      <c r="G23" s="152"/>
      <c r="H23" s="152"/>
      <c r="I23" s="152"/>
      <c r="J23" s="152"/>
      <c r="K23" s="152"/>
      <c r="M23" s="5" t="s">
        <v>95</v>
      </c>
    </row>
    <row r="24" spans="3:14">
      <c r="C24" s="6" t="s">
        <v>17</v>
      </c>
      <c r="D24" s="17">
        <v>-1456</v>
      </c>
      <c r="E24" s="17">
        <v>-2323</v>
      </c>
      <c r="F24" s="17">
        <v>-3240</v>
      </c>
      <c r="G24" s="152"/>
      <c r="H24" s="152"/>
      <c r="I24" s="152"/>
      <c r="J24" s="152"/>
      <c r="K24" s="152"/>
      <c r="M24" s="5" t="s">
        <v>94</v>
      </c>
    </row>
    <row r="25" spans="3:14">
      <c r="C25" s="21" t="s">
        <v>53</v>
      </c>
      <c r="D25" s="17">
        <v>-1195</v>
      </c>
      <c r="E25" s="17">
        <v>-133</v>
      </c>
      <c r="F25" s="17">
        <v>-441</v>
      </c>
      <c r="G25" s="151">
        <f>F25</f>
        <v>-441</v>
      </c>
      <c r="H25" s="151">
        <f>G25</f>
        <v>-441</v>
      </c>
      <c r="I25" s="151">
        <f>H25</f>
        <v>-441</v>
      </c>
      <c r="J25" s="151">
        <f>I25</f>
        <v>-441</v>
      </c>
      <c r="K25" s="151">
        <f>J25</f>
        <v>-441</v>
      </c>
      <c r="M25" s="5" t="s">
        <v>91</v>
      </c>
    </row>
    <row r="26" spans="3:14">
      <c r="C26" s="19" t="s">
        <v>12</v>
      </c>
      <c r="D26" s="20">
        <f t="shared" ref="D26:K26" si="1">SUM(D22:D25)</f>
        <v>61372</v>
      </c>
      <c r="E26" s="20">
        <f t="shared" si="1"/>
        <v>64089</v>
      </c>
      <c r="F26" s="20">
        <f t="shared" si="1"/>
        <v>72903</v>
      </c>
      <c r="G26" s="147">
        <f t="shared" si="1"/>
        <v>61262.030400000003</v>
      </c>
      <c r="H26" s="147">
        <f t="shared" si="1"/>
        <v>66856.098528000002</v>
      </c>
      <c r="I26" s="147">
        <f t="shared" si="1"/>
        <v>71788.516392000005</v>
      </c>
      <c r="J26" s="147">
        <f t="shared" si="1"/>
        <v>76772.353023047996</v>
      </c>
      <c r="K26" s="147">
        <f t="shared" si="1"/>
        <v>82100.074381638304</v>
      </c>
      <c r="M26" s="24" t="s">
        <v>96</v>
      </c>
      <c r="N26" s="24"/>
    </row>
    <row r="27" spans="3:14">
      <c r="C27" s="6" t="s">
        <v>15</v>
      </c>
      <c r="D27" s="17">
        <v>-15685</v>
      </c>
      <c r="E27" s="17">
        <v>-15738</v>
      </c>
      <c r="F27" s="17">
        <v>-13372</v>
      </c>
      <c r="G27" s="151">
        <f>-G40*G26</f>
        <v>-10230.759076800001</v>
      </c>
      <c r="H27" s="151">
        <f>-H40*H26</f>
        <v>-11365.536749760002</v>
      </c>
      <c r="I27" s="151">
        <f>-I40*I26</f>
        <v>-12132.259270248001</v>
      </c>
      <c r="J27" s="151">
        <f>-J40*J26</f>
        <v>-12974.527660895112</v>
      </c>
      <c r="K27" s="151">
        <f>-K40*K26</f>
        <v>-13874.912570496874</v>
      </c>
      <c r="M27" s="5" t="s">
        <v>92</v>
      </c>
    </row>
    <row r="28" spans="3:14">
      <c r="C28" s="19" t="s">
        <v>2</v>
      </c>
      <c r="D28" s="23">
        <f t="shared" ref="D28:K28" si="2">SUM(D26:D27)</f>
        <v>45687</v>
      </c>
      <c r="E28" s="23">
        <f t="shared" si="2"/>
        <v>48351</v>
      </c>
      <c r="F28" s="23">
        <f t="shared" si="2"/>
        <v>59531</v>
      </c>
      <c r="G28" s="147">
        <f t="shared" si="2"/>
        <v>51031.271323200002</v>
      </c>
      <c r="H28" s="147">
        <f t="shared" si="2"/>
        <v>55490.56177824</v>
      </c>
      <c r="I28" s="147">
        <f t="shared" si="2"/>
        <v>59656.257121752002</v>
      </c>
      <c r="J28" s="147">
        <f t="shared" si="2"/>
        <v>63797.825362152886</v>
      </c>
      <c r="K28" s="147">
        <f t="shared" si="2"/>
        <v>68225.161811141428</v>
      </c>
      <c r="M28" s="24" t="s">
        <v>93</v>
      </c>
    </row>
    <row r="29" spans="3:14">
      <c r="C29" s="28"/>
      <c r="D29" s="34"/>
      <c r="E29" s="34"/>
      <c r="F29" s="34"/>
      <c r="G29" s="153"/>
      <c r="H29" s="153"/>
      <c r="I29" s="153"/>
      <c r="J29" s="153"/>
      <c r="K29" s="153"/>
    </row>
    <row r="30" spans="3:14">
      <c r="C30" s="72" t="s">
        <v>49</v>
      </c>
      <c r="D30" s="3">
        <v>10505</v>
      </c>
      <c r="E30" s="3">
        <v>10157</v>
      </c>
      <c r="F30" s="3">
        <v>10903</v>
      </c>
      <c r="G30" s="152"/>
      <c r="H30" s="152"/>
      <c r="I30" s="152"/>
      <c r="J30" s="152"/>
      <c r="K30" s="152"/>
      <c r="M30" s="5" t="s">
        <v>159</v>
      </c>
    </row>
    <row r="31" spans="3:14">
      <c r="C31" s="73" t="s">
        <v>47</v>
      </c>
      <c r="D31" s="69">
        <f t="shared" ref="D31:K31" si="3">D22+D30</f>
        <v>70529</v>
      </c>
      <c r="E31" s="69">
        <f t="shared" si="3"/>
        <v>71501</v>
      </c>
      <c r="F31" s="69">
        <f t="shared" si="3"/>
        <v>81801</v>
      </c>
      <c r="G31" s="147">
        <f t="shared" si="3"/>
        <v>61703.030400000003</v>
      </c>
      <c r="H31" s="147">
        <f t="shared" si="3"/>
        <v>67297.098528000002</v>
      </c>
      <c r="I31" s="147">
        <f t="shared" si="3"/>
        <v>72229.516392000005</v>
      </c>
      <c r="J31" s="147">
        <f t="shared" si="3"/>
        <v>77213.353023047996</v>
      </c>
      <c r="K31" s="147">
        <f t="shared" si="3"/>
        <v>82541.074381638304</v>
      </c>
      <c r="M31" s="24" t="s">
        <v>97</v>
      </c>
    </row>
    <row r="32" spans="3:14">
      <c r="C32" s="72" t="s">
        <v>74</v>
      </c>
      <c r="D32" s="3">
        <v>4210</v>
      </c>
      <c r="E32" s="3">
        <v>4840</v>
      </c>
      <c r="F32" s="3">
        <v>5340</v>
      </c>
      <c r="G32" s="151">
        <f>F32*(1+G36)</f>
        <v>5126.3999999999996</v>
      </c>
      <c r="H32" s="151">
        <f>G32*(1+H36)</f>
        <v>5433.9839999999995</v>
      </c>
      <c r="I32" s="151">
        <f>H32*(1+I36)</f>
        <v>5808.9288959999994</v>
      </c>
      <c r="J32" s="151">
        <f>I32*(1+J36)</f>
        <v>6209.7449898239993</v>
      </c>
      <c r="K32" s="151">
        <f>J32*(1+K36)</f>
        <v>6638.2173941218552</v>
      </c>
      <c r="M32" s="5" t="s">
        <v>99</v>
      </c>
    </row>
    <row r="33" spans="3:20">
      <c r="C33" s="73" t="s">
        <v>72</v>
      </c>
      <c r="D33" s="69">
        <f t="shared" ref="D33:K33" si="4">SUM(D31:D32)</f>
        <v>74739</v>
      </c>
      <c r="E33" s="69">
        <f t="shared" si="4"/>
        <v>76341</v>
      </c>
      <c r="F33" s="69">
        <f t="shared" si="4"/>
        <v>87141</v>
      </c>
      <c r="G33" s="147">
        <f t="shared" si="4"/>
        <v>66829.430399999997</v>
      </c>
      <c r="H33" s="147">
        <f t="shared" si="4"/>
        <v>72731.082527999999</v>
      </c>
      <c r="I33" s="147">
        <f t="shared" si="4"/>
        <v>78038.445288000003</v>
      </c>
      <c r="J33" s="147">
        <f t="shared" si="4"/>
        <v>83423.098012871997</v>
      </c>
      <c r="K33" s="147">
        <f t="shared" si="4"/>
        <v>89179.291775760154</v>
      </c>
      <c r="M33" s="24" t="s">
        <v>98</v>
      </c>
    </row>
    <row r="34" spans="3:20">
      <c r="C34" s="28"/>
      <c r="G34" s="58"/>
    </row>
    <row r="35" spans="3:20">
      <c r="C35" s="25" t="s">
        <v>18</v>
      </c>
    </row>
    <row r="36" spans="3:20">
      <c r="C36" s="26" t="s">
        <v>1</v>
      </c>
      <c r="D36" s="27"/>
      <c r="E36" s="27">
        <f>E17/D17-1</f>
        <v>6.304518199398057E-2</v>
      </c>
      <c r="F36" s="27">
        <f>F17/E17-1</f>
        <v>0.15861957650261305</v>
      </c>
      <c r="G36" s="66">
        <v>-0.04</v>
      </c>
      <c r="H36" s="66">
        <v>0.06</v>
      </c>
      <c r="I36" s="66">
        <v>6.9000000000000006E-2</v>
      </c>
      <c r="J36" s="27">
        <f t="shared" ref="J36:K40" si="5">I36</f>
        <v>6.9000000000000006E-2</v>
      </c>
      <c r="K36" s="27">
        <f t="shared" si="5"/>
        <v>6.9000000000000006E-2</v>
      </c>
      <c r="M36" s="5" t="s">
        <v>151</v>
      </c>
      <c r="O36" s="59"/>
      <c r="P36" s="59"/>
      <c r="Q36" s="59"/>
      <c r="R36" s="59"/>
      <c r="S36" s="59"/>
      <c r="T36" s="59"/>
    </row>
    <row r="37" spans="3:20">
      <c r="C37" s="26" t="s">
        <v>231</v>
      </c>
      <c r="D37" s="27">
        <f>D19/D17</f>
        <v>0.39075955648097049</v>
      </c>
      <c r="E37" s="27">
        <f>E19/E17</f>
        <v>0.38469860491899105</v>
      </c>
      <c r="F37" s="27">
        <f>F19/F17</f>
        <v>0.38343718820007905</v>
      </c>
      <c r="G37" s="66">
        <v>0.378</v>
      </c>
      <c r="H37" s="66">
        <v>0.38100000000000001</v>
      </c>
      <c r="I37" s="66">
        <v>0.38200000000000001</v>
      </c>
      <c r="J37" s="27">
        <f t="shared" si="5"/>
        <v>0.38200000000000001</v>
      </c>
      <c r="K37" s="27">
        <f t="shared" si="5"/>
        <v>0.38200000000000001</v>
      </c>
      <c r="M37" s="5" t="s">
        <v>152</v>
      </c>
      <c r="O37" s="59"/>
      <c r="P37" s="59"/>
      <c r="Q37" s="59"/>
      <c r="R37" s="59"/>
      <c r="S37" s="59"/>
      <c r="T37" s="59"/>
    </row>
    <row r="38" spans="3:20">
      <c r="C38" s="26" t="s">
        <v>232</v>
      </c>
      <c r="D38" s="27">
        <f>-D20/D17</f>
        <v>4.6582482760539605E-2</v>
      </c>
      <c r="E38" s="27">
        <f>-E20/E17</f>
        <v>5.0520428906706681E-2</v>
      </c>
      <c r="F38" s="27">
        <f>-F20/F17</f>
        <v>5.3600406634161032E-2</v>
      </c>
      <c r="G38" s="66">
        <v>6.2E-2</v>
      </c>
      <c r="H38" s="66">
        <v>6.3E-2</v>
      </c>
      <c r="I38" s="66">
        <v>6.3E-2</v>
      </c>
      <c r="J38" s="27">
        <f t="shared" si="5"/>
        <v>6.3E-2</v>
      </c>
      <c r="K38" s="27">
        <f t="shared" si="5"/>
        <v>6.3E-2</v>
      </c>
      <c r="M38" s="5" t="s">
        <v>153</v>
      </c>
      <c r="O38" s="59"/>
      <c r="P38" s="59"/>
      <c r="Q38" s="59"/>
      <c r="R38" s="59"/>
      <c r="S38" s="59"/>
      <c r="T38" s="59"/>
    </row>
    <row r="39" spans="3:20">
      <c r="C39" s="26" t="s">
        <v>234</v>
      </c>
      <c r="D39" s="27">
        <f>-D21/D17</f>
        <v>6.5822972653369755E-2</v>
      </c>
      <c r="E39" s="27">
        <f>-E21/E17</f>
        <v>6.6573893924984945E-2</v>
      </c>
      <c r="F39" s="27">
        <f>-F21/F17</f>
        <v>6.2896515371147807E-2</v>
      </c>
      <c r="G39" s="66">
        <v>7.3999999999999996E-2</v>
      </c>
      <c r="H39" s="66">
        <v>6.9000000000000006E-2</v>
      </c>
      <c r="I39" s="66">
        <v>6.9000000000000006E-2</v>
      </c>
      <c r="J39" s="27">
        <f t="shared" si="5"/>
        <v>6.9000000000000006E-2</v>
      </c>
      <c r="K39" s="27">
        <f t="shared" si="5"/>
        <v>6.9000000000000006E-2</v>
      </c>
      <c r="M39" s="5" t="s">
        <v>153</v>
      </c>
      <c r="O39" s="59"/>
      <c r="P39" s="59"/>
      <c r="Q39" s="59"/>
      <c r="R39" s="59"/>
      <c r="S39" s="59"/>
      <c r="T39" s="59"/>
    </row>
    <row r="40" spans="3:20">
      <c r="C40" s="26" t="s">
        <v>0</v>
      </c>
      <c r="D40" s="27">
        <f>-(D27/D26)</f>
        <v>0.25557257381216192</v>
      </c>
      <c r="E40" s="27">
        <f>-(E27/E26)</f>
        <v>0.24556476150353415</v>
      </c>
      <c r="F40" s="27">
        <f>-(F27/F26)</f>
        <v>0.18342180705869443</v>
      </c>
      <c r="G40" s="66">
        <v>0.16700000000000001</v>
      </c>
      <c r="H40" s="66">
        <v>0.17</v>
      </c>
      <c r="I40" s="66">
        <v>0.16900000000000001</v>
      </c>
      <c r="J40" s="27">
        <f t="shared" si="5"/>
        <v>0.16900000000000001</v>
      </c>
      <c r="K40" s="27">
        <f t="shared" si="5"/>
        <v>0.16900000000000001</v>
      </c>
      <c r="M40" s="5" t="s">
        <v>153</v>
      </c>
      <c r="O40" s="29"/>
      <c r="P40" s="29"/>
      <c r="Q40" s="29"/>
      <c r="R40" s="29"/>
      <c r="S40" s="29"/>
      <c r="T40" s="29"/>
    </row>
    <row r="41" spans="3:20">
      <c r="C41" s="28"/>
      <c r="G41" s="58"/>
    </row>
    <row r="42" spans="3:20">
      <c r="C42" s="7" t="s">
        <v>20</v>
      </c>
      <c r="D42" s="13"/>
      <c r="E42" s="13"/>
      <c r="F42" s="13"/>
      <c r="G42" s="9"/>
      <c r="H42" s="9"/>
      <c r="I42" s="9"/>
      <c r="J42" s="9"/>
      <c r="K42" s="9"/>
    </row>
    <row r="43" spans="3:20">
      <c r="C43" s="35" t="str">
        <f>C14</f>
        <v xml:space="preserve">Fiscal year  </v>
      </c>
      <c r="D43" s="30"/>
      <c r="E43" s="30">
        <f t="shared" ref="E43:K44" si="6">E14</f>
        <v>2017</v>
      </c>
      <c r="F43" s="30">
        <f t="shared" si="6"/>
        <v>2018</v>
      </c>
      <c r="G43" s="31">
        <f t="shared" si="6"/>
        <v>2019</v>
      </c>
      <c r="H43" s="31">
        <f t="shared" si="6"/>
        <v>2020</v>
      </c>
      <c r="I43" s="31">
        <f t="shared" si="6"/>
        <v>2021</v>
      </c>
      <c r="J43" s="31">
        <f t="shared" si="6"/>
        <v>2022</v>
      </c>
      <c r="K43" s="31">
        <f t="shared" si="6"/>
        <v>2023</v>
      </c>
    </row>
    <row r="44" spans="3:20">
      <c r="C44" s="9" t="str">
        <f>C15</f>
        <v>Fiscal year end date</v>
      </c>
      <c r="D44" s="32"/>
      <c r="E44" s="32">
        <f t="shared" si="6"/>
        <v>43008</v>
      </c>
      <c r="F44" s="32">
        <f t="shared" si="6"/>
        <v>43372</v>
      </c>
      <c r="G44" s="32">
        <f t="shared" si="6"/>
        <v>43738</v>
      </c>
      <c r="H44" s="32">
        <f t="shared" si="6"/>
        <v>44104</v>
      </c>
      <c r="I44" s="32">
        <f t="shared" si="6"/>
        <v>44469</v>
      </c>
      <c r="J44" s="32">
        <f t="shared" si="6"/>
        <v>44834</v>
      </c>
      <c r="K44" s="32">
        <f t="shared" si="6"/>
        <v>45199</v>
      </c>
    </row>
    <row r="45" spans="3:20">
      <c r="C45" s="5" t="s">
        <v>138</v>
      </c>
      <c r="D45" s="36"/>
      <c r="E45" s="36">
        <f>20289+53892+194714</f>
        <v>268895</v>
      </c>
      <c r="F45" s="36">
        <f>25913+40388+170799</f>
        <v>237100</v>
      </c>
      <c r="G45" s="151">
        <f>G90+F45</f>
        <v>290535.03752000991</v>
      </c>
      <c r="H45" s="151">
        <f>H90+G45</f>
        <v>355782.51330139959</v>
      </c>
      <c r="I45" s="151">
        <f>I90+H45</f>
        <v>426721.42806544999</v>
      </c>
      <c r="J45" s="151">
        <f>J90+I45</f>
        <v>502672.03913871862</v>
      </c>
      <c r="K45" s="151">
        <f>K90+J45</f>
        <v>583888.52887504292</v>
      </c>
      <c r="M45" s="5" t="s">
        <v>118</v>
      </c>
    </row>
    <row r="46" spans="3:20">
      <c r="C46" s="5" t="s">
        <v>54</v>
      </c>
      <c r="D46" s="36"/>
      <c r="E46" s="36">
        <v>17874</v>
      </c>
      <c r="F46" s="36">
        <v>23186</v>
      </c>
      <c r="G46" s="151">
        <f>F46*(1+G36)</f>
        <v>22258.559999999998</v>
      </c>
      <c r="H46" s="151">
        <f>G46*(1+H36)</f>
        <v>23594.0736</v>
      </c>
      <c r="I46" s="151">
        <f>H46*(1+I36)</f>
        <v>25222.064678399998</v>
      </c>
      <c r="J46" s="151">
        <f>I46*(1+J36)</f>
        <v>26962.387141209598</v>
      </c>
      <c r="K46" s="151">
        <f>J46*(1+K36)</f>
        <v>28822.791853953058</v>
      </c>
      <c r="M46" s="5" t="s">
        <v>103</v>
      </c>
    </row>
    <row r="47" spans="3:20">
      <c r="C47" s="5" t="s">
        <v>55</v>
      </c>
      <c r="D47" s="36"/>
      <c r="E47" s="36">
        <v>4855</v>
      </c>
      <c r="F47" s="36">
        <v>3956</v>
      </c>
      <c r="G47" s="151">
        <f>F47*G18/F18</f>
        <v>3831.2507254598299</v>
      </c>
      <c r="H47" s="151">
        <f>G47*H18/G18</f>
        <v>4041.5383456643303</v>
      </c>
      <c r="I47" s="151">
        <f>H47*I18/H18</f>
        <v>4313.4248396710409</v>
      </c>
      <c r="J47" s="151">
        <f>I47*J18/I18</f>
        <v>4611.0511536083422</v>
      </c>
      <c r="K47" s="151">
        <f>J47*K18/J18</f>
        <v>4929.2136832073174</v>
      </c>
      <c r="M47" s="5" t="s">
        <v>104</v>
      </c>
    </row>
    <row r="48" spans="3:20">
      <c r="C48" s="6" t="s">
        <v>108</v>
      </c>
      <c r="D48" s="37"/>
      <c r="E48" s="37">
        <f>17799+13936</f>
        <v>31735</v>
      </c>
      <c r="F48" s="37">
        <f>25809+12087</f>
        <v>37896</v>
      </c>
      <c r="G48" s="151">
        <f>F48*(1+G36)</f>
        <v>36380.159999999996</v>
      </c>
      <c r="H48" s="151">
        <f>G48*(1+H36)</f>
        <v>38562.969599999997</v>
      </c>
      <c r="I48" s="151">
        <f>H48*(1+I36)</f>
        <v>41223.814502399997</v>
      </c>
      <c r="J48" s="151">
        <f>I48*(1+J36)</f>
        <v>44068.257703065596</v>
      </c>
      <c r="K48" s="151">
        <f>J48*(1+K36)</f>
        <v>47108.967484577122</v>
      </c>
      <c r="M48" s="5" t="s">
        <v>103</v>
      </c>
    </row>
    <row r="49" spans="3:13">
      <c r="C49" s="21" t="s">
        <v>21</v>
      </c>
      <c r="D49" s="37"/>
      <c r="E49" s="37">
        <v>33783</v>
      </c>
      <c r="F49" s="37">
        <v>41304</v>
      </c>
      <c r="G49" s="152"/>
      <c r="H49" s="152"/>
      <c r="I49" s="152"/>
      <c r="J49" s="152"/>
      <c r="K49" s="152"/>
      <c r="M49" s="5" t="s">
        <v>105</v>
      </c>
    </row>
    <row r="50" spans="3:13">
      <c r="C50" s="21" t="s">
        <v>56</v>
      </c>
      <c r="D50" s="37"/>
      <c r="E50" s="37">
        <v>18177</v>
      </c>
      <c r="F50" s="37">
        <v>22283</v>
      </c>
      <c r="G50" s="151">
        <f>F50*(1+G36)</f>
        <v>21391.68</v>
      </c>
      <c r="H50" s="151">
        <f>G50*(1+H36)</f>
        <v>22675.180800000002</v>
      </c>
      <c r="I50" s="151">
        <f>H50*(1+I36)</f>
        <v>24239.7682752</v>
      </c>
      <c r="J50" s="151">
        <f>I50*(1+J36)</f>
        <v>25912.3122861888</v>
      </c>
      <c r="K50" s="151">
        <f>J50*(1+K36)</f>
        <v>27700.261833935827</v>
      </c>
      <c r="M50" s="5" t="s">
        <v>103</v>
      </c>
    </row>
    <row r="51" spans="3:13">
      <c r="C51" s="39" t="s">
        <v>22</v>
      </c>
      <c r="D51" s="40"/>
      <c r="E51" s="40">
        <f t="shared" ref="E51:K51" si="7">SUM(E45:E50)</f>
        <v>375319</v>
      </c>
      <c r="F51" s="40">
        <f t="shared" si="7"/>
        <v>365725</v>
      </c>
      <c r="G51" s="147">
        <f t="shared" si="7"/>
        <v>374396.6882454697</v>
      </c>
      <c r="H51" s="147">
        <f t="shared" si="7"/>
        <v>444656.27564706397</v>
      </c>
      <c r="I51" s="147">
        <f t="shared" si="7"/>
        <v>521720.50036112103</v>
      </c>
      <c r="J51" s="147">
        <f t="shared" si="7"/>
        <v>604226.04742279102</v>
      </c>
      <c r="K51" s="147">
        <f t="shared" si="7"/>
        <v>692449.76373071619</v>
      </c>
    </row>
    <row r="52" spans="3:13">
      <c r="C52" s="41"/>
      <c r="D52" s="42"/>
      <c r="E52" s="42"/>
      <c r="F52" s="42"/>
      <c r="G52" s="153"/>
      <c r="H52" s="153"/>
      <c r="I52" s="153"/>
      <c r="J52" s="153"/>
      <c r="K52" s="153"/>
    </row>
    <row r="53" spans="3:13">
      <c r="C53" s="41" t="s">
        <v>57</v>
      </c>
      <c r="D53" s="37"/>
      <c r="E53" s="37">
        <v>44242</v>
      </c>
      <c r="F53" s="37">
        <v>55888</v>
      </c>
      <c r="G53" s="151">
        <f>F53*G18/F18</f>
        <v>54125.616922269706</v>
      </c>
      <c r="H53" s="151">
        <f>G53*H18/G18</f>
        <v>57096.434545623881</v>
      </c>
      <c r="I53" s="151">
        <f>H53*I18/H18</f>
        <v>60937.484185928995</v>
      </c>
      <c r="J53" s="151">
        <f>I53*J18/I18</f>
        <v>65142.170594758099</v>
      </c>
      <c r="K53" s="151">
        <f>J53*K18/J18</f>
        <v>69636.980365796408</v>
      </c>
      <c r="M53" s="5" t="s">
        <v>104</v>
      </c>
    </row>
    <row r="54" spans="3:13">
      <c r="C54" s="41" t="s">
        <v>117</v>
      </c>
      <c r="D54" s="37"/>
      <c r="E54" s="37">
        <v>30551</v>
      </c>
      <c r="F54" s="37">
        <v>32687</v>
      </c>
      <c r="G54" s="151">
        <f>F54*(1+G36)</f>
        <v>31379.52</v>
      </c>
      <c r="H54" s="151">
        <f>G54*(1+H36)</f>
        <v>33262.2912</v>
      </c>
      <c r="I54" s="151">
        <f>H54*(1+I36)</f>
        <v>35557.389292799999</v>
      </c>
      <c r="J54" s="151">
        <f>I54*(1+J36)</f>
        <v>38010.849154003197</v>
      </c>
      <c r="K54" s="151">
        <f>J54*(1+K36)</f>
        <v>40633.597745629413</v>
      </c>
      <c r="M54" s="5" t="s">
        <v>103</v>
      </c>
    </row>
    <row r="55" spans="3:13">
      <c r="C55" s="41" t="s">
        <v>58</v>
      </c>
      <c r="D55" s="37"/>
      <c r="E55" s="37">
        <f>7548+2836</f>
        <v>10384</v>
      </c>
      <c r="F55" s="37">
        <f>7543+2797</f>
        <v>10340</v>
      </c>
      <c r="G55" s="151">
        <f>F55*(1+G36)</f>
        <v>9926.4</v>
      </c>
      <c r="H55" s="151">
        <f>G55*(1+H36)</f>
        <v>10521.984</v>
      </c>
      <c r="I55" s="151">
        <f>H55*(1+I36)</f>
        <v>11248.000896</v>
      </c>
      <c r="J55" s="151">
        <f>I55*(1+J36)</f>
        <v>12024.112957824</v>
      </c>
      <c r="K55" s="151">
        <f>J55*(1+K36)</f>
        <v>12853.776751913854</v>
      </c>
      <c r="M55" s="5" t="s">
        <v>103</v>
      </c>
    </row>
    <row r="56" spans="3:13">
      <c r="C56" s="41" t="s">
        <v>60</v>
      </c>
      <c r="D56" s="37"/>
      <c r="E56" s="37">
        <v>11977</v>
      </c>
      <c r="F56" s="37">
        <v>11964</v>
      </c>
      <c r="G56" s="152"/>
      <c r="H56" s="152"/>
      <c r="I56" s="152"/>
      <c r="J56" s="152"/>
      <c r="K56" s="152"/>
      <c r="M56" s="5" t="s">
        <v>106</v>
      </c>
    </row>
    <row r="57" spans="3:13">
      <c r="C57" s="41" t="s">
        <v>122</v>
      </c>
      <c r="D57" s="37"/>
      <c r="E57" s="37">
        <f>6496+97207</f>
        <v>103703</v>
      </c>
      <c r="F57" s="37">
        <f>8784+93735</f>
        <v>102519</v>
      </c>
      <c r="G57" s="151">
        <f>F57</f>
        <v>102519</v>
      </c>
      <c r="H57" s="151">
        <f t="shared" ref="H57:K57" si="8">G57</f>
        <v>102519</v>
      </c>
      <c r="I57" s="151">
        <f t="shared" si="8"/>
        <v>102519</v>
      </c>
      <c r="J57" s="151">
        <f t="shared" si="8"/>
        <v>102519</v>
      </c>
      <c r="K57" s="151">
        <f t="shared" si="8"/>
        <v>102519</v>
      </c>
      <c r="M57" s="5" t="s">
        <v>100</v>
      </c>
    </row>
    <row r="58" spans="3:13" ht="15.75" customHeight="1">
      <c r="C58" s="41" t="s">
        <v>59</v>
      </c>
      <c r="D58" s="37"/>
      <c r="E58" s="37">
        <v>40415</v>
      </c>
      <c r="F58" s="37">
        <v>45180</v>
      </c>
      <c r="G58" s="151">
        <f>F58*(1+G36)</f>
        <v>43372.799999999996</v>
      </c>
      <c r="H58" s="151">
        <f t="shared" ref="H58:K58" si="9">G58*(1+H36)</f>
        <v>45975.167999999998</v>
      </c>
      <c r="I58" s="151">
        <f t="shared" si="9"/>
        <v>49147.454591999995</v>
      </c>
      <c r="J58" s="151">
        <f t="shared" si="9"/>
        <v>52538.628958847992</v>
      </c>
      <c r="K58" s="151">
        <f t="shared" si="9"/>
        <v>56163.794357008504</v>
      </c>
      <c r="L58" s="6"/>
      <c r="M58" t="s">
        <v>103</v>
      </c>
    </row>
    <row r="59" spans="3:13">
      <c r="C59" s="39" t="s">
        <v>24</v>
      </c>
      <c r="D59" s="43"/>
      <c r="E59" s="43">
        <f t="shared" ref="E59:K59" si="10">SUM(E53:E58)</f>
        <v>241272</v>
      </c>
      <c r="F59" s="43">
        <f t="shared" si="10"/>
        <v>258578</v>
      </c>
      <c r="G59" s="147">
        <f t="shared" si="10"/>
        <v>241323.33692226969</v>
      </c>
      <c r="H59" s="147">
        <f t="shared" si="10"/>
        <v>249374.87774562387</v>
      </c>
      <c r="I59" s="147">
        <f t="shared" si="10"/>
        <v>259409.32896672899</v>
      </c>
      <c r="J59" s="147">
        <f t="shared" si="10"/>
        <v>270234.7616654333</v>
      </c>
      <c r="K59" s="147">
        <f t="shared" si="10"/>
        <v>281807.14922034822</v>
      </c>
    </row>
    <row r="60" spans="3:13">
      <c r="C60" s="39"/>
      <c r="D60" s="43"/>
      <c r="E60" s="43"/>
      <c r="F60" s="43"/>
      <c r="G60" s="34"/>
      <c r="H60" s="34"/>
      <c r="I60" s="34"/>
      <c r="J60" s="34"/>
      <c r="K60" s="34"/>
    </row>
    <row r="61" spans="3:13">
      <c r="C61" s="41" t="s">
        <v>61</v>
      </c>
      <c r="D61" s="37"/>
      <c r="E61" s="37">
        <v>35867</v>
      </c>
      <c r="F61" s="3">
        <v>40201</v>
      </c>
      <c r="G61" s="151">
        <f>F61+G32</f>
        <v>45327.4</v>
      </c>
      <c r="H61" s="151">
        <f>G61+H32</f>
        <v>50761.383999999998</v>
      </c>
      <c r="I61" s="151">
        <f>H61+I32</f>
        <v>56570.312895999996</v>
      </c>
      <c r="J61" s="151">
        <f>I61+J32</f>
        <v>62780.057885823997</v>
      </c>
      <c r="K61" s="151">
        <f>J61+K32</f>
        <v>69418.275279945854</v>
      </c>
      <c r="M61" s="5" t="s">
        <v>155</v>
      </c>
    </row>
    <row r="62" spans="3:13" ht="15.75" customHeight="1">
      <c r="C62" s="41" t="s">
        <v>44</v>
      </c>
      <c r="D62" s="38"/>
      <c r="E62" s="37">
        <v>98330</v>
      </c>
      <c r="F62" s="3">
        <v>70400</v>
      </c>
      <c r="G62" s="152"/>
      <c r="H62" s="152"/>
      <c r="I62" s="152"/>
      <c r="J62" s="152"/>
      <c r="K62" s="152"/>
      <c r="M62" s="5" t="s">
        <v>107</v>
      </c>
    </row>
    <row r="63" spans="3:13" ht="15.75" customHeight="1">
      <c r="C63" s="41" t="s">
        <v>121</v>
      </c>
      <c r="D63" s="37"/>
      <c r="E63" s="37">
        <v>-150</v>
      </c>
      <c r="F63" s="3">
        <v>-3454</v>
      </c>
      <c r="G63" s="151">
        <f>F63</f>
        <v>-3454</v>
      </c>
      <c r="H63" s="151">
        <f>G63</f>
        <v>-3454</v>
      </c>
      <c r="I63" s="151">
        <f>H63</f>
        <v>-3454</v>
      </c>
      <c r="J63" s="151">
        <f>I63</f>
        <v>-3454</v>
      </c>
      <c r="K63" s="151">
        <f>J63</f>
        <v>-3454</v>
      </c>
      <c r="M63" s="5" t="s">
        <v>100</v>
      </c>
    </row>
    <row r="64" spans="3:13">
      <c r="C64" s="39" t="s">
        <v>25</v>
      </c>
      <c r="D64" s="44"/>
      <c r="E64" s="44">
        <f t="shared" ref="E64:K64" si="11">SUM(E61:E63)</f>
        <v>134047</v>
      </c>
      <c r="F64" s="44">
        <f t="shared" si="11"/>
        <v>107147</v>
      </c>
      <c r="G64" s="147">
        <f t="shared" si="11"/>
        <v>41873.4</v>
      </c>
      <c r="H64" s="147">
        <f t="shared" si="11"/>
        <v>47307.383999999998</v>
      </c>
      <c r="I64" s="147">
        <f t="shared" si="11"/>
        <v>53116.312895999996</v>
      </c>
      <c r="J64" s="147">
        <f t="shared" si="11"/>
        <v>59326.057885823997</v>
      </c>
      <c r="K64" s="147">
        <f t="shared" si="11"/>
        <v>65964.275279945854</v>
      </c>
    </row>
    <row r="65" spans="3:13">
      <c r="C65" s="6"/>
      <c r="D65" s="45"/>
      <c r="E65" s="45"/>
      <c r="F65" s="45"/>
    </row>
    <row r="66" spans="3:13">
      <c r="C66" s="14" t="s">
        <v>26</v>
      </c>
      <c r="D66" s="46"/>
      <c r="E66" s="46">
        <f t="shared" ref="E66:K66" si="12">ROUND(E51-E59-E64,3)</f>
        <v>0</v>
      </c>
      <c r="F66" s="46">
        <f t="shared" si="12"/>
        <v>0</v>
      </c>
      <c r="G66" s="46">
        <f t="shared" si="12"/>
        <v>91199.951000000001</v>
      </c>
      <c r="H66" s="46">
        <f t="shared" si="12"/>
        <v>147974.014</v>
      </c>
      <c r="I66" s="46">
        <f t="shared" si="12"/>
        <v>209194.85800000001</v>
      </c>
      <c r="J66" s="46">
        <f t="shared" si="12"/>
        <v>274665.228</v>
      </c>
      <c r="K66" s="46">
        <f t="shared" si="12"/>
        <v>344678.33899999998</v>
      </c>
    </row>
    <row r="67" spans="3:13">
      <c r="E67" s="34"/>
      <c r="F67" s="34"/>
      <c r="H67" s="34"/>
      <c r="I67" s="34"/>
      <c r="J67" s="34"/>
      <c r="K67" s="34"/>
    </row>
    <row r="68" spans="3:13">
      <c r="C68" s="7" t="s">
        <v>32</v>
      </c>
      <c r="D68" s="13"/>
      <c r="E68" s="13"/>
      <c r="F68" s="13"/>
      <c r="G68" s="13"/>
      <c r="H68" s="13"/>
      <c r="I68" s="13"/>
      <c r="J68" s="13"/>
      <c r="K68" s="13"/>
    </row>
    <row r="69" spans="3:13">
      <c r="C69" s="35" t="str">
        <f>C14</f>
        <v xml:space="preserve">Fiscal year  </v>
      </c>
      <c r="D69" s="30"/>
      <c r="E69" s="30"/>
      <c r="F69" s="30"/>
      <c r="G69" s="31">
        <f t="shared" ref="G69:K70" si="13">G14</f>
        <v>2019</v>
      </c>
      <c r="H69" s="31">
        <f t="shared" si="13"/>
        <v>2020</v>
      </c>
      <c r="I69" s="31">
        <f t="shared" si="13"/>
        <v>2021</v>
      </c>
      <c r="J69" s="31">
        <f t="shared" si="13"/>
        <v>2022</v>
      </c>
      <c r="K69" s="31">
        <f t="shared" si="13"/>
        <v>2023</v>
      </c>
    </row>
    <row r="70" spans="3:13">
      <c r="C70" s="9" t="str">
        <f>C15</f>
        <v>Fiscal year end date</v>
      </c>
      <c r="D70" s="32"/>
      <c r="E70" s="32"/>
      <c r="F70" s="32"/>
      <c r="G70" s="32">
        <f t="shared" si="13"/>
        <v>43738</v>
      </c>
      <c r="H70" s="32">
        <f t="shared" si="13"/>
        <v>44104</v>
      </c>
      <c r="I70" s="32">
        <f t="shared" si="13"/>
        <v>44469</v>
      </c>
      <c r="J70" s="32">
        <f t="shared" si="13"/>
        <v>44834</v>
      </c>
      <c r="K70" s="32">
        <f t="shared" si="13"/>
        <v>45199</v>
      </c>
    </row>
    <row r="72" spans="3:13">
      <c r="C72" s="6" t="s">
        <v>2</v>
      </c>
      <c r="D72" s="50"/>
      <c r="E72" s="50"/>
      <c r="F72" s="50"/>
      <c r="G72" s="151">
        <f>G28</f>
        <v>51031.271323200002</v>
      </c>
      <c r="H72" s="151">
        <f>H28</f>
        <v>55490.56177824</v>
      </c>
      <c r="I72" s="151">
        <f>I28</f>
        <v>59656.257121752002</v>
      </c>
      <c r="J72" s="151">
        <f>J28</f>
        <v>63797.825362152886</v>
      </c>
      <c r="K72" s="151">
        <f>K28</f>
        <v>68225.161811141428</v>
      </c>
      <c r="M72" s="24"/>
    </row>
    <row r="73" spans="3:13">
      <c r="C73" s="6" t="s">
        <v>33</v>
      </c>
      <c r="D73" s="50"/>
      <c r="E73" s="50"/>
      <c r="F73" s="50"/>
      <c r="G73" s="152"/>
      <c r="H73" s="152"/>
      <c r="I73" s="152"/>
      <c r="J73" s="152"/>
      <c r="K73" s="152"/>
    </row>
    <row r="74" spans="3:13">
      <c r="C74" s="6" t="s">
        <v>74</v>
      </c>
      <c r="D74" s="50"/>
      <c r="E74" s="50"/>
      <c r="F74" s="50"/>
      <c r="G74" s="151">
        <f>G32</f>
        <v>5126.3999999999996</v>
      </c>
      <c r="H74" s="151">
        <f>H32</f>
        <v>5433.9839999999995</v>
      </c>
      <c r="I74" s="151">
        <f>I32</f>
        <v>5808.9288959999994</v>
      </c>
      <c r="J74" s="151">
        <f>J32</f>
        <v>6209.7449898239993</v>
      </c>
      <c r="K74" s="151">
        <f>K32</f>
        <v>6638.2173941218552</v>
      </c>
    </row>
    <row r="75" spans="3:13">
      <c r="C75" s="6" t="s">
        <v>65</v>
      </c>
      <c r="D75" s="22"/>
      <c r="E75" s="22"/>
      <c r="F75" s="22"/>
      <c r="G75" s="151">
        <f>-1*(SUM(G46:G48)-SUM(F46:F48))</f>
        <v>2568.0292745401748</v>
      </c>
      <c r="H75" s="151">
        <f>-1*(SUM(H46:H48)-SUM(G46:G48))</f>
        <v>-3728.6108202044925</v>
      </c>
      <c r="I75" s="151">
        <f>-1*(SUM(I46:I48)-SUM(H46:H48))</f>
        <v>-4560.7224748067092</v>
      </c>
      <c r="J75" s="151">
        <f>-1*(SUM(J46:J48)-SUM(I46:I48))</f>
        <v>-4882.3919774125097</v>
      </c>
      <c r="K75" s="151">
        <f>-1*(SUM(K46:K48)-SUM(J46:J48))</f>
        <v>-5219.277023853967</v>
      </c>
    </row>
    <row r="76" spans="3:13">
      <c r="C76" s="6" t="s">
        <v>66</v>
      </c>
      <c r="D76" s="22"/>
      <c r="E76" s="22"/>
      <c r="F76" s="22"/>
      <c r="G76" s="151">
        <f>SUM(G53:G55)-SUM(F53:F55)</f>
        <v>-3483.4630777302955</v>
      </c>
      <c r="H76" s="151">
        <f>SUM(H53:H55)-SUM(G53:G55)</f>
        <v>5449.1728233541653</v>
      </c>
      <c r="I76" s="151">
        <f>SUM(I53:I55)-SUM(H53:H55)</f>
        <v>6862.1646291051147</v>
      </c>
      <c r="J76" s="151">
        <f>SUM(J53:J55)-SUM(I53:I55)</f>
        <v>7434.2583318562974</v>
      </c>
      <c r="K76" s="151">
        <f>SUM(K53:K55)-SUM(J53:J55)</f>
        <v>7947.2221567544038</v>
      </c>
    </row>
    <row r="77" spans="3:13">
      <c r="C77" s="21" t="s">
        <v>56</v>
      </c>
      <c r="E77" s="6"/>
      <c r="F77" s="6"/>
      <c r="G77" s="152"/>
      <c r="H77" s="152"/>
      <c r="I77" s="152"/>
      <c r="J77" s="152"/>
      <c r="K77" s="152"/>
      <c r="L77" s="6"/>
      <c r="M77" s="5" t="s">
        <v>127</v>
      </c>
    </row>
    <row r="78" spans="3:13">
      <c r="C78" s="21" t="s">
        <v>59</v>
      </c>
      <c r="E78" s="6"/>
      <c r="F78" s="6"/>
      <c r="G78" s="151">
        <f>G58-F58</f>
        <v>-1807.2000000000044</v>
      </c>
      <c r="H78" s="151">
        <f>H58-G58</f>
        <v>2602.3680000000022</v>
      </c>
      <c r="I78" s="151">
        <f>I58-H58</f>
        <v>3172.2865919999967</v>
      </c>
      <c r="J78" s="151">
        <f>J58-I58</f>
        <v>3391.1743668479976</v>
      </c>
      <c r="K78" s="151">
        <f>K58-J58</f>
        <v>3625.1653981605123</v>
      </c>
      <c r="L78" s="6"/>
      <c r="M78" s="24"/>
    </row>
    <row r="79" spans="3:13">
      <c r="C79" s="19" t="s">
        <v>34</v>
      </c>
      <c r="G79" s="147">
        <f>SUM(G72:G78)</f>
        <v>53435.037520009879</v>
      </c>
      <c r="H79" s="147">
        <f>SUM(H72:H78)</f>
        <v>65247.475781389672</v>
      </c>
      <c r="I79" s="147">
        <f>SUM(I72:I78)</f>
        <v>70938.914764050394</v>
      </c>
      <c r="J79" s="147">
        <f>SUM(J72:J78)</f>
        <v>75950.611073268665</v>
      </c>
      <c r="K79" s="147">
        <f>SUM(K72:K78)</f>
        <v>81216.489736324234</v>
      </c>
    </row>
    <row r="80" spans="3:13">
      <c r="C80" s="6"/>
      <c r="G80" s="34"/>
      <c r="H80" s="34"/>
      <c r="I80" s="34"/>
      <c r="J80" s="34"/>
      <c r="K80" s="34"/>
    </row>
    <row r="81" spans="3:11">
      <c r="C81" s="6" t="s">
        <v>35</v>
      </c>
      <c r="G81" s="152"/>
      <c r="H81" s="152"/>
      <c r="I81" s="152"/>
      <c r="J81" s="152"/>
      <c r="K81" s="152"/>
    </row>
    <row r="82" spans="3:11">
      <c r="C82" s="19" t="s">
        <v>36</v>
      </c>
      <c r="G82" s="147">
        <f>IFERROR(G81,"NA")</f>
        <v>0</v>
      </c>
      <c r="H82" s="147">
        <f>IFERROR(H81,"NA")</f>
        <v>0</v>
      </c>
      <c r="I82" s="147">
        <f>IFERROR(I81,"NA")</f>
        <v>0</v>
      </c>
      <c r="J82" s="147">
        <f>IFERROR(J81,"NA")</f>
        <v>0</v>
      </c>
      <c r="K82" s="147">
        <f>IFERROR(K81,"NA")</f>
        <v>0</v>
      </c>
    </row>
    <row r="83" spans="3:11">
      <c r="C83" s="6"/>
      <c r="G83" s="153"/>
      <c r="H83" s="153"/>
      <c r="I83" s="153"/>
      <c r="J83" s="153"/>
      <c r="K83" s="153"/>
    </row>
    <row r="84" spans="3:11">
      <c r="C84" s="6" t="s">
        <v>67</v>
      </c>
      <c r="G84" s="151">
        <f>G57-F57</f>
        <v>0</v>
      </c>
      <c r="H84" s="151">
        <f>H57-G57</f>
        <v>0</v>
      </c>
      <c r="I84" s="151">
        <f>I57-H57</f>
        <v>0</v>
      </c>
      <c r="J84" s="151">
        <f>J57-I57</f>
        <v>0</v>
      </c>
      <c r="K84" s="151">
        <f>K57-J57</f>
        <v>0</v>
      </c>
    </row>
    <row r="85" spans="3:11">
      <c r="C85" s="6" t="s">
        <v>23</v>
      </c>
      <c r="G85" s="152"/>
      <c r="H85" s="152"/>
      <c r="I85" s="152"/>
      <c r="J85" s="152"/>
      <c r="K85" s="152"/>
    </row>
    <row r="86" spans="3:11">
      <c r="C86" s="21" t="s">
        <v>70</v>
      </c>
      <c r="G86" s="152"/>
      <c r="H86" s="152"/>
      <c r="I86" s="152"/>
      <c r="J86" s="152"/>
      <c r="K86" s="152"/>
    </row>
    <row r="87" spans="3:11">
      <c r="C87" s="21" t="s">
        <v>71</v>
      </c>
      <c r="G87" s="152"/>
      <c r="H87" s="152"/>
      <c r="I87" s="152"/>
      <c r="J87" s="152"/>
      <c r="K87" s="152"/>
    </row>
    <row r="88" spans="3:11">
      <c r="C88" s="19" t="s">
        <v>37</v>
      </c>
      <c r="G88" s="147">
        <f>SUM(G84:G87)</f>
        <v>0</v>
      </c>
      <c r="H88" s="147">
        <f>SUM(H84:H87)</f>
        <v>0</v>
      </c>
      <c r="I88" s="147">
        <f>SUM(I84:I87)</f>
        <v>0</v>
      </c>
      <c r="J88" s="147">
        <f>SUM(J84:J87)</f>
        <v>0</v>
      </c>
      <c r="K88" s="147">
        <f>SUM(K84:K87)</f>
        <v>0</v>
      </c>
    </row>
    <row r="89" spans="3:11">
      <c r="G89" s="153"/>
      <c r="H89" s="153"/>
      <c r="I89" s="153"/>
      <c r="J89" s="153"/>
      <c r="K89" s="153"/>
    </row>
    <row r="90" spans="3:11">
      <c r="C90" s="24" t="s">
        <v>38</v>
      </c>
      <c r="G90" s="147">
        <f>G79+G82+G88</f>
        <v>53435.037520009879</v>
      </c>
      <c r="H90" s="147">
        <f>H79+H82+H88</f>
        <v>65247.475781389672</v>
      </c>
      <c r="I90" s="147">
        <f>I79+I82+I88</f>
        <v>70938.914764050394</v>
      </c>
      <c r="J90" s="147">
        <f>J79+J82+J88</f>
        <v>75950.611073268665</v>
      </c>
      <c r="K90" s="147">
        <f>K79+K82+K88</f>
        <v>81216.489736324234</v>
      </c>
    </row>
  </sheetData>
  <conditionalFormatting sqref="C39">
    <cfRule type="expression" dxfId="23" priority="3">
      <formula>#REF!=$C39</formula>
    </cfRule>
  </conditionalFormatting>
  <dataValidations disablePrompts="1" count="2">
    <dataValidation type="list" allowBlank="1" showInputMessage="1" showErrorMessage="1" sqref="C3" xr:uid="{02057BD1-B010-40D1-8245-06B5FE750319}">
      <formula1>"$ bns except per share, $ mm except per share,$ in thousands except per share"</formula1>
    </dataValidation>
    <dataValidation type="list" allowBlank="1" showInputMessage="1" showErrorMessage="1" sqref="D7" xr:uid="{AF60976A-F449-4637-B950-5C51DF65DEA9}">
      <formula1>"0,1"</formula1>
    </dataValidation>
  </dataValidations>
  <pageMargins left="0.7" right="0.7" top="0.75" bottom="0.75" header="0.3" footer="0.3"/>
  <pageSetup scale="38"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A1621-455D-4421-A091-A6301FBCF730}">
  <dimension ref="C1:T122"/>
  <sheetViews>
    <sheetView topLeftCell="A67" zoomScaleNormal="100" workbookViewId="0">
      <selection activeCell="I74" sqref="I74"/>
    </sheetView>
  </sheetViews>
  <sheetFormatPr defaultColWidth="8.85546875" defaultRowHeight="15"/>
  <cols>
    <col min="1" max="2" width="1.7109375" style="5" customWidth="1"/>
    <col min="3" max="3" width="42.7109375" style="5" customWidth="1"/>
    <col min="4" max="11" width="12.7109375" style="5" customWidth="1"/>
    <col min="12" max="12" width="2.7109375" style="5" customWidth="1"/>
    <col min="13" max="13" width="11.42578125" style="5" customWidth="1"/>
    <col min="14" max="14" width="11.85546875" style="5" customWidth="1"/>
    <col min="15" max="17" width="10.28515625" style="5" bestFit="1" customWidth="1"/>
    <col min="18" max="19" width="9.42578125" style="5" bestFit="1" customWidth="1"/>
    <col min="20" max="16384" width="8.85546875" style="5"/>
  </cols>
  <sheetData>
    <row r="1" spans="3:19" ht="15.75" thickBot="1"/>
    <row r="2" spans="3:19" ht="15.75" thickBot="1">
      <c r="C2" s="96" t="str">
        <f>"Financial Statement Model for "&amp;D5</f>
        <v>Financial Statement Model for Apple</v>
      </c>
      <c r="D2" s="79"/>
      <c r="E2" s="79"/>
      <c r="F2" s="79"/>
      <c r="G2" s="79"/>
      <c r="H2" s="79"/>
      <c r="I2" s="79"/>
      <c r="J2" s="79"/>
      <c r="K2" s="79"/>
    </row>
    <row r="3" spans="3:19">
      <c r="C3" s="2" t="s">
        <v>46</v>
      </c>
      <c r="D3" s="64"/>
      <c r="E3" s="64"/>
      <c r="F3" s="64"/>
      <c r="G3" s="64"/>
      <c r="H3" s="64"/>
      <c r="I3" s="6"/>
      <c r="J3" s="6"/>
      <c r="K3" s="6"/>
    </row>
    <row r="4" spans="3:19">
      <c r="O4" s="6"/>
      <c r="P4" s="6"/>
    </row>
    <row r="5" spans="3:19">
      <c r="C5" s="1" t="s">
        <v>5</v>
      </c>
      <c r="D5" s="112" t="s">
        <v>50</v>
      </c>
      <c r="O5" s="6"/>
      <c r="P5" s="6"/>
    </row>
    <row r="6" spans="3:19">
      <c r="C6" s="1" t="s">
        <v>6</v>
      </c>
      <c r="D6" s="112" t="s">
        <v>51</v>
      </c>
      <c r="O6" s="6"/>
      <c r="P6" s="6"/>
    </row>
    <row r="7" spans="3:19">
      <c r="C7" s="5" t="s">
        <v>109</v>
      </c>
      <c r="D7" s="113">
        <v>1</v>
      </c>
      <c r="O7" s="6"/>
      <c r="P7" s="6"/>
    </row>
    <row r="8" spans="3:19">
      <c r="C8" s="5" t="s">
        <v>73</v>
      </c>
      <c r="D8" s="114">
        <v>171.25</v>
      </c>
      <c r="O8" s="6"/>
      <c r="P8" s="6"/>
    </row>
    <row r="9" spans="3:19">
      <c r="C9" s="5" t="s">
        <v>9</v>
      </c>
      <c r="D9" s="115">
        <v>43500</v>
      </c>
      <c r="O9" s="6"/>
      <c r="P9" s="6"/>
    </row>
    <row r="10" spans="3:19">
      <c r="C10" s="1" t="s">
        <v>8</v>
      </c>
      <c r="D10" s="116">
        <v>43372</v>
      </c>
      <c r="G10" s="427"/>
      <c r="O10" s="6"/>
      <c r="P10" s="6"/>
    </row>
    <row r="11" spans="3:19" ht="15" customHeight="1">
      <c r="C11" t="s">
        <v>292</v>
      </c>
      <c r="D11" s="132">
        <v>4745.3980000000001</v>
      </c>
      <c r="O11" s="6"/>
      <c r="P11" s="6"/>
    </row>
    <row r="12" spans="3:19">
      <c r="O12" s="6"/>
      <c r="P12" s="6"/>
    </row>
    <row r="13" spans="3:19">
      <c r="C13" s="7" t="s">
        <v>19</v>
      </c>
      <c r="D13" s="9"/>
      <c r="E13" s="9"/>
      <c r="F13" s="9"/>
      <c r="G13" s="9"/>
      <c r="H13" s="9"/>
      <c r="I13" s="9"/>
      <c r="J13" s="9"/>
      <c r="K13" s="9"/>
      <c r="Q13" s="6"/>
    </row>
    <row r="14" spans="3:19">
      <c r="C14" s="6" t="s">
        <v>10</v>
      </c>
      <c r="D14" s="10">
        <f>E14-1</f>
        <v>2016</v>
      </c>
      <c r="E14" s="10">
        <f>F14-1</f>
        <v>2017</v>
      </c>
      <c r="F14" s="10">
        <f>YEAR(D10)</f>
        <v>2018</v>
      </c>
      <c r="G14" s="11">
        <f>F14+1</f>
        <v>2019</v>
      </c>
      <c r="H14" s="11">
        <f>G14+1</f>
        <v>2020</v>
      </c>
      <c r="I14" s="11">
        <f>H14+1</f>
        <v>2021</v>
      </c>
      <c r="J14" s="11">
        <f>I14+1</f>
        <v>2022</v>
      </c>
      <c r="K14" s="11">
        <f>J14+1</f>
        <v>2023</v>
      </c>
      <c r="Q14" s="6"/>
    </row>
    <row r="15" spans="3:19">
      <c r="C15" s="12" t="s">
        <v>7</v>
      </c>
      <c r="D15" s="89">
        <f>EOMONTH(E15,-12)</f>
        <v>42643</v>
      </c>
      <c r="E15" s="89">
        <f>EOMONTH(F15,-12)</f>
        <v>43008</v>
      </c>
      <c r="F15" s="89">
        <f>D10</f>
        <v>43372</v>
      </c>
      <c r="G15" s="89">
        <f>EOMONTH(F15,12)</f>
        <v>43738</v>
      </c>
      <c r="H15" s="89">
        <f>EOMONTH(G15,12)</f>
        <v>44104</v>
      </c>
      <c r="I15" s="89">
        <f>EOMONTH(H15,12)</f>
        <v>44469</v>
      </c>
      <c r="J15" s="89">
        <f>EOMONTH(I15,12)</f>
        <v>44834</v>
      </c>
      <c r="K15" s="89">
        <f>EOMONTH(J15,12)</f>
        <v>45199</v>
      </c>
      <c r="M15" s="84" t="s">
        <v>86</v>
      </c>
      <c r="N15" s="97"/>
      <c r="O15" s="97"/>
      <c r="P15" s="97"/>
      <c r="Q15" s="97"/>
      <c r="R15" s="97"/>
      <c r="S15" s="97"/>
    </row>
    <row r="16" spans="3:19">
      <c r="C16" s="14"/>
      <c r="D16" s="15"/>
      <c r="E16" s="16"/>
      <c r="F16" s="16"/>
      <c r="G16" s="85"/>
      <c r="H16" s="86"/>
      <c r="I16" s="86"/>
      <c r="J16" s="16"/>
      <c r="K16" s="16"/>
    </row>
    <row r="17" spans="3:14">
      <c r="C17" s="6" t="s">
        <v>11</v>
      </c>
      <c r="D17" s="17">
        <v>215639</v>
      </c>
      <c r="E17" s="17">
        <v>229234</v>
      </c>
      <c r="F17" s="17">
        <v>265595</v>
      </c>
      <c r="G17" s="151">
        <f>F17*(1+G36)</f>
        <v>254971.19999999998</v>
      </c>
      <c r="H17" s="151">
        <f t="shared" ref="H17:K17" si="0">G17*(1+H36)</f>
        <v>270269.47200000001</v>
      </c>
      <c r="I17" s="151">
        <f t="shared" si="0"/>
        <v>288918.06556800002</v>
      </c>
      <c r="J17" s="151">
        <f t="shared" si="0"/>
        <v>308853.41209219198</v>
      </c>
      <c r="K17" s="151">
        <f t="shared" si="0"/>
        <v>330164.29752655321</v>
      </c>
      <c r="M17" s="5" t="s">
        <v>87</v>
      </c>
    </row>
    <row r="18" spans="3:14">
      <c r="C18" s="6" t="s">
        <v>14</v>
      </c>
      <c r="D18" s="17">
        <v>-131376</v>
      </c>
      <c r="E18" s="17">
        <v>-141048</v>
      </c>
      <c r="F18" s="17">
        <v>-163756</v>
      </c>
      <c r="G18" s="151">
        <f>G19-G17</f>
        <v>-158592.08639999997</v>
      </c>
      <c r="H18" s="151">
        <f t="shared" ref="H18:K18" si="1">H19-H17</f>
        <v>-167296.80316800001</v>
      </c>
      <c r="I18" s="151">
        <f t="shared" si="1"/>
        <v>-178551.36452102399</v>
      </c>
      <c r="J18" s="151">
        <f t="shared" si="1"/>
        <v>-190871.40867297465</v>
      </c>
      <c r="K18" s="151">
        <f t="shared" si="1"/>
        <v>-204041.53587140987</v>
      </c>
      <c r="M18" s="5" t="s">
        <v>88</v>
      </c>
    </row>
    <row r="19" spans="3:14">
      <c r="C19" s="19" t="s">
        <v>13</v>
      </c>
      <c r="D19" s="20">
        <f>SUM(D17:D18)</f>
        <v>84263</v>
      </c>
      <c r="E19" s="20">
        <f>SUM(E17:E18)</f>
        <v>88186</v>
      </c>
      <c r="F19" s="20">
        <f>SUM(F17:F18)</f>
        <v>101839</v>
      </c>
      <c r="G19" s="147">
        <f>G37*G17</f>
        <v>96379.113599999997</v>
      </c>
      <c r="H19" s="147">
        <f t="shared" ref="H19:K19" si="2">H37*H17</f>
        <v>102972.66883200001</v>
      </c>
      <c r="I19" s="147">
        <f t="shared" si="2"/>
        <v>110366.70104697601</v>
      </c>
      <c r="J19" s="147">
        <f t="shared" si="2"/>
        <v>117982.00341921733</v>
      </c>
      <c r="K19" s="147">
        <f t="shared" si="2"/>
        <v>126122.76165514333</v>
      </c>
      <c r="M19" s="87" t="s">
        <v>89</v>
      </c>
    </row>
    <row r="20" spans="3:14">
      <c r="C20" s="21" t="s">
        <v>52</v>
      </c>
      <c r="D20" s="17">
        <v>-10045</v>
      </c>
      <c r="E20" s="17">
        <v>-11581</v>
      </c>
      <c r="F20" s="17">
        <v>-14236</v>
      </c>
      <c r="G20" s="151">
        <f>-(G38*G17)</f>
        <v>-15808.214399999999</v>
      </c>
      <c r="H20" s="151">
        <f>-(H38*H17)</f>
        <v>-17026.976736000001</v>
      </c>
      <c r="I20" s="151">
        <f>-(I38*I17)</f>
        <v>-18201.838130784003</v>
      </c>
      <c r="J20" s="151">
        <f>-(J38*J17)</f>
        <v>-19457.764961808094</v>
      </c>
      <c r="K20" s="151">
        <f>-(K38*K17)</f>
        <v>-20800.350744172854</v>
      </c>
      <c r="M20" s="87" t="s">
        <v>233</v>
      </c>
    </row>
    <row r="21" spans="3:14">
      <c r="C21" s="21" t="s">
        <v>16</v>
      </c>
      <c r="D21" s="17">
        <v>-14194</v>
      </c>
      <c r="E21" s="17">
        <v>-15261</v>
      </c>
      <c r="F21" s="17">
        <v>-16705</v>
      </c>
      <c r="G21" s="151">
        <f>-(G39*G17)</f>
        <v>-18867.868799999997</v>
      </c>
      <c r="H21" s="151">
        <f>-(H39*H17)</f>
        <v>-18648.593568000004</v>
      </c>
      <c r="I21" s="151">
        <f>-(I39*I17)</f>
        <v>-19935.346524192002</v>
      </c>
      <c r="J21" s="151">
        <f>-(J39*J17)</f>
        <v>-21310.885434361247</v>
      </c>
      <c r="K21" s="151">
        <f>-(K39*K17)</f>
        <v>-22781.336529332173</v>
      </c>
      <c r="M21" s="87" t="s">
        <v>235</v>
      </c>
    </row>
    <row r="22" spans="3:14">
      <c r="C22" s="19" t="s">
        <v>3</v>
      </c>
      <c r="D22" s="20">
        <f>D19+D20+D21</f>
        <v>60024</v>
      </c>
      <c r="E22" s="20">
        <f>E19+E20+E21</f>
        <v>61344</v>
      </c>
      <c r="F22" s="20">
        <f>F19+F20+F21</f>
        <v>70898</v>
      </c>
      <c r="G22" s="147">
        <f>G19+G20+G21</f>
        <v>61703.030400000003</v>
      </c>
      <c r="H22" s="147">
        <f t="shared" ref="H22:K22" si="3">H19+H20+H21</f>
        <v>67297.098528000002</v>
      </c>
      <c r="I22" s="147">
        <f t="shared" si="3"/>
        <v>72229.516392000005</v>
      </c>
      <c r="J22" s="147">
        <f t="shared" si="3"/>
        <v>77213.353023047996</v>
      </c>
      <c r="K22" s="147">
        <f t="shared" si="3"/>
        <v>82541.074381638304</v>
      </c>
      <c r="M22" s="24" t="s">
        <v>90</v>
      </c>
    </row>
    <row r="23" spans="3:14">
      <c r="C23" s="6" t="s">
        <v>4</v>
      </c>
      <c r="D23" s="17">
        <v>3999</v>
      </c>
      <c r="E23" s="17">
        <v>5201</v>
      </c>
      <c r="F23" s="17">
        <v>5686</v>
      </c>
      <c r="G23" s="136"/>
      <c r="H23" s="136"/>
      <c r="I23" s="136"/>
      <c r="J23" s="136"/>
      <c r="K23" s="136"/>
      <c r="M23" s="5" t="s">
        <v>95</v>
      </c>
    </row>
    <row r="24" spans="3:14">
      <c r="C24" s="6" t="s">
        <v>17</v>
      </c>
      <c r="D24" s="17">
        <v>-1456</v>
      </c>
      <c r="E24" s="17">
        <v>-2323</v>
      </c>
      <c r="F24" s="17">
        <v>-3240</v>
      </c>
      <c r="G24" s="136"/>
      <c r="H24" s="136"/>
      <c r="I24" s="136"/>
      <c r="J24" s="136"/>
      <c r="K24" s="136"/>
      <c r="M24" s="5" t="s">
        <v>94</v>
      </c>
    </row>
    <row r="25" spans="3:14">
      <c r="C25" s="21" t="s">
        <v>53</v>
      </c>
      <c r="D25" s="17">
        <v>-1195</v>
      </c>
      <c r="E25" s="17">
        <v>-133</v>
      </c>
      <c r="F25" s="17">
        <v>-441</v>
      </c>
      <c r="G25" s="151">
        <f>F25</f>
        <v>-441</v>
      </c>
      <c r="H25" s="151">
        <f t="shared" ref="H25:K25" si="4">G25</f>
        <v>-441</v>
      </c>
      <c r="I25" s="151">
        <f t="shared" si="4"/>
        <v>-441</v>
      </c>
      <c r="J25" s="151">
        <f t="shared" si="4"/>
        <v>-441</v>
      </c>
      <c r="K25" s="151">
        <f t="shared" si="4"/>
        <v>-441</v>
      </c>
      <c r="M25" s="5" t="s">
        <v>91</v>
      </c>
    </row>
    <row r="26" spans="3:14">
      <c r="C26" s="19" t="s">
        <v>12</v>
      </c>
      <c r="D26" s="20">
        <f>SUM(D22:D25)</f>
        <v>61372</v>
      </c>
      <c r="E26" s="20">
        <f>SUM(E22:E25)</f>
        <v>64089</v>
      </c>
      <c r="F26" s="20">
        <f>SUM(F22:F25)</f>
        <v>72903</v>
      </c>
      <c r="G26" s="144">
        <f t="shared" ref="G26:K26" si="5">SUM(G22:G25)</f>
        <v>61262.030400000003</v>
      </c>
      <c r="H26" s="144">
        <f t="shared" si="5"/>
        <v>66856.098528000002</v>
      </c>
      <c r="I26" s="144">
        <f t="shared" si="5"/>
        <v>71788.516392000005</v>
      </c>
      <c r="J26" s="144">
        <f t="shared" si="5"/>
        <v>76772.353023047996</v>
      </c>
      <c r="K26" s="144">
        <f t="shared" si="5"/>
        <v>82100.074381638304</v>
      </c>
      <c r="M26" s="24" t="s">
        <v>96</v>
      </c>
      <c r="N26" s="24"/>
    </row>
    <row r="27" spans="3:14">
      <c r="C27" s="6" t="s">
        <v>15</v>
      </c>
      <c r="D27" s="17">
        <v>-15685</v>
      </c>
      <c r="E27" s="17">
        <v>-15738</v>
      </c>
      <c r="F27" s="17">
        <v>-13372</v>
      </c>
      <c r="G27" s="151">
        <f>-G40*G26</f>
        <v>-10230.759076800001</v>
      </c>
      <c r="H27" s="151">
        <f t="shared" ref="H27:K27" si="6">-H40*H26</f>
        <v>-11365.536749760002</v>
      </c>
      <c r="I27" s="151">
        <f t="shared" si="6"/>
        <v>-12132.259270248001</v>
      </c>
      <c r="J27" s="151">
        <f t="shared" si="6"/>
        <v>-12974.527660895112</v>
      </c>
      <c r="K27" s="151">
        <f t="shared" si="6"/>
        <v>-13874.912570496874</v>
      </c>
      <c r="M27" s="5" t="s">
        <v>92</v>
      </c>
    </row>
    <row r="28" spans="3:14">
      <c r="C28" s="19" t="s">
        <v>2</v>
      </c>
      <c r="D28" s="23">
        <f>SUM(D26:D27)</f>
        <v>45687</v>
      </c>
      <c r="E28" s="23">
        <f>SUM(E26:E27)</f>
        <v>48351</v>
      </c>
      <c r="F28" s="23">
        <f>SUM(F26:F27)</f>
        <v>59531</v>
      </c>
      <c r="G28" s="147">
        <f t="shared" ref="G28:K28" si="7">SUM(G26:G27)</f>
        <v>51031.271323200002</v>
      </c>
      <c r="H28" s="147">
        <f t="shared" si="7"/>
        <v>55490.56177824</v>
      </c>
      <c r="I28" s="147">
        <f t="shared" si="7"/>
        <v>59656.257121752002</v>
      </c>
      <c r="J28" s="147">
        <f t="shared" si="7"/>
        <v>63797.825362152886</v>
      </c>
      <c r="K28" s="147">
        <f t="shared" si="7"/>
        <v>68225.161811141428</v>
      </c>
      <c r="M28" s="24" t="s">
        <v>93</v>
      </c>
    </row>
    <row r="29" spans="3:14">
      <c r="C29" s="28"/>
      <c r="D29" s="34"/>
      <c r="E29" s="34"/>
      <c r="F29" s="34"/>
      <c r="G29"/>
      <c r="H29"/>
      <c r="I29"/>
      <c r="J29"/>
      <c r="K29"/>
    </row>
    <row r="30" spans="3:14">
      <c r="C30" s="72" t="s">
        <v>49</v>
      </c>
      <c r="D30" s="3">
        <v>10505</v>
      </c>
      <c r="E30" s="3">
        <v>10157</v>
      </c>
      <c r="F30" s="3">
        <v>10903</v>
      </c>
      <c r="G30" s="435">
        <f>G106</f>
        <v>11085.020171261172</v>
      </c>
      <c r="H30" s="435">
        <f t="shared" ref="H30:K30" si="8">H106</f>
        <v>11711.890744865921</v>
      </c>
      <c r="I30" s="435">
        <f t="shared" si="8"/>
        <v>12226.380531123083</v>
      </c>
      <c r="J30" s="435">
        <f t="shared" si="8"/>
        <v>13365.451007770575</v>
      </c>
      <c r="K30" s="435">
        <f t="shared" si="8"/>
        <v>14603.503412486743</v>
      </c>
      <c r="M30" s="5" t="s">
        <v>159</v>
      </c>
    </row>
    <row r="31" spans="3:14">
      <c r="C31" s="73" t="s">
        <v>47</v>
      </c>
      <c r="D31" s="69">
        <f>D22+D30</f>
        <v>70529</v>
      </c>
      <c r="E31" s="69">
        <f>E22+E30</f>
        <v>71501</v>
      </c>
      <c r="F31" s="69">
        <f>F22+F30</f>
        <v>81801</v>
      </c>
      <c r="G31" s="147">
        <f t="shared" ref="G31:K31" si="9">G22+G30</f>
        <v>72788.050571261178</v>
      </c>
      <c r="H31" s="147">
        <f t="shared" si="9"/>
        <v>79008.989272865918</v>
      </c>
      <c r="I31" s="147">
        <f t="shared" si="9"/>
        <v>84455.896923123088</v>
      </c>
      <c r="J31" s="147">
        <f t="shared" si="9"/>
        <v>90578.804030818574</v>
      </c>
      <c r="K31" s="147">
        <f t="shared" si="9"/>
        <v>97144.577794125042</v>
      </c>
      <c r="M31" s="24" t="s">
        <v>97</v>
      </c>
    </row>
    <row r="32" spans="3:14">
      <c r="C32" s="72" t="s">
        <v>74</v>
      </c>
      <c r="D32" s="3">
        <v>4210</v>
      </c>
      <c r="E32" s="3">
        <v>4840</v>
      </c>
      <c r="F32" s="3">
        <v>5340</v>
      </c>
      <c r="G32" s="151">
        <f>F32*(1+G36)</f>
        <v>5126.3999999999996</v>
      </c>
      <c r="H32" s="151">
        <f t="shared" ref="H32:K32" si="10">G32*(1+H36)</f>
        <v>5433.9839999999995</v>
      </c>
      <c r="I32" s="151">
        <f t="shared" si="10"/>
        <v>5808.9288959999994</v>
      </c>
      <c r="J32" s="151">
        <f t="shared" si="10"/>
        <v>6209.7449898239993</v>
      </c>
      <c r="K32" s="151">
        <f t="shared" si="10"/>
        <v>6638.2173941218552</v>
      </c>
      <c r="M32" s="5" t="s">
        <v>99</v>
      </c>
    </row>
    <row r="33" spans="3:20">
      <c r="C33" s="73" t="s">
        <v>72</v>
      </c>
      <c r="D33" s="69">
        <f>SUM(D31:D32)</f>
        <v>74739</v>
      </c>
      <c r="E33" s="69">
        <f>SUM(E31:E32)</f>
        <v>76341</v>
      </c>
      <c r="F33" s="69">
        <f>SUM(F31:F32)</f>
        <v>87141</v>
      </c>
      <c r="G33" s="147">
        <f t="shared" ref="G33:K33" si="11">SUM(G31:G32)</f>
        <v>77914.450571261172</v>
      </c>
      <c r="H33" s="147">
        <f t="shared" si="11"/>
        <v>84442.973272865915</v>
      </c>
      <c r="I33" s="147">
        <f t="shared" si="11"/>
        <v>90264.825819123085</v>
      </c>
      <c r="J33" s="147">
        <f t="shared" si="11"/>
        <v>96788.549020642575</v>
      </c>
      <c r="K33" s="147">
        <f t="shared" si="11"/>
        <v>103782.79518824689</v>
      </c>
      <c r="M33" s="24" t="s">
        <v>98</v>
      </c>
    </row>
    <row r="34" spans="3:20">
      <c r="C34" s="28"/>
      <c r="G34" s="58"/>
    </row>
    <row r="35" spans="3:20">
      <c r="C35" s="25" t="s">
        <v>18</v>
      </c>
    </row>
    <row r="36" spans="3:20">
      <c r="C36" s="26" t="s">
        <v>1</v>
      </c>
      <c r="D36" s="27"/>
      <c r="E36" s="27">
        <f>E17/D17-1</f>
        <v>6.304518199398057E-2</v>
      </c>
      <c r="F36" s="27">
        <f>F17/E17-1</f>
        <v>0.15861957650261305</v>
      </c>
      <c r="G36" s="250">
        <v>-0.04</v>
      </c>
      <c r="H36" s="250">
        <v>0.06</v>
      </c>
      <c r="I36" s="250">
        <v>6.9000000000000006E-2</v>
      </c>
      <c r="J36" s="134">
        <f>I36</f>
        <v>6.9000000000000006E-2</v>
      </c>
      <c r="K36" s="134">
        <f t="shared" ref="K36:K40" si="12">J36</f>
        <v>6.9000000000000006E-2</v>
      </c>
      <c r="M36" s="5" t="s">
        <v>151</v>
      </c>
      <c r="O36" s="59"/>
      <c r="P36" s="59"/>
      <c r="Q36" s="59"/>
      <c r="R36" s="59"/>
      <c r="S36" s="59"/>
      <c r="T36" s="59"/>
    </row>
    <row r="37" spans="3:20">
      <c r="C37" s="26" t="s">
        <v>231</v>
      </c>
      <c r="D37" s="27">
        <f>D19/D17</f>
        <v>0.39075955648097049</v>
      </c>
      <c r="E37" s="27">
        <f>E19/E17</f>
        <v>0.38469860491899105</v>
      </c>
      <c r="F37" s="27">
        <f>F19/F17</f>
        <v>0.38343718820007905</v>
      </c>
      <c r="G37" s="250">
        <v>0.378</v>
      </c>
      <c r="H37" s="250">
        <v>0.38100000000000001</v>
      </c>
      <c r="I37" s="250">
        <v>0.38200000000000001</v>
      </c>
      <c r="J37" s="134">
        <f t="shared" ref="J37:J40" si="13">I37</f>
        <v>0.38200000000000001</v>
      </c>
      <c r="K37" s="134">
        <f t="shared" si="12"/>
        <v>0.38200000000000001</v>
      </c>
      <c r="M37" s="5" t="s">
        <v>152</v>
      </c>
      <c r="O37" s="59"/>
      <c r="P37" s="59"/>
      <c r="Q37" s="59"/>
      <c r="R37" s="59"/>
      <c r="S37" s="59"/>
      <c r="T37" s="59"/>
    </row>
    <row r="38" spans="3:20">
      <c r="C38" s="26" t="s">
        <v>232</v>
      </c>
      <c r="D38" s="27">
        <f>-D20/D17</f>
        <v>4.6582482760539605E-2</v>
      </c>
      <c r="E38" s="27">
        <f>-E20/E17</f>
        <v>5.0520428906706681E-2</v>
      </c>
      <c r="F38" s="27">
        <f>-F20/F17</f>
        <v>5.3600406634161032E-2</v>
      </c>
      <c r="G38" s="250">
        <v>6.2E-2</v>
      </c>
      <c r="H38" s="250">
        <v>6.3E-2</v>
      </c>
      <c r="I38" s="250">
        <v>6.3E-2</v>
      </c>
      <c r="J38" s="134">
        <f t="shared" si="13"/>
        <v>6.3E-2</v>
      </c>
      <c r="K38" s="134">
        <f t="shared" si="12"/>
        <v>6.3E-2</v>
      </c>
      <c r="M38" s="5" t="s">
        <v>153</v>
      </c>
      <c r="O38" s="59"/>
      <c r="P38" s="59"/>
      <c r="Q38" s="59"/>
      <c r="R38" s="59"/>
      <c r="S38" s="59"/>
      <c r="T38" s="59"/>
    </row>
    <row r="39" spans="3:20">
      <c r="C39" s="26" t="s">
        <v>234</v>
      </c>
      <c r="D39" s="27">
        <f>-D21/D17</f>
        <v>6.5822972653369755E-2</v>
      </c>
      <c r="E39" s="27">
        <f>-E21/E17</f>
        <v>6.6573893924984945E-2</v>
      </c>
      <c r="F39" s="27">
        <f>-F21/F17</f>
        <v>6.2896515371147807E-2</v>
      </c>
      <c r="G39" s="250">
        <v>7.3999999999999996E-2</v>
      </c>
      <c r="H39" s="250">
        <v>6.9000000000000006E-2</v>
      </c>
      <c r="I39" s="250">
        <v>6.9000000000000006E-2</v>
      </c>
      <c r="J39" s="134">
        <f t="shared" si="13"/>
        <v>6.9000000000000006E-2</v>
      </c>
      <c r="K39" s="134">
        <f t="shared" si="12"/>
        <v>6.9000000000000006E-2</v>
      </c>
      <c r="M39" s="5" t="s">
        <v>153</v>
      </c>
      <c r="O39" s="59"/>
      <c r="P39" s="59"/>
      <c r="Q39" s="59"/>
      <c r="R39" s="59"/>
      <c r="S39" s="59"/>
      <c r="T39" s="59"/>
    </row>
    <row r="40" spans="3:20">
      <c r="C40" s="26" t="s">
        <v>0</v>
      </c>
      <c r="D40" s="27">
        <f>-(D27/D26)</f>
        <v>0.25557257381216192</v>
      </c>
      <c r="E40" s="27">
        <f>-(E27/E26)</f>
        <v>0.24556476150353415</v>
      </c>
      <c r="F40" s="27">
        <f>-(F27/F26)</f>
        <v>0.18342180705869443</v>
      </c>
      <c r="G40" s="250">
        <v>0.16700000000000001</v>
      </c>
      <c r="H40" s="250">
        <v>0.17</v>
      </c>
      <c r="I40" s="250">
        <v>0.16900000000000001</v>
      </c>
      <c r="J40" s="134">
        <f t="shared" si="13"/>
        <v>0.16900000000000001</v>
      </c>
      <c r="K40" s="134">
        <f t="shared" si="12"/>
        <v>0.16900000000000001</v>
      </c>
      <c r="M40" s="5" t="s">
        <v>153</v>
      </c>
      <c r="O40" s="29"/>
      <c r="P40" s="29"/>
      <c r="Q40" s="29"/>
      <c r="R40" s="29"/>
      <c r="S40" s="29"/>
      <c r="T40" s="29"/>
    </row>
    <row r="41" spans="3:20">
      <c r="C41" s="28"/>
      <c r="G41" s="58"/>
    </row>
    <row r="42" spans="3:20">
      <c r="C42" s="7" t="s">
        <v>20</v>
      </c>
      <c r="D42" s="13"/>
      <c r="E42" s="13"/>
      <c r="F42" s="13"/>
      <c r="G42" s="9"/>
      <c r="H42" s="9"/>
      <c r="I42" s="9"/>
      <c r="J42" s="9"/>
      <c r="K42" s="9"/>
    </row>
    <row r="43" spans="3:20">
      <c r="C43" s="35" t="str">
        <f>C14</f>
        <v xml:space="preserve">Fiscal year  </v>
      </c>
      <c r="D43" s="30"/>
      <c r="E43" s="30">
        <f t="shared" ref="E43:K44" si="14">E14</f>
        <v>2017</v>
      </c>
      <c r="F43" s="30">
        <f t="shared" si="14"/>
        <v>2018</v>
      </c>
      <c r="G43" s="31">
        <f t="shared" si="14"/>
        <v>2019</v>
      </c>
      <c r="H43" s="31">
        <f t="shared" si="14"/>
        <v>2020</v>
      </c>
      <c r="I43" s="31">
        <f t="shared" si="14"/>
        <v>2021</v>
      </c>
      <c r="J43" s="31">
        <f t="shared" si="14"/>
        <v>2022</v>
      </c>
      <c r="K43" s="31">
        <f t="shared" si="14"/>
        <v>2023</v>
      </c>
    </row>
    <row r="44" spans="3:20">
      <c r="C44" s="9" t="str">
        <f>C15</f>
        <v>Fiscal year end date</v>
      </c>
      <c r="D44" s="32"/>
      <c r="E44" s="32">
        <f t="shared" si="14"/>
        <v>43008</v>
      </c>
      <c r="F44" s="32">
        <f t="shared" si="14"/>
        <v>43372</v>
      </c>
      <c r="G44" s="32">
        <f t="shared" si="14"/>
        <v>43738</v>
      </c>
      <c r="H44" s="32">
        <f t="shared" si="14"/>
        <v>44104</v>
      </c>
      <c r="I44" s="32">
        <f t="shared" si="14"/>
        <v>44469</v>
      </c>
      <c r="J44" s="32">
        <f t="shared" si="14"/>
        <v>44834</v>
      </c>
      <c r="K44" s="32">
        <f t="shared" si="14"/>
        <v>45199</v>
      </c>
    </row>
    <row r="45" spans="3:20">
      <c r="C45" s="5" t="s">
        <v>138</v>
      </c>
      <c r="D45" s="36"/>
      <c r="E45" s="36">
        <f>20289+53892+194714</f>
        <v>268895</v>
      </c>
      <c r="F45" s="36">
        <f>25913+40388+170799</f>
        <v>237100</v>
      </c>
      <c r="G45" s="151">
        <f>F45+G90</f>
        <v>200896.49769127104</v>
      </c>
      <c r="H45" s="151">
        <f>G45+H90</f>
        <v>174501.15061752661</v>
      </c>
      <c r="I45" s="151">
        <f>H45+I90</f>
        <v>153748.09195430009</v>
      </c>
      <c r="J45" s="151">
        <f>I45+J90</f>
        <v>137964.01265380977</v>
      </c>
      <c r="K45" s="151">
        <f>J45+K90</f>
        <v>127420.53366576562</v>
      </c>
      <c r="M45" s="5" t="s">
        <v>118</v>
      </c>
    </row>
    <row r="46" spans="3:20">
      <c r="C46" s="5" t="s">
        <v>54</v>
      </c>
      <c r="D46" s="36"/>
      <c r="E46" s="36">
        <v>17874</v>
      </c>
      <c r="F46" s="36">
        <v>23186</v>
      </c>
      <c r="G46" s="151">
        <f>F46*(1+G36)</f>
        <v>22258.559999999998</v>
      </c>
      <c r="H46" s="151">
        <f t="shared" ref="H46:K46" si="15">G46*(1+H36)</f>
        <v>23594.0736</v>
      </c>
      <c r="I46" s="151">
        <f t="shared" si="15"/>
        <v>25222.064678399998</v>
      </c>
      <c r="J46" s="151">
        <f t="shared" si="15"/>
        <v>26962.387141209598</v>
      </c>
      <c r="K46" s="151">
        <f t="shared" si="15"/>
        <v>28822.791853953058</v>
      </c>
      <c r="M46" s="5" t="s">
        <v>103</v>
      </c>
    </row>
    <row r="47" spans="3:20">
      <c r="C47" s="5" t="s">
        <v>55</v>
      </c>
      <c r="D47" s="36"/>
      <c r="E47" s="36">
        <v>4855</v>
      </c>
      <c r="F47" s="36">
        <v>3956</v>
      </c>
      <c r="G47" s="151">
        <f>F47*(G18/F18)</f>
        <v>3831.2507254598299</v>
      </c>
      <c r="H47" s="151">
        <f t="shared" ref="H47:K47" si="16">G47*(H18/G18)</f>
        <v>4041.5383456643308</v>
      </c>
      <c r="I47" s="151">
        <f t="shared" si="16"/>
        <v>4313.4248396710418</v>
      </c>
      <c r="J47" s="151">
        <f t="shared" si="16"/>
        <v>4611.0511536083432</v>
      </c>
      <c r="K47" s="151">
        <f t="shared" si="16"/>
        <v>4929.2136832073184</v>
      </c>
      <c r="M47" s="5" t="s">
        <v>104</v>
      </c>
    </row>
    <row r="48" spans="3:20">
      <c r="C48" s="6" t="s">
        <v>108</v>
      </c>
      <c r="D48" s="37"/>
      <c r="E48" s="37">
        <f>17799+13936</f>
        <v>31735</v>
      </c>
      <c r="F48" s="37">
        <f>25809+12087</f>
        <v>37896</v>
      </c>
      <c r="G48" s="151">
        <f>F48*(1+G36)</f>
        <v>36380.159999999996</v>
      </c>
      <c r="H48" s="151">
        <f t="shared" ref="H48:K48" si="17">G48*(1+H36)</f>
        <v>38562.969599999997</v>
      </c>
      <c r="I48" s="151">
        <f t="shared" si="17"/>
        <v>41223.814502399997</v>
      </c>
      <c r="J48" s="151">
        <f t="shared" si="17"/>
        <v>44068.257703065596</v>
      </c>
      <c r="K48" s="151">
        <f t="shared" si="17"/>
        <v>47108.967484577122</v>
      </c>
      <c r="M48" s="5" t="s">
        <v>103</v>
      </c>
    </row>
    <row r="49" spans="3:13">
      <c r="C49" s="21" t="s">
        <v>21</v>
      </c>
      <c r="D49" s="37"/>
      <c r="E49" s="37">
        <v>33783</v>
      </c>
      <c r="F49" s="37">
        <v>41304</v>
      </c>
      <c r="G49" s="434">
        <f>G99</f>
        <v>45042.85982873883</v>
      </c>
      <c r="H49" s="434">
        <f t="shared" ref="H49:K49" si="18">H99</f>
        <v>48611.181883872909</v>
      </c>
      <c r="I49" s="434">
        <f t="shared" si="18"/>
        <v>51947.567835949827</v>
      </c>
      <c r="J49" s="434">
        <f t="shared" si="18"/>
        <v>55218.714198720052</v>
      </c>
      <c r="K49" s="434">
        <f t="shared" si="18"/>
        <v>58399.73337534142</v>
      </c>
      <c r="M49" s="5" t="s">
        <v>105</v>
      </c>
    </row>
    <row r="50" spans="3:13">
      <c r="C50" s="21" t="s">
        <v>56</v>
      </c>
      <c r="D50" s="37"/>
      <c r="E50" s="37">
        <v>18177</v>
      </c>
      <c r="F50" s="37">
        <v>22283</v>
      </c>
      <c r="G50" s="151">
        <f>F50*(1+G36)</f>
        <v>21391.68</v>
      </c>
      <c r="H50" s="151">
        <f t="shared" ref="H50:K50" si="19">G50*(1+H36)</f>
        <v>22675.180800000002</v>
      </c>
      <c r="I50" s="151">
        <f t="shared" si="19"/>
        <v>24239.7682752</v>
      </c>
      <c r="J50" s="151">
        <f t="shared" si="19"/>
        <v>25912.3122861888</v>
      </c>
      <c r="K50" s="151">
        <f t="shared" si="19"/>
        <v>27700.261833935827</v>
      </c>
      <c r="M50" s="5" t="s">
        <v>103</v>
      </c>
    </row>
    <row r="51" spans="3:13">
      <c r="C51" s="39" t="s">
        <v>22</v>
      </c>
      <c r="D51" s="40"/>
      <c r="E51" s="40">
        <f>SUM(E45:E50)</f>
        <v>375319</v>
      </c>
      <c r="F51" s="40">
        <f>SUM(F45:F50)</f>
        <v>365725</v>
      </c>
      <c r="G51" s="147">
        <f t="shared" ref="G51:K51" si="20">SUM(G45:G50)</f>
        <v>329801.00824546971</v>
      </c>
      <c r="H51" s="147">
        <f t="shared" si="20"/>
        <v>311986.09484706388</v>
      </c>
      <c r="I51" s="147">
        <f t="shared" si="20"/>
        <v>300694.73208592093</v>
      </c>
      <c r="J51" s="147">
        <f t="shared" si="20"/>
        <v>294736.73513660219</v>
      </c>
      <c r="K51" s="147">
        <f t="shared" si="20"/>
        <v>294381.50189678033</v>
      </c>
    </row>
    <row r="52" spans="3:13">
      <c r="C52" s="41"/>
      <c r="D52" s="42"/>
      <c r="E52" s="42"/>
      <c r="F52" s="42"/>
      <c r="G52"/>
      <c r="H52"/>
      <c r="I52"/>
      <c r="J52"/>
      <c r="K52"/>
    </row>
    <row r="53" spans="3:13">
      <c r="C53" s="41" t="s">
        <v>57</v>
      </c>
      <c r="D53" s="37"/>
      <c r="E53" s="37">
        <v>44242</v>
      </c>
      <c r="F53" s="37">
        <v>55888</v>
      </c>
      <c r="G53" s="151">
        <f>F53*G18/F18</f>
        <v>54125.616922269706</v>
      </c>
      <c r="H53" s="151">
        <f t="shared" ref="H53:K53" si="21">G53*H18/G18</f>
        <v>57096.434545623881</v>
      </c>
      <c r="I53" s="151">
        <f t="shared" si="21"/>
        <v>60937.484185928995</v>
      </c>
      <c r="J53" s="151">
        <f t="shared" si="21"/>
        <v>65142.170594758099</v>
      </c>
      <c r="K53" s="151">
        <f t="shared" si="21"/>
        <v>69636.980365796408</v>
      </c>
      <c r="M53" s="5" t="s">
        <v>104</v>
      </c>
    </row>
    <row r="54" spans="3:13">
      <c r="C54" s="41" t="s">
        <v>117</v>
      </c>
      <c r="D54" s="37"/>
      <c r="E54" s="37">
        <v>30551</v>
      </c>
      <c r="F54" s="37">
        <v>32687</v>
      </c>
      <c r="G54" s="151">
        <f>F54*(1+G36)</f>
        <v>31379.52</v>
      </c>
      <c r="H54" s="151">
        <f t="shared" ref="H54:K54" si="22">G54*(1+H36)</f>
        <v>33262.2912</v>
      </c>
      <c r="I54" s="151">
        <f t="shared" si="22"/>
        <v>35557.389292799999</v>
      </c>
      <c r="J54" s="151">
        <f t="shared" si="22"/>
        <v>38010.849154003197</v>
      </c>
      <c r="K54" s="151">
        <f t="shared" si="22"/>
        <v>40633.597745629413</v>
      </c>
      <c r="M54" s="5" t="s">
        <v>103</v>
      </c>
    </row>
    <row r="55" spans="3:13">
      <c r="C55" s="41" t="s">
        <v>58</v>
      </c>
      <c r="D55" s="37"/>
      <c r="E55" s="37">
        <f>7548+2836</f>
        <v>10384</v>
      </c>
      <c r="F55" s="37">
        <f>7543+2797</f>
        <v>10340</v>
      </c>
      <c r="G55" s="151">
        <f>F55*(1+G36)</f>
        <v>9926.4</v>
      </c>
      <c r="H55" s="151">
        <f t="shared" ref="H55:K55" si="23">G55*(1+H36)</f>
        <v>10521.984</v>
      </c>
      <c r="I55" s="151">
        <f t="shared" si="23"/>
        <v>11248.000896</v>
      </c>
      <c r="J55" s="151">
        <f t="shared" si="23"/>
        <v>12024.112957824</v>
      </c>
      <c r="K55" s="151">
        <f t="shared" si="23"/>
        <v>12853.776751913854</v>
      </c>
      <c r="M55" s="5" t="s">
        <v>103</v>
      </c>
    </row>
    <row r="56" spans="3:13">
      <c r="C56" s="41" t="s">
        <v>60</v>
      </c>
      <c r="D56" s="37"/>
      <c r="E56" s="37">
        <v>11977</v>
      </c>
      <c r="F56" s="37">
        <v>11964</v>
      </c>
      <c r="G56" s="136"/>
      <c r="H56" s="136"/>
      <c r="I56" s="136"/>
      <c r="J56" s="136"/>
      <c r="K56" s="136"/>
      <c r="M56" s="5" t="s">
        <v>106</v>
      </c>
    </row>
    <row r="57" spans="3:13">
      <c r="C57" s="41" t="s">
        <v>122</v>
      </c>
      <c r="D57" s="37"/>
      <c r="E57" s="37">
        <f>6496+97207</f>
        <v>103703</v>
      </c>
      <c r="F57" s="37">
        <f>8784+93735</f>
        <v>102519</v>
      </c>
      <c r="G57" s="151">
        <f>F57</f>
        <v>102519</v>
      </c>
      <c r="H57" s="151">
        <f t="shared" ref="H57:K57" si="24">G57</f>
        <v>102519</v>
      </c>
      <c r="I57" s="151">
        <f t="shared" si="24"/>
        <v>102519</v>
      </c>
      <c r="J57" s="151">
        <f t="shared" si="24"/>
        <v>102519</v>
      </c>
      <c r="K57" s="151">
        <f t="shared" si="24"/>
        <v>102519</v>
      </c>
      <c r="M57" s="5" t="s">
        <v>100</v>
      </c>
    </row>
    <row r="58" spans="3:13" ht="15.75" customHeight="1">
      <c r="C58" s="41" t="s">
        <v>59</v>
      </c>
      <c r="D58" s="37"/>
      <c r="E58" s="37">
        <v>40415</v>
      </c>
      <c r="F58" s="37">
        <v>45180</v>
      </c>
      <c r="G58" s="151">
        <f>F58*(1+G36)</f>
        <v>43372.799999999996</v>
      </c>
      <c r="H58" s="151">
        <f t="shared" ref="H58:K58" si="25">G58*(1+H36)</f>
        <v>45975.167999999998</v>
      </c>
      <c r="I58" s="151">
        <f t="shared" si="25"/>
        <v>49147.454591999995</v>
      </c>
      <c r="J58" s="151">
        <f t="shared" si="25"/>
        <v>52538.628958847992</v>
      </c>
      <c r="K58" s="151">
        <f t="shared" si="25"/>
        <v>56163.794357008504</v>
      </c>
      <c r="L58" s="6"/>
      <c r="M58" t="s">
        <v>103</v>
      </c>
    </row>
    <row r="59" spans="3:13">
      <c r="C59" s="39" t="s">
        <v>24</v>
      </c>
      <c r="D59" s="43"/>
      <c r="E59" s="43">
        <f>SUM(E53:E58)</f>
        <v>241272</v>
      </c>
      <c r="F59" s="43">
        <f>SUM(F53:F58)</f>
        <v>258578</v>
      </c>
      <c r="G59" s="147">
        <f t="shared" ref="G59:K59" si="26">SUM(G53:G58)</f>
        <v>241323.33692226969</v>
      </c>
      <c r="H59" s="147">
        <f t="shared" si="26"/>
        <v>249374.87774562387</v>
      </c>
      <c r="I59" s="147">
        <f t="shared" si="26"/>
        <v>259409.32896672899</v>
      </c>
      <c r="J59" s="147">
        <f t="shared" si="26"/>
        <v>270234.7616654333</v>
      </c>
      <c r="K59" s="147">
        <f t="shared" si="26"/>
        <v>281807.14922034822</v>
      </c>
    </row>
    <row r="60" spans="3:13">
      <c r="C60" s="39"/>
      <c r="D60" s="43"/>
      <c r="E60" s="43"/>
      <c r="F60" s="43"/>
    </row>
    <row r="61" spans="3:13">
      <c r="C61" s="41" t="s">
        <v>61</v>
      </c>
      <c r="D61" s="37"/>
      <c r="E61" s="37">
        <v>35867</v>
      </c>
      <c r="F61" s="3">
        <v>40201</v>
      </c>
      <c r="G61" s="151">
        <f>F61+G32</f>
        <v>45327.4</v>
      </c>
      <c r="H61" s="151">
        <f t="shared" ref="H61:K61" si="27">G61+H32</f>
        <v>50761.383999999998</v>
      </c>
      <c r="I61" s="151">
        <f t="shared" si="27"/>
        <v>56570.312895999996</v>
      </c>
      <c r="J61" s="151">
        <f t="shared" si="27"/>
        <v>62780.057885823997</v>
      </c>
      <c r="K61" s="151">
        <f t="shared" si="27"/>
        <v>69418.275279945854</v>
      </c>
      <c r="M61" s="5" t="s">
        <v>155</v>
      </c>
    </row>
    <row r="62" spans="3:13" ht="15.75" customHeight="1">
      <c r="C62" s="41" t="s">
        <v>44</v>
      </c>
      <c r="D62" s="38"/>
      <c r="E62" s="37">
        <v>98330</v>
      </c>
      <c r="F62" s="3">
        <v>70400</v>
      </c>
      <c r="G62" s="434">
        <f>G119</f>
        <v>34640.271323199995</v>
      </c>
      <c r="H62" s="434">
        <f t="shared" ref="H62:K62" si="28">H119</f>
        <v>3339.8331014399882</v>
      </c>
      <c r="I62" s="434">
        <f t="shared" si="28"/>
        <v>-23794.90977680801</v>
      </c>
      <c r="J62" s="434">
        <f t="shared" si="28"/>
        <v>-46788.084414655124</v>
      </c>
      <c r="K62" s="434">
        <f t="shared" si="28"/>
        <v>-65353.922603513696</v>
      </c>
      <c r="M62" s="5" t="s">
        <v>107</v>
      </c>
    </row>
    <row r="63" spans="3:13" ht="15.75" customHeight="1">
      <c r="C63" s="41" t="s">
        <v>121</v>
      </c>
      <c r="D63" s="37"/>
      <c r="E63" s="37">
        <v>-150</v>
      </c>
      <c r="F63" s="3">
        <v>-3454</v>
      </c>
      <c r="G63" s="151">
        <f>F63</f>
        <v>-3454</v>
      </c>
      <c r="H63" s="151">
        <f t="shared" ref="H63:K63" si="29">G63</f>
        <v>-3454</v>
      </c>
      <c r="I63" s="151">
        <f t="shared" si="29"/>
        <v>-3454</v>
      </c>
      <c r="J63" s="151">
        <f t="shared" si="29"/>
        <v>-3454</v>
      </c>
      <c r="K63" s="151">
        <f t="shared" si="29"/>
        <v>-3454</v>
      </c>
      <c r="M63" s="5" t="s">
        <v>100</v>
      </c>
    </row>
    <row r="64" spans="3:13">
      <c r="C64" s="39" t="s">
        <v>25</v>
      </c>
      <c r="D64" s="44"/>
      <c r="E64" s="44">
        <f>SUM(E61:E63)</f>
        <v>134047</v>
      </c>
      <c r="F64" s="44">
        <f>SUM(F61:F63)</f>
        <v>107147</v>
      </c>
      <c r="G64" s="147">
        <f t="shared" ref="G64:K64" si="30">SUM(G61:G63)</f>
        <v>76513.671323199989</v>
      </c>
      <c r="H64" s="147">
        <f t="shared" si="30"/>
        <v>50647.217101439986</v>
      </c>
      <c r="I64" s="147">
        <f t="shared" si="30"/>
        <v>29321.403119191986</v>
      </c>
      <c r="J64" s="147">
        <f t="shared" si="30"/>
        <v>12537.973471168872</v>
      </c>
      <c r="K64" s="147">
        <f t="shared" si="30"/>
        <v>610.35267643215775</v>
      </c>
    </row>
    <row r="65" spans="3:13">
      <c r="C65" s="6"/>
      <c r="D65" s="45"/>
      <c r="E65" s="45"/>
      <c r="F65" s="45"/>
    </row>
    <row r="66" spans="3:13">
      <c r="C66" s="14" t="s">
        <v>26</v>
      </c>
      <c r="D66" s="46"/>
      <c r="E66" s="46">
        <f t="shared" ref="E66:K66" si="31">ROUND(E51-E59-E64,3)</f>
        <v>0</v>
      </c>
      <c r="F66" s="46">
        <f t="shared" si="31"/>
        <v>0</v>
      </c>
      <c r="G66" s="46">
        <f t="shared" si="31"/>
        <v>11964</v>
      </c>
      <c r="H66" s="46">
        <f t="shared" si="31"/>
        <v>11964</v>
      </c>
      <c r="I66" s="46">
        <f t="shared" si="31"/>
        <v>11964</v>
      </c>
      <c r="J66" s="46">
        <f t="shared" si="31"/>
        <v>11964</v>
      </c>
      <c r="K66" s="46">
        <f t="shared" si="31"/>
        <v>11964</v>
      </c>
    </row>
    <row r="67" spans="3:13">
      <c r="E67" s="34"/>
      <c r="F67" s="34"/>
      <c r="H67" s="34"/>
      <c r="I67" s="34"/>
      <c r="J67" s="34"/>
      <c r="K67" s="34"/>
    </row>
    <row r="68" spans="3:13">
      <c r="C68" s="7" t="s">
        <v>32</v>
      </c>
      <c r="D68" s="13"/>
      <c r="E68" s="13"/>
      <c r="F68" s="13"/>
      <c r="G68" s="13"/>
      <c r="H68" s="13"/>
      <c r="I68" s="13"/>
      <c r="J68" s="13"/>
      <c r="K68" s="13"/>
    </row>
    <row r="69" spans="3:13">
      <c r="C69" s="35" t="str">
        <f>C14</f>
        <v xml:space="preserve">Fiscal year  </v>
      </c>
      <c r="D69" s="30"/>
      <c r="E69" s="30"/>
      <c r="F69" s="30"/>
      <c r="G69" s="31">
        <f t="shared" ref="G69:K70" si="32">G14</f>
        <v>2019</v>
      </c>
      <c r="H69" s="31">
        <f t="shared" si="32"/>
        <v>2020</v>
      </c>
      <c r="I69" s="31">
        <f t="shared" si="32"/>
        <v>2021</v>
      </c>
      <c r="J69" s="31">
        <f t="shared" si="32"/>
        <v>2022</v>
      </c>
      <c r="K69" s="31">
        <f t="shared" si="32"/>
        <v>2023</v>
      </c>
    </row>
    <row r="70" spans="3:13">
      <c r="C70" s="9" t="str">
        <f>C15</f>
        <v>Fiscal year end date</v>
      </c>
      <c r="D70" s="32"/>
      <c r="E70" s="32"/>
      <c r="F70" s="32"/>
      <c r="G70" s="32">
        <f t="shared" si="32"/>
        <v>43738</v>
      </c>
      <c r="H70" s="32">
        <f t="shared" si="32"/>
        <v>44104</v>
      </c>
      <c r="I70" s="32">
        <f t="shared" si="32"/>
        <v>44469</v>
      </c>
      <c r="J70" s="32">
        <f t="shared" si="32"/>
        <v>44834</v>
      </c>
      <c r="K70" s="32">
        <f t="shared" si="32"/>
        <v>45199</v>
      </c>
    </row>
    <row r="72" spans="3:13">
      <c r="C72" s="6" t="s">
        <v>2</v>
      </c>
      <c r="D72" s="50"/>
      <c r="E72" s="50"/>
      <c r="F72" s="50"/>
      <c r="G72" s="151">
        <f>G28</f>
        <v>51031.271323200002</v>
      </c>
      <c r="H72" s="151">
        <f t="shared" ref="H72:K72" si="33">H28</f>
        <v>55490.56177824</v>
      </c>
      <c r="I72" s="151">
        <f t="shared" si="33"/>
        <v>59656.257121752002</v>
      </c>
      <c r="J72" s="151">
        <f t="shared" si="33"/>
        <v>63797.825362152886</v>
      </c>
      <c r="K72" s="151">
        <f t="shared" si="33"/>
        <v>68225.161811141428</v>
      </c>
      <c r="M72" s="24"/>
    </row>
    <row r="73" spans="3:13">
      <c r="C73" s="6" t="s">
        <v>33</v>
      </c>
      <c r="D73" s="50"/>
      <c r="E73" s="50"/>
      <c r="F73" s="50"/>
      <c r="G73" s="434">
        <f>G30</f>
        <v>11085.020171261172</v>
      </c>
      <c r="H73" s="434">
        <f t="shared" ref="H73:K73" si="34">H30</f>
        <v>11711.890744865921</v>
      </c>
      <c r="I73" s="434">
        <f t="shared" si="34"/>
        <v>12226.380531123083</v>
      </c>
      <c r="J73" s="434">
        <f t="shared" si="34"/>
        <v>13365.451007770575</v>
      </c>
      <c r="K73" s="434">
        <f t="shared" si="34"/>
        <v>14603.503412486743</v>
      </c>
    </row>
    <row r="74" spans="3:13">
      <c r="C74" s="6" t="s">
        <v>74</v>
      </c>
      <c r="D74" s="50"/>
      <c r="E74" s="50"/>
      <c r="F74" s="50"/>
      <c r="G74" s="151">
        <f>G32</f>
        <v>5126.3999999999996</v>
      </c>
      <c r="H74" s="151">
        <f t="shared" ref="H74:K74" si="35">H32</f>
        <v>5433.9839999999995</v>
      </c>
      <c r="I74" s="151">
        <f t="shared" si="35"/>
        <v>5808.9288959999994</v>
      </c>
      <c r="J74" s="151">
        <f t="shared" si="35"/>
        <v>6209.7449898239993</v>
      </c>
      <c r="K74" s="151">
        <f t="shared" si="35"/>
        <v>6638.2173941218552</v>
      </c>
    </row>
    <row r="75" spans="3:13">
      <c r="C75" s="6" t="s">
        <v>65</v>
      </c>
      <c r="D75" s="22"/>
      <c r="E75" s="22"/>
      <c r="F75" s="22"/>
      <c r="G75" s="151">
        <f>SUM(F46:F48)-SUM(G46:G48)</f>
        <v>2568.0292745401748</v>
      </c>
      <c r="H75" s="151">
        <f t="shared" ref="H75:K75" si="36">SUM(G46:G48)-SUM(H46:H48)</f>
        <v>-3728.610820204507</v>
      </c>
      <c r="I75" s="151">
        <f t="shared" si="36"/>
        <v>-4560.7224748067092</v>
      </c>
      <c r="J75" s="151">
        <f t="shared" si="36"/>
        <v>-4882.3919774124952</v>
      </c>
      <c r="K75" s="151">
        <f t="shared" si="36"/>
        <v>-5219.277023853967</v>
      </c>
    </row>
    <row r="76" spans="3:13">
      <c r="C76" s="6" t="s">
        <v>66</v>
      </c>
      <c r="D76" s="22"/>
      <c r="E76" s="22"/>
      <c r="F76" s="22"/>
      <c r="G76" s="151">
        <f>SUM(G53:G55)-SUM(F53:F55)</f>
        <v>-3483.4630777302955</v>
      </c>
      <c r="H76" s="151">
        <f t="shared" ref="H76:K76" si="37">SUM(H53:H55)-SUM(G53:G55)</f>
        <v>5449.1728233541653</v>
      </c>
      <c r="I76" s="151">
        <f t="shared" si="37"/>
        <v>6862.1646291051147</v>
      </c>
      <c r="J76" s="151">
        <f t="shared" si="37"/>
        <v>7434.2583318562974</v>
      </c>
      <c r="K76" s="151">
        <f t="shared" si="37"/>
        <v>7947.2221567544038</v>
      </c>
    </row>
    <row r="77" spans="3:13">
      <c r="C77" s="21" t="s">
        <v>56</v>
      </c>
      <c r="E77" s="6"/>
      <c r="F77" s="6"/>
      <c r="G77" s="434">
        <f>-G111</f>
        <v>-647.56000000000131</v>
      </c>
      <c r="H77" s="434">
        <f t="shared" ref="H77:K77" si="38">-H111</f>
        <v>-2914.7136000000028</v>
      </c>
      <c r="I77" s="434">
        <f t="shared" si="38"/>
        <v>-3308.3539583999991</v>
      </c>
      <c r="J77" s="434">
        <f t="shared" si="38"/>
        <v>-3536.6303815296014</v>
      </c>
      <c r="K77" s="434">
        <f t="shared" si="38"/>
        <v>-3780.6578778551411</v>
      </c>
      <c r="L77" s="6"/>
      <c r="M77" s="5" t="s">
        <v>127</v>
      </c>
    </row>
    <row r="78" spans="3:13">
      <c r="C78" s="21" t="s">
        <v>59</v>
      </c>
      <c r="E78" s="6"/>
      <c r="F78" s="6"/>
      <c r="G78" s="151">
        <f>G58-F58</f>
        <v>-1807.2000000000044</v>
      </c>
      <c r="H78" s="151">
        <f t="shared" ref="H78:K78" si="39">H58-G58</f>
        <v>2602.3680000000022</v>
      </c>
      <c r="I78" s="151">
        <f t="shared" si="39"/>
        <v>3172.2865919999967</v>
      </c>
      <c r="J78" s="151">
        <f t="shared" si="39"/>
        <v>3391.1743668479976</v>
      </c>
      <c r="K78" s="151">
        <f t="shared" si="39"/>
        <v>3625.1653981605123</v>
      </c>
      <c r="L78" s="6"/>
      <c r="M78" s="24"/>
    </row>
    <row r="79" spans="3:13">
      <c r="C79" s="19" t="s">
        <v>34</v>
      </c>
      <c r="G79" s="147">
        <f>SUM(G72:G78)</f>
        <v>63872.497691271048</v>
      </c>
      <c r="H79" s="147">
        <f t="shared" ref="H79:K79" si="40">SUM(H72:H78)</f>
        <v>74044.65292625557</v>
      </c>
      <c r="I79" s="147">
        <f t="shared" si="40"/>
        <v>79856.941336773481</v>
      </c>
      <c r="J79" s="147">
        <f t="shared" si="40"/>
        <v>85779.431699509674</v>
      </c>
      <c r="K79" s="147">
        <f t="shared" si="40"/>
        <v>92039.335270955838</v>
      </c>
    </row>
    <row r="80" spans="3:13">
      <c r="C80" s="6"/>
    </row>
    <row r="81" spans="3:13">
      <c r="C81" s="6" t="s">
        <v>35</v>
      </c>
      <c r="G81" s="435">
        <f>-G97</f>
        <v>-13285</v>
      </c>
      <c r="H81" s="435">
        <f t="shared" ref="H81:K81" si="41">-H97</f>
        <v>-13649</v>
      </c>
      <c r="I81" s="435">
        <f t="shared" si="41"/>
        <v>-13819</v>
      </c>
      <c r="J81" s="435">
        <f t="shared" si="41"/>
        <v>-14772.510999999999</v>
      </c>
      <c r="K81" s="435">
        <f t="shared" si="41"/>
        <v>-15791.814258999997</v>
      </c>
    </row>
    <row r="82" spans="3:13">
      <c r="C82" s="19" t="s">
        <v>36</v>
      </c>
      <c r="G82" s="147">
        <f>SUM(G81)</f>
        <v>-13285</v>
      </c>
      <c r="H82" s="147">
        <f t="shared" ref="H82:K82" si="42">SUM(H81)</f>
        <v>-13649</v>
      </c>
      <c r="I82" s="147">
        <f t="shared" si="42"/>
        <v>-13819</v>
      </c>
      <c r="J82" s="147">
        <f t="shared" si="42"/>
        <v>-14772.510999999999</v>
      </c>
      <c r="K82" s="147">
        <f t="shared" si="42"/>
        <v>-15791.814258999997</v>
      </c>
    </row>
    <row r="83" spans="3:13">
      <c r="C83" s="6"/>
      <c r="G83"/>
      <c r="H83"/>
      <c r="I83"/>
      <c r="J83"/>
      <c r="K83"/>
    </row>
    <row r="84" spans="3:13">
      <c r="C84" s="6" t="s">
        <v>67</v>
      </c>
      <c r="G84" s="337">
        <f>G57-F57</f>
        <v>0</v>
      </c>
      <c r="H84" s="337">
        <f>H57-G57</f>
        <v>0</v>
      </c>
      <c r="I84" s="337">
        <f>I57-H57</f>
        <v>0</v>
      </c>
      <c r="J84" s="337">
        <f>J57-I57</f>
        <v>0</v>
      </c>
      <c r="K84" s="337">
        <f>K57-J57</f>
        <v>0</v>
      </c>
    </row>
    <row r="85" spans="3:13">
      <c r="C85" s="6" t="s">
        <v>23</v>
      </c>
      <c r="G85" s="136"/>
      <c r="H85" s="136"/>
      <c r="I85" s="136"/>
      <c r="J85" s="136"/>
      <c r="K85" s="136"/>
    </row>
    <row r="86" spans="3:13">
      <c r="C86" s="21" t="s">
        <v>70</v>
      </c>
      <c r="G86" s="434">
        <f>G118</f>
        <v>-73056</v>
      </c>
      <c r="H86" s="434">
        <f t="shared" ref="H86:K86" si="43">H118</f>
        <v>-73056</v>
      </c>
      <c r="I86" s="434">
        <f t="shared" si="43"/>
        <v>-73056</v>
      </c>
      <c r="J86" s="434">
        <f t="shared" si="43"/>
        <v>-73056</v>
      </c>
      <c r="K86" s="434">
        <f t="shared" si="43"/>
        <v>-73056</v>
      </c>
    </row>
    <row r="87" spans="3:13">
      <c r="C87" s="21" t="s">
        <v>71</v>
      </c>
      <c r="G87" s="434">
        <f>G117</f>
        <v>-13735</v>
      </c>
      <c r="H87" s="434">
        <f t="shared" ref="H87:K87" si="44">H117</f>
        <v>-13735</v>
      </c>
      <c r="I87" s="434">
        <f t="shared" si="44"/>
        <v>-13735</v>
      </c>
      <c r="J87" s="434">
        <f t="shared" si="44"/>
        <v>-13735</v>
      </c>
      <c r="K87" s="434">
        <f t="shared" si="44"/>
        <v>-13735</v>
      </c>
    </row>
    <row r="88" spans="3:13">
      <c r="C88" s="19" t="s">
        <v>37</v>
      </c>
      <c r="G88" s="147">
        <f>SUM(G84:G87)</f>
        <v>-86791</v>
      </c>
      <c r="H88" s="147">
        <f>SUM(H84:H87)</f>
        <v>-86791</v>
      </c>
      <c r="I88" s="147">
        <f>SUM(I84:I87)</f>
        <v>-86791</v>
      </c>
      <c r="J88" s="147">
        <f>SUM(J84:J87)</f>
        <v>-86791</v>
      </c>
      <c r="K88" s="147">
        <f>SUM(K84:K87)</f>
        <v>-86791</v>
      </c>
    </row>
    <row r="89" spans="3:13">
      <c r="G89"/>
      <c r="H89"/>
      <c r="I89"/>
      <c r="J89"/>
      <c r="K89"/>
    </row>
    <row r="90" spans="3:13">
      <c r="C90" s="24" t="s">
        <v>38</v>
      </c>
      <c r="G90" s="147">
        <f>G79+G82+G88</f>
        <v>-36203.502308728952</v>
      </c>
      <c r="H90" s="147">
        <f>H79+H82+H88</f>
        <v>-26395.34707374443</v>
      </c>
      <c r="I90" s="147">
        <f>I79+I82+I88</f>
        <v>-20753.058663226519</v>
      </c>
      <c r="J90" s="147">
        <f>J79+J82+J88</f>
        <v>-15784.079300490324</v>
      </c>
      <c r="K90" s="147">
        <f>K79+K82+K88</f>
        <v>-10543.478988044153</v>
      </c>
    </row>
    <row r="92" spans="3:13">
      <c r="C92" s="7" t="s">
        <v>29</v>
      </c>
      <c r="D92" s="9"/>
      <c r="E92" s="9"/>
      <c r="F92" s="9"/>
      <c r="G92" s="9"/>
      <c r="H92" s="9"/>
      <c r="I92" s="9"/>
      <c r="J92" s="9"/>
      <c r="K92" s="9"/>
    </row>
    <row r="93" spans="3:13">
      <c r="C93" s="35" t="str">
        <f t="shared" ref="C93:K93" si="45">C14</f>
        <v xml:space="preserve">Fiscal year  </v>
      </c>
      <c r="D93" s="30">
        <f t="shared" si="45"/>
        <v>2016</v>
      </c>
      <c r="E93" s="30">
        <f t="shared" si="45"/>
        <v>2017</v>
      </c>
      <c r="F93" s="30">
        <f t="shared" si="45"/>
        <v>2018</v>
      </c>
      <c r="G93" s="31">
        <f t="shared" si="45"/>
        <v>2019</v>
      </c>
      <c r="H93" s="31">
        <f t="shared" si="45"/>
        <v>2020</v>
      </c>
      <c r="I93" s="31">
        <f t="shared" si="45"/>
        <v>2021</v>
      </c>
      <c r="J93" s="31">
        <f t="shared" si="45"/>
        <v>2022</v>
      </c>
      <c r="K93" s="31">
        <f t="shared" si="45"/>
        <v>2023</v>
      </c>
    </row>
    <row r="94" spans="3:13">
      <c r="C94" s="9" t="str">
        <f t="shared" ref="C94:K94" si="46">C15</f>
        <v>Fiscal year end date</v>
      </c>
      <c r="D94" s="32">
        <f t="shared" si="46"/>
        <v>42643</v>
      </c>
      <c r="E94" s="32">
        <f t="shared" si="46"/>
        <v>43008</v>
      </c>
      <c r="F94" s="32">
        <f t="shared" si="46"/>
        <v>43372</v>
      </c>
      <c r="G94" s="32">
        <f t="shared" si="46"/>
        <v>43738</v>
      </c>
      <c r="H94" s="32">
        <f t="shared" si="46"/>
        <v>44104</v>
      </c>
      <c r="I94" s="32">
        <f t="shared" si="46"/>
        <v>44469</v>
      </c>
      <c r="J94" s="32">
        <f t="shared" si="46"/>
        <v>44834</v>
      </c>
      <c r="K94" s="32">
        <f t="shared" si="46"/>
        <v>45199</v>
      </c>
    </row>
    <row r="95" spans="3:13">
      <c r="C95" s="19"/>
      <c r="G95" s="110" t="s">
        <v>116</v>
      </c>
      <c r="H95" s="110"/>
      <c r="I95" s="110"/>
      <c r="J95" s="110"/>
      <c r="K95" s="110"/>
    </row>
    <row r="96" spans="3:13">
      <c r="C96" s="41" t="s">
        <v>27</v>
      </c>
      <c r="F96" s="6"/>
      <c r="G96" s="143">
        <f>F99</f>
        <v>41304</v>
      </c>
      <c r="H96" s="143">
        <f t="shared" ref="H96:K96" si="47">G99</f>
        <v>45042.85982873883</v>
      </c>
      <c r="I96" s="143">
        <f t="shared" si="47"/>
        <v>48611.181883872909</v>
      </c>
      <c r="J96" s="143">
        <f t="shared" si="47"/>
        <v>51947.567835949827</v>
      </c>
      <c r="K96" s="143">
        <f t="shared" si="47"/>
        <v>55218.714198720052</v>
      </c>
      <c r="L96" s="6"/>
      <c r="M96" s="5" t="s">
        <v>167</v>
      </c>
    </row>
    <row r="97" spans="3:17">
      <c r="C97" s="47" t="s">
        <v>30</v>
      </c>
      <c r="D97" s="3">
        <v>12734</v>
      </c>
      <c r="E97" s="3">
        <v>12451</v>
      </c>
      <c r="F97" s="71">
        <v>13313</v>
      </c>
      <c r="G97" s="71">
        <v>13285</v>
      </c>
      <c r="H97" s="71">
        <v>13649</v>
      </c>
      <c r="I97" s="71">
        <v>13819</v>
      </c>
      <c r="J97" s="71">
        <f>I97*(1+J36)</f>
        <v>14772.510999999999</v>
      </c>
      <c r="K97" s="71">
        <f>J97*(1+K36)</f>
        <v>15791.814258999997</v>
      </c>
      <c r="L97" s="6"/>
      <c r="M97" s="5" t="s">
        <v>154</v>
      </c>
    </row>
    <row r="98" spans="3:17">
      <c r="C98" s="103" t="s">
        <v>31</v>
      </c>
      <c r="D98" s="95">
        <v>-8300</v>
      </c>
      <c r="E98" s="95">
        <v>-8200</v>
      </c>
      <c r="F98" s="95">
        <v>-9300</v>
      </c>
      <c r="G98" s="148">
        <f>-(G101*G97)</f>
        <v>-9546.1401712611732</v>
      </c>
      <c r="H98" s="148">
        <f t="shared" ref="H98:K98" si="48">-(H101*H97)</f>
        <v>-10080.677944865922</v>
      </c>
      <c r="I98" s="148">
        <f t="shared" si="48"/>
        <v>-10482.614047923083</v>
      </c>
      <c r="J98" s="148">
        <f t="shared" si="48"/>
        <v>-11501.364637229775</v>
      </c>
      <c r="K98" s="148">
        <f t="shared" si="48"/>
        <v>-12610.795082378629</v>
      </c>
      <c r="L98" s="6"/>
      <c r="M98" s="5" t="s">
        <v>166</v>
      </c>
    </row>
    <row r="99" spans="3:17">
      <c r="C99" s="54" t="s">
        <v>28</v>
      </c>
      <c r="D99" s="51"/>
      <c r="E99" s="51">
        <f>E49</f>
        <v>33783</v>
      </c>
      <c r="F99" s="51">
        <f>F49</f>
        <v>41304</v>
      </c>
      <c r="G99" s="146">
        <f>SUM(G96:G98)</f>
        <v>45042.85982873883</v>
      </c>
      <c r="H99" s="146">
        <f t="shared" ref="H99:K99" si="49">SUM(H96:H98)</f>
        <v>48611.181883872909</v>
      </c>
      <c r="I99" s="146">
        <f t="shared" si="49"/>
        <v>51947.567835949827</v>
      </c>
      <c r="J99" s="146">
        <f t="shared" si="49"/>
        <v>55218.714198720052</v>
      </c>
      <c r="K99" s="146">
        <f t="shared" si="49"/>
        <v>58399.73337534142</v>
      </c>
      <c r="L99" s="6"/>
      <c r="M99" s="5" t="s">
        <v>165</v>
      </c>
    </row>
    <row r="100" spans="3:17">
      <c r="C100" s="41"/>
      <c r="F100" s="6"/>
      <c r="G100" s="6"/>
      <c r="H100" s="6"/>
      <c r="I100" s="6"/>
      <c r="J100" s="6"/>
      <c r="K100" s="6"/>
      <c r="L100" s="6"/>
      <c r="M100" s="25" t="s">
        <v>48</v>
      </c>
    </row>
    <row r="101" spans="3:17" customFormat="1">
      <c r="C101" s="41" t="s">
        <v>123</v>
      </c>
      <c r="D101" s="4">
        <f>-(D98/D97)</f>
        <v>0.65179833516569818</v>
      </c>
      <c r="E101" s="4">
        <f>-(E98/E97)</f>
        <v>0.6585816400289134</v>
      </c>
      <c r="F101" s="80">
        <f>-(F98/F97)</f>
        <v>0.69856531210095396</v>
      </c>
      <c r="G101" s="134">
        <f>F101+$M$101</f>
        <v>0.71856531210095398</v>
      </c>
      <c r="H101" s="134">
        <f t="shared" ref="H101:K101" si="50">G101+$M$101</f>
        <v>0.738565312100954</v>
      </c>
      <c r="I101" s="134">
        <f t="shared" si="50"/>
        <v>0.75856531210095401</v>
      </c>
      <c r="J101" s="134">
        <f t="shared" si="50"/>
        <v>0.77856531210095403</v>
      </c>
      <c r="K101" s="134">
        <f t="shared" si="50"/>
        <v>0.79856531210095405</v>
      </c>
      <c r="L101" s="6"/>
      <c r="M101" s="88">
        <v>0.02</v>
      </c>
    </row>
    <row r="102" spans="3:17">
      <c r="C102" s="41"/>
      <c r="D102" s="4"/>
      <c r="E102" s="4"/>
      <c r="F102" s="80"/>
      <c r="G102" s="27"/>
      <c r="H102" s="27"/>
      <c r="I102" s="27"/>
      <c r="J102" s="27"/>
      <c r="K102" s="27"/>
      <c r="L102" s="6"/>
      <c r="O102" s="98"/>
      <c r="P102" s="98"/>
      <c r="Q102" s="98"/>
    </row>
    <row r="103" spans="3:17">
      <c r="C103" s="128" t="s">
        <v>130</v>
      </c>
      <c r="D103" s="48"/>
      <c r="E103" s="48"/>
      <c r="F103" s="48"/>
      <c r="G103" s="129"/>
      <c r="H103" s="129"/>
      <c r="I103" s="129"/>
      <c r="J103" s="129"/>
      <c r="K103" s="129"/>
      <c r="L103" s="6"/>
      <c r="O103" s="98"/>
      <c r="P103" s="98"/>
      <c r="Q103" s="98"/>
    </row>
    <row r="104" spans="3:17">
      <c r="C104" s="41" t="s">
        <v>156</v>
      </c>
      <c r="D104" s="22">
        <f>D106+D98</f>
        <v>2205</v>
      </c>
      <c r="E104" s="22">
        <f>E106+E98</f>
        <v>1957</v>
      </c>
      <c r="F104" s="22">
        <f>F106+F98</f>
        <v>1603</v>
      </c>
      <c r="G104" s="141">
        <f>G105*G17</f>
        <v>1538.8799999999999</v>
      </c>
      <c r="H104" s="141">
        <f>H105*H17</f>
        <v>1631.2128</v>
      </c>
      <c r="I104" s="141">
        <f>I105*I17</f>
        <v>1743.7664832</v>
      </c>
      <c r="J104" s="141">
        <f>J105*J17</f>
        <v>1864.0863705407999</v>
      </c>
      <c r="K104" s="141">
        <f>K105*K17</f>
        <v>1992.708330108115</v>
      </c>
      <c r="L104" s="6"/>
      <c r="M104" s="5" t="s">
        <v>238</v>
      </c>
      <c r="O104" s="98"/>
      <c r="P104" s="98"/>
      <c r="Q104" s="98"/>
    </row>
    <row r="105" spans="3:17">
      <c r="C105" s="26" t="s">
        <v>157</v>
      </c>
      <c r="D105" s="93">
        <f>D104/D17</f>
        <v>1.0225423044996499E-2</v>
      </c>
      <c r="E105" s="93">
        <f>E104/E17</f>
        <v>8.537128000209393E-3</v>
      </c>
      <c r="F105" s="100">
        <f>F104/F17</f>
        <v>6.0355051864681188E-3</v>
      </c>
      <c r="G105" s="134">
        <f>F105</f>
        <v>6.0355051864681188E-3</v>
      </c>
      <c r="H105" s="134">
        <f t="shared" ref="H105:K105" si="51">G105</f>
        <v>6.0355051864681188E-3</v>
      </c>
      <c r="I105" s="134">
        <f t="shared" si="51"/>
        <v>6.0355051864681188E-3</v>
      </c>
      <c r="J105" s="134">
        <f t="shared" si="51"/>
        <v>6.0355051864681188E-3</v>
      </c>
      <c r="K105" s="134">
        <f t="shared" si="51"/>
        <v>6.0355051864681188E-3</v>
      </c>
      <c r="L105" s="6"/>
      <c r="M105" s="5" t="s">
        <v>158</v>
      </c>
      <c r="O105" s="98"/>
      <c r="P105" s="98"/>
      <c r="Q105" s="98"/>
    </row>
    <row r="106" spans="3:17">
      <c r="C106" s="39" t="s">
        <v>110</v>
      </c>
      <c r="D106" s="51">
        <f>D30</f>
        <v>10505</v>
      </c>
      <c r="E106" s="51">
        <f>E30</f>
        <v>10157</v>
      </c>
      <c r="F106" s="51">
        <f>F30</f>
        <v>10903</v>
      </c>
      <c r="G106" s="142">
        <f>G104-G98</f>
        <v>11085.020171261172</v>
      </c>
      <c r="H106" s="142">
        <f t="shared" ref="H106:K106" si="52">H104-H98</f>
        <v>11711.890744865921</v>
      </c>
      <c r="I106" s="142">
        <f t="shared" si="52"/>
        <v>12226.380531123083</v>
      </c>
      <c r="J106" s="142">
        <f t="shared" si="52"/>
        <v>13365.451007770575</v>
      </c>
      <c r="K106" s="142">
        <f t="shared" si="52"/>
        <v>14603.503412486743</v>
      </c>
      <c r="M106" s="5" t="s">
        <v>160</v>
      </c>
      <c r="O106" s="98"/>
      <c r="P106" s="98"/>
      <c r="Q106" s="98"/>
    </row>
    <row r="107" spans="3:17">
      <c r="G107" s="6"/>
      <c r="H107" s="22"/>
      <c r="I107" s="22"/>
      <c r="J107" s="22"/>
      <c r="K107" s="22"/>
    </row>
    <row r="108" spans="3:17">
      <c r="C108" s="127" t="s">
        <v>129</v>
      </c>
      <c r="D108" s="9"/>
      <c r="E108" s="9"/>
      <c r="F108" s="9"/>
      <c r="G108" s="6"/>
      <c r="H108" s="22"/>
      <c r="I108" s="22"/>
      <c r="J108" s="22"/>
      <c r="K108" s="22"/>
    </row>
    <row r="109" spans="3:17" ht="15" customHeight="1">
      <c r="C109" s="41" t="s">
        <v>27</v>
      </c>
      <c r="D109" s="22"/>
      <c r="E109" s="6"/>
      <c r="F109" s="6"/>
      <c r="G109" s="156">
        <f>F112</f>
        <v>22283</v>
      </c>
      <c r="H109" s="156">
        <f t="shared" ref="H109:K109" si="53">G112</f>
        <v>21391.68</v>
      </c>
      <c r="I109" s="156">
        <f t="shared" si="53"/>
        <v>22675.180800000002</v>
      </c>
      <c r="J109" s="156">
        <f t="shared" si="53"/>
        <v>24239.7682752</v>
      </c>
      <c r="K109" s="156">
        <f t="shared" si="53"/>
        <v>25912.3122861888</v>
      </c>
      <c r="M109" s="5" t="s">
        <v>167</v>
      </c>
    </row>
    <row r="110" spans="3:17">
      <c r="C110" s="26" t="s">
        <v>161</v>
      </c>
      <c r="G110" s="22">
        <f>-G104</f>
        <v>-1538.8799999999999</v>
      </c>
      <c r="H110" s="22">
        <f t="shared" ref="H110:K110" si="54">-H104</f>
        <v>-1631.2128</v>
      </c>
      <c r="I110" s="22">
        <f t="shared" si="54"/>
        <v>-1743.7664832</v>
      </c>
      <c r="J110" s="22">
        <f t="shared" si="54"/>
        <v>-1864.0863705407999</v>
      </c>
      <c r="K110" s="22">
        <f t="shared" si="54"/>
        <v>-1992.708330108115</v>
      </c>
      <c r="M110" s="5" t="s">
        <v>162</v>
      </c>
    </row>
    <row r="111" spans="3:17" ht="15" customHeight="1">
      <c r="C111" s="111" t="s">
        <v>125</v>
      </c>
      <c r="D111" s="101"/>
      <c r="E111" s="101"/>
      <c r="F111" s="101"/>
      <c r="G111" s="155">
        <f>G112-G110-G109</f>
        <v>647.56000000000131</v>
      </c>
      <c r="H111" s="155">
        <f t="shared" ref="H111:K111" si="55">H112-H110-H109</f>
        <v>2914.7136000000028</v>
      </c>
      <c r="I111" s="155">
        <f t="shared" si="55"/>
        <v>3308.3539583999991</v>
      </c>
      <c r="J111" s="155">
        <f t="shared" si="55"/>
        <v>3536.6303815296014</v>
      </c>
      <c r="K111" s="155">
        <f t="shared" si="55"/>
        <v>3780.6578778551411</v>
      </c>
      <c r="M111" s="5" t="s">
        <v>168</v>
      </c>
    </row>
    <row r="112" spans="3:17">
      <c r="C112" s="54" t="s">
        <v>28</v>
      </c>
      <c r="D112" s="6"/>
      <c r="E112" s="51">
        <f t="shared" ref="E112:K112" si="56">E50</f>
        <v>18177</v>
      </c>
      <c r="F112" s="51">
        <f t="shared" si="56"/>
        <v>22283</v>
      </c>
      <c r="G112" s="51">
        <f t="shared" si="56"/>
        <v>21391.68</v>
      </c>
      <c r="H112" s="51">
        <f t="shared" si="56"/>
        <v>22675.180800000002</v>
      </c>
      <c r="I112" s="51">
        <f t="shared" si="56"/>
        <v>24239.7682752</v>
      </c>
      <c r="J112" s="51">
        <f t="shared" si="56"/>
        <v>25912.3122861888</v>
      </c>
      <c r="K112" s="51">
        <f t="shared" si="56"/>
        <v>27700.261833935827</v>
      </c>
      <c r="M112" s="5" t="s">
        <v>169</v>
      </c>
    </row>
    <row r="113" spans="3:13">
      <c r="C113" s="26"/>
      <c r="E113" s="34"/>
      <c r="F113" s="34"/>
      <c r="G113" s="6"/>
      <c r="H113" s="22"/>
      <c r="I113" s="22"/>
      <c r="J113" s="22"/>
      <c r="K113" s="22"/>
    </row>
    <row r="114" spans="3:13">
      <c r="C114" s="74" t="s">
        <v>75</v>
      </c>
      <c r="D114" s="70"/>
      <c r="E114" s="70"/>
      <c r="F114" s="70"/>
      <c r="G114" s="9"/>
      <c r="H114" s="9"/>
      <c r="I114" s="9"/>
      <c r="J114" s="9"/>
      <c r="K114" s="9"/>
    </row>
    <row r="115" spans="3:13">
      <c r="C115" s="41" t="s">
        <v>27</v>
      </c>
      <c r="D115" s="6"/>
      <c r="E115" s="6"/>
      <c r="F115" s="6"/>
      <c r="G115" s="151">
        <f>F119</f>
        <v>70400</v>
      </c>
      <c r="H115" s="151">
        <f t="shared" ref="H115:K115" si="57">G119</f>
        <v>34640.271323199995</v>
      </c>
      <c r="I115" s="151">
        <f t="shared" si="57"/>
        <v>3339.8331014399882</v>
      </c>
      <c r="J115" s="151">
        <f t="shared" si="57"/>
        <v>-23794.90977680801</v>
      </c>
      <c r="K115" s="151">
        <f t="shared" si="57"/>
        <v>-46788.084414655124</v>
      </c>
      <c r="M115" s="5" t="s">
        <v>167</v>
      </c>
    </row>
    <row r="116" spans="3:13">
      <c r="C116" s="26" t="s">
        <v>62</v>
      </c>
      <c r="D116" s="33">
        <f>D28</f>
        <v>45687</v>
      </c>
      <c r="E116" s="33">
        <f>E28</f>
        <v>48351</v>
      </c>
      <c r="F116" s="33">
        <f>F28</f>
        <v>59531</v>
      </c>
      <c r="G116" s="151">
        <f t="shared" ref="G116:K116" si="58">G28</f>
        <v>51031.271323200002</v>
      </c>
      <c r="H116" s="151">
        <f t="shared" si="58"/>
        <v>55490.56177824</v>
      </c>
      <c r="I116" s="151">
        <f t="shared" si="58"/>
        <v>59656.257121752002</v>
      </c>
      <c r="J116" s="151">
        <f t="shared" si="58"/>
        <v>63797.825362152886</v>
      </c>
      <c r="K116" s="151">
        <f t="shared" si="58"/>
        <v>68225.161811141428</v>
      </c>
      <c r="M116" s="5" t="s">
        <v>101</v>
      </c>
    </row>
    <row r="117" spans="3:13">
      <c r="C117" s="26" t="s">
        <v>63</v>
      </c>
      <c r="D117" s="3">
        <v>-12188</v>
      </c>
      <c r="E117" s="3">
        <v>-12803</v>
      </c>
      <c r="F117" s="3">
        <v>-13735</v>
      </c>
      <c r="G117" s="151">
        <f>F117</f>
        <v>-13735</v>
      </c>
      <c r="H117" s="151">
        <f t="shared" ref="H117:K117" si="59">G117</f>
        <v>-13735</v>
      </c>
      <c r="I117" s="151">
        <f t="shared" si="59"/>
        <v>-13735</v>
      </c>
      <c r="J117" s="151">
        <f t="shared" si="59"/>
        <v>-13735</v>
      </c>
      <c r="K117" s="151">
        <f t="shared" si="59"/>
        <v>-13735</v>
      </c>
      <c r="M117" s="5" t="s">
        <v>163</v>
      </c>
    </row>
    <row r="118" spans="3:13">
      <c r="C118" s="104" t="s">
        <v>64</v>
      </c>
      <c r="D118" s="95">
        <v>-29000</v>
      </c>
      <c r="E118" s="95">
        <v>-33001</v>
      </c>
      <c r="F118" s="95">
        <v>-73056</v>
      </c>
      <c r="G118" s="158">
        <f t="shared" ref="G118:K118" si="60">F118</f>
        <v>-73056</v>
      </c>
      <c r="H118" s="158">
        <f t="shared" si="60"/>
        <v>-73056</v>
      </c>
      <c r="I118" s="158">
        <f t="shared" si="60"/>
        <v>-73056</v>
      </c>
      <c r="J118" s="158">
        <f t="shared" si="60"/>
        <v>-73056</v>
      </c>
      <c r="K118" s="158">
        <f t="shared" si="60"/>
        <v>-73056</v>
      </c>
      <c r="M118" s="5" t="s">
        <v>236</v>
      </c>
    </row>
    <row r="119" spans="3:13">
      <c r="C119" s="83" t="s">
        <v>28</v>
      </c>
      <c r="D119" s="23">
        <f>D62</f>
        <v>0</v>
      </c>
      <c r="E119" s="23">
        <f>E62</f>
        <v>98330</v>
      </c>
      <c r="F119" s="23">
        <f>F62</f>
        <v>70400</v>
      </c>
      <c r="G119" s="146">
        <f>SUM(G115:G118)</f>
        <v>34640.271323199995</v>
      </c>
      <c r="H119" s="146">
        <f t="shared" ref="H119:K119" si="61">SUM(H115:H118)</f>
        <v>3339.8331014399882</v>
      </c>
      <c r="I119" s="146">
        <f t="shared" si="61"/>
        <v>-23794.90977680801</v>
      </c>
      <c r="J119" s="146">
        <f t="shared" si="61"/>
        <v>-46788.084414655124</v>
      </c>
      <c r="K119" s="146">
        <f t="shared" si="61"/>
        <v>-65353.922603513696</v>
      </c>
      <c r="M119" s="5" t="s">
        <v>164</v>
      </c>
    </row>
    <row r="120" spans="3:13">
      <c r="E120" s="68"/>
      <c r="F120" s="68"/>
    </row>
    <row r="121" spans="3:13">
      <c r="C121" s="28" t="s">
        <v>265</v>
      </c>
      <c r="D121" s="93">
        <f t="shared" ref="D121:E121" si="62">-(D117/D116)</f>
        <v>0.26677172937597127</v>
      </c>
      <c r="E121" s="93">
        <f t="shared" si="62"/>
        <v>0.2647928688134682</v>
      </c>
      <c r="F121" s="93">
        <f>-(F117/F116)</f>
        <v>0.23072012900841579</v>
      </c>
      <c r="G121" s="436">
        <f>F121</f>
        <v>0.23072012900841579</v>
      </c>
      <c r="H121" s="436">
        <f t="shared" ref="H121:K121" si="63">G121</f>
        <v>0.23072012900841579</v>
      </c>
      <c r="I121" s="436">
        <f t="shared" si="63"/>
        <v>0.23072012900841579</v>
      </c>
      <c r="J121" s="436">
        <f t="shared" si="63"/>
        <v>0.23072012900841579</v>
      </c>
      <c r="K121" s="436">
        <f t="shared" si="63"/>
        <v>0.23072012900841579</v>
      </c>
      <c r="M121" s="5" t="s">
        <v>293</v>
      </c>
    </row>
    <row r="122" spans="3:13">
      <c r="C122" s="28" t="s">
        <v>294</v>
      </c>
      <c r="D122" s="93">
        <f t="shared" ref="D122:E122" si="64">-(D118/D116)</f>
        <v>0.63475386871538952</v>
      </c>
      <c r="E122" s="93">
        <f t="shared" si="64"/>
        <v>0.68252983392277311</v>
      </c>
      <c r="F122" s="93">
        <f>-(F118/F116)</f>
        <v>1.2271925551393392</v>
      </c>
      <c r="G122" s="93">
        <f>F122-5%</f>
        <v>1.1771925551393392</v>
      </c>
      <c r="H122" s="93">
        <f t="shared" ref="H122:K122" si="65">G122-5%</f>
        <v>1.1271925551393391</v>
      </c>
      <c r="I122" s="93">
        <f t="shared" si="65"/>
        <v>1.0771925551393391</v>
      </c>
      <c r="J122" s="93">
        <f t="shared" si="65"/>
        <v>1.027192555139339</v>
      </c>
      <c r="K122" s="93">
        <f t="shared" si="65"/>
        <v>0.977192555139339</v>
      </c>
      <c r="M122" s="5" t="s">
        <v>293</v>
      </c>
    </row>
  </sheetData>
  <conditionalFormatting sqref="C39">
    <cfRule type="expression" dxfId="22" priority="1">
      <formula>#REF!=$C39</formula>
    </cfRule>
  </conditionalFormatting>
  <dataValidations disablePrompts="1" count="2">
    <dataValidation type="list" allowBlank="1" showInputMessage="1" showErrorMessage="1" sqref="C3" xr:uid="{C9D61746-62FE-49CC-AB98-C346BA7D0DA4}">
      <formula1>"$ bns except per share, $ mm except per share,$ in thousands except per share"</formula1>
    </dataValidation>
    <dataValidation type="list" allowBlank="1" showInputMessage="1" showErrorMessage="1" sqref="D7" xr:uid="{9B62C102-6E99-4B25-9648-0F5D91C3B117}">
      <formula1>"0,1"</formula1>
    </dataValidation>
  </dataValidations>
  <pageMargins left="0.7" right="0.7" top="0.75" bottom="0.75" header="0.3" footer="0.3"/>
  <pageSetup scale="23"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C1:T157"/>
  <sheetViews>
    <sheetView topLeftCell="A28" zoomScaleNormal="100" workbookViewId="0">
      <selection activeCell="K108" sqref="K108"/>
    </sheetView>
  </sheetViews>
  <sheetFormatPr defaultColWidth="8.85546875" defaultRowHeight="15"/>
  <cols>
    <col min="1" max="2" width="1.7109375" style="5" customWidth="1"/>
    <col min="3" max="3" width="46.7109375" style="5" bestFit="1" customWidth="1"/>
    <col min="4" max="11" width="11.42578125" style="5" customWidth="1"/>
    <col min="12" max="12" width="2.28515625" style="5" customWidth="1"/>
    <col min="13" max="13" width="11.42578125" style="5" customWidth="1"/>
    <col min="14" max="14" width="11.85546875" style="5" customWidth="1"/>
    <col min="15" max="17" width="10.28515625" style="5" bestFit="1" customWidth="1"/>
    <col min="18" max="19" width="9.42578125" style="5" bestFit="1" customWidth="1"/>
    <col min="20" max="16384" width="8.85546875" style="5"/>
  </cols>
  <sheetData>
    <row r="1" spans="3:19" ht="15.75" thickBot="1"/>
    <row r="2" spans="3:19" ht="15.75" thickBot="1">
      <c r="C2" s="96" t="str">
        <f>"Financial Statement Model for "&amp;D5</f>
        <v>Financial Statement Model for Apple</v>
      </c>
      <c r="D2" s="79"/>
      <c r="E2" s="79"/>
      <c r="F2" s="79"/>
      <c r="G2" s="79"/>
      <c r="H2" s="79"/>
      <c r="I2" s="79"/>
      <c r="J2" s="79"/>
      <c r="K2" s="79"/>
    </row>
    <row r="3" spans="3:19">
      <c r="C3" s="2" t="s">
        <v>46</v>
      </c>
      <c r="D3" s="64"/>
      <c r="E3" s="64"/>
      <c r="F3" s="64"/>
      <c r="G3" s="64"/>
      <c r="H3" s="64"/>
      <c r="I3" s="6"/>
      <c r="J3" s="6"/>
      <c r="K3" s="6"/>
    </row>
    <row r="4" spans="3:19">
      <c r="O4" s="6"/>
      <c r="P4" s="6"/>
    </row>
    <row r="5" spans="3:19">
      <c r="C5" s="1" t="s">
        <v>5</v>
      </c>
      <c r="D5" s="112" t="s">
        <v>50</v>
      </c>
      <c r="O5" s="6"/>
      <c r="P5" s="6"/>
    </row>
    <row r="6" spans="3:19">
      <c r="C6" s="1" t="s">
        <v>6</v>
      </c>
      <c r="D6" s="112" t="s">
        <v>51</v>
      </c>
      <c r="O6" s="6"/>
      <c r="P6" s="6"/>
    </row>
    <row r="7" spans="3:19">
      <c r="C7" s="5" t="s">
        <v>109</v>
      </c>
      <c r="D7" s="113">
        <v>1</v>
      </c>
      <c r="O7" s="6"/>
      <c r="P7" s="6"/>
    </row>
    <row r="8" spans="3:19">
      <c r="C8" s="5" t="s">
        <v>73</v>
      </c>
      <c r="D8" s="114">
        <v>171.25</v>
      </c>
      <c r="O8" s="6"/>
      <c r="P8" s="6"/>
    </row>
    <row r="9" spans="3:19">
      <c r="C9" s="5" t="s">
        <v>9</v>
      </c>
      <c r="D9" s="115">
        <v>43500</v>
      </c>
      <c r="O9" s="6"/>
      <c r="P9" s="6"/>
    </row>
    <row r="10" spans="3:19">
      <c r="C10" s="1" t="s">
        <v>8</v>
      </c>
      <c r="D10" s="116">
        <v>43372</v>
      </c>
      <c r="O10" s="6"/>
      <c r="P10" s="6"/>
    </row>
    <row r="11" spans="3:19" ht="15" customHeight="1">
      <c r="C11" t="s">
        <v>292</v>
      </c>
      <c r="D11" s="132">
        <v>4745.3980000000001</v>
      </c>
      <c r="O11" s="6"/>
      <c r="P11" s="6"/>
    </row>
    <row r="12" spans="3:19">
      <c r="O12" s="6"/>
      <c r="P12" s="6"/>
    </row>
    <row r="13" spans="3:19">
      <c r="C13" s="7" t="s">
        <v>19</v>
      </c>
      <c r="D13" s="9"/>
      <c r="E13" s="9"/>
      <c r="F13" s="9"/>
      <c r="G13" s="9"/>
      <c r="H13" s="9"/>
      <c r="I13" s="9"/>
      <c r="J13" s="9"/>
      <c r="K13" s="9"/>
      <c r="Q13" s="6"/>
    </row>
    <row r="14" spans="3:19">
      <c r="C14" s="6" t="s">
        <v>10</v>
      </c>
      <c r="D14" s="10">
        <f>E14-1</f>
        <v>2016</v>
      </c>
      <c r="E14" s="10">
        <f>F14-1</f>
        <v>2017</v>
      </c>
      <c r="F14" s="10">
        <f>YEAR(D10)</f>
        <v>2018</v>
      </c>
      <c r="G14" s="11">
        <f>F14+1</f>
        <v>2019</v>
      </c>
      <c r="H14" s="11">
        <f>G14+1</f>
        <v>2020</v>
      </c>
      <c r="I14" s="11">
        <f>H14+1</f>
        <v>2021</v>
      </c>
      <c r="J14" s="11">
        <f>I14+1</f>
        <v>2022</v>
      </c>
      <c r="K14" s="11">
        <f>J14+1</f>
        <v>2023</v>
      </c>
      <c r="Q14" s="6"/>
    </row>
    <row r="15" spans="3:19">
      <c r="C15" s="12" t="s">
        <v>7</v>
      </c>
      <c r="D15" s="89">
        <f>EOMONTH(E15,-12)</f>
        <v>42643</v>
      </c>
      <c r="E15" s="89">
        <f>EOMONTH(F15,-12)</f>
        <v>43008</v>
      </c>
      <c r="F15" s="89">
        <f>D10</f>
        <v>43372</v>
      </c>
      <c r="G15" s="89">
        <f>EOMONTH(F15,12)</f>
        <v>43738</v>
      </c>
      <c r="H15" s="89">
        <f>EOMONTH(G15,12)</f>
        <v>44104</v>
      </c>
      <c r="I15" s="89">
        <f>EOMONTH(H15,12)</f>
        <v>44469</v>
      </c>
      <c r="J15" s="89">
        <f>EOMONTH(I15,12)</f>
        <v>44834</v>
      </c>
      <c r="K15" s="89">
        <f>EOMONTH(J15,12)</f>
        <v>45199</v>
      </c>
      <c r="M15" s="84" t="s">
        <v>86</v>
      </c>
      <c r="N15" s="97"/>
      <c r="O15" s="97"/>
      <c r="P15" s="97"/>
      <c r="Q15" s="97"/>
      <c r="R15" s="97"/>
      <c r="S15" s="97"/>
    </row>
    <row r="16" spans="3:19">
      <c r="C16" s="14"/>
      <c r="D16" s="15"/>
      <c r="E16" s="16"/>
      <c r="F16" s="16"/>
      <c r="G16" s="85"/>
      <c r="H16" s="86"/>
      <c r="I16" s="86"/>
      <c r="J16" s="16"/>
      <c r="K16" s="16"/>
    </row>
    <row r="17" spans="3:14">
      <c r="C17" s="6" t="s">
        <v>11</v>
      </c>
      <c r="D17" s="17">
        <v>215639</v>
      </c>
      <c r="E17" s="17">
        <v>229234</v>
      </c>
      <c r="F17" s="17">
        <v>265595</v>
      </c>
      <c r="G17" s="141">
        <f>F17*(1+G36)</f>
        <v>254971.19999999998</v>
      </c>
      <c r="H17" s="141">
        <f>G17*(1+H36)</f>
        <v>270269.47200000001</v>
      </c>
      <c r="I17" s="141">
        <f>H17*(1+I36)</f>
        <v>288918.06556800002</v>
      </c>
      <c r="J17" s="141">
        <f>I17*(1+J36)</f>
        <v>308853.41209219198</v>
      </c>
      <c r="K17" s="141">
        <f>J17*(1+K36)</f>
        <v>330164.29752655321</v>
      </c>
      <c r="M17" s="5" t="s">
        <v>87</v>
      </c>
    </row>
    <row r="18" spans="3:14">
      <c r="C18" s="6" t="s">
        <v>14</v>
      </c>
      <c r="D18" s="17">
        <v>-131376</v>
      </c>
      <c r="E18" s="17">
        <v>-141048</v>
      </c>
      <c r="F18" s="17">
        <v>-163756</v>
      </c>
      <c r="G18" s="141">
        <f>G19-G17</f>
        <v>-158592.08639999997</v>
      </c>
      <c r="H18" s="141">
        <f>H19-H17</f>
        <v>-167296.80316800001</v>
      </c>
      <c r="I18" s="141">
        <f>I19-I17</f>
        <v>-178551.36452102399</v>
      </c>
      <c r="J18" s="141">
        <f>J19-J17</f>
        <v>-190871.40867297465</v>
      </c>
      <c r="K18" s="141">
        <f>K19-K17</f>
        <v>-204041.53587140987</v>
      </c>
      <c r="M18" s="5" t="s">
        <v>88</v>
      </c>
    </row>
    <row r="19" spans="3:14">
      <c r="C19" s="19" t="s">
        <v>13</v>
      </c>
      <c r="D19" s="20">
        <f>SUM(D17:D18)</f>
        <v>84263</v>
      </c>
      <c r="E19" s="20">
        <f>SUM(E17:E18)</f>
        <v>88186</v>
      </c>
      <c r="F19" s="20">
        <f>SUM(F17:F18)</f>
        <v>101839</v>
      </c>
      <c r="G19" s="142">
        <f>G17*G37</f>
        <v>96379.113599999997</v>
      </c>
      <c r="H19" s="142">
        <f>H17*H37</f>
        <v>102972.66883200001</v>
      </c>
      <c r="I19" s="142">
        <f>I17*I37</f>
        <v>110366.70104697601</v>
      </c>
      <c r="J19" s="142">
        <f>J17*J37</f>
        <v>117982.00341921733</v>
      </c>
      <c r="K19" s="142">
        <f>K17*K37</f>
        <v>126122.76165514333</v>
      </c>
      <c r="M19" s="87" t="s">
        <v>89</v>
      </c>
    </row>
    <row r="20" spans="3:14">
      <c r="C20" s="21" t="s">
        <v>52</v>
      </c>
      <c r="D20" s="17">
        <v>-10045</v>
      </c>
      <c r="E20" s="17">
        <v>-11581</v>
      </c>
      <c r="F20" s="17">
        <v>-14236</v>
      </c>
      <c r="G20" s="141">
        <f>-G38*G17</f>
        <v>-15808.214399999999</v>
      </c>
      <c r="H20" s="141">
        <f>-H38*H17</f>
        <v>-17026.976736000001</v>
      </c>
      <c r="I20" s="141">
        <f>-I38*I17</f>
        <v>-18201.838130784003</v>
      </c>
      <c r="J20" s="141">
        <f>-J38*J17</f>
        <v>-19457.764961808094</v>
      </c>
      <c r="K20" s="141">
        <f>-K38*K17</f>
        <v>-20800.350744172854</v>
      </c>
      <c r="M20" s="87" t="s">
        <v>233</v>
      </c>
    </row>
    <row r="21" spans="3:14">
      <c r="C21" s="21" t="s">
        <v>16</v>
      </c>
      <c r="D21" s="17">
        <v>-14194</v>
      </c>
      <c r="E21" s="17">
        <v>-15261</v>
      </c>
      <c r="F21" s="17">
        <v>-16705</v>
      </c>
      <c r="G21" s="141">
        <f>-G17*G39</f>
        <v>-18867.868799999997</v>
      </c>
      <c r="H21" s="141">
        <f>-H17*H39</f>
        <v>-18648.593568000004</v>
      </c>
      <c r="I21" s="141">
        <f>-I17*I39</f>
        <v>-19935.346524192002</v>
      </c>
      <c r="J21" s="141">
        <f>-J17*J39</f>
        <v>-21310.885434361247</v>
      </c>
      <c r="K21" s="141">
        <f>-K17*K39</f>
        <v>-22781.336529332173</v>
      </c>
      <c r="M21" s="87" t="s">
        <v>235</v>
      </c>
    </row>
    <row r="22" spans="3:14">
      <c r="C22" s="19" t="s">
        <v>3</v>
      </c>
      <c r="D22" s="20">
        <f t="shared" ref="D22:K22" si="0">D19+D20+D21</f>
        <v>60024</v>
      </c>
      <c r="E22" s="20">
        <f>E19+E20+E21</f>
        <v>61344</v>
      </c>
      <c r="F22" s="20">
        <f>F19+F20+F21</f>
        <v>70898</v>
      </c>
      <c r="G22" s="142">
        <f t="shared" si="0"/>
        <v>61703.030400000003</v>
      </c>
      <c r="H22" s="142">
        <f>H19+H20+H21</f>
        <v>67297.098528000002</v>
      </c>
      <c r="I22" s="142">
        <f t="shared" si="0"/>
        <v>72229.516392000005</v>
      </c>
      <c r="J22" s="142">
        <f t="shared" si="0"/>
        <v>77213.353023047996</v>
      </c>
      <c r="K22" s="142">
        <f t="shared" si="0"/>
        <v>82541.074381638304</v>
      </c>
      <c r="M22" s="24" t="s">
        <v>90</v>
      </c>
    </row>
    <row r="23" spans="3:14">
      <c r="C23" s="6" t="s">
        <v>4</v>
      </c>
      <c r="D23" s="17">
        <v>3999</v>
      </c>
      <c r="E23" s="17">
        <v>5201</v>
      </c>
      <c r="F23" s="17">
        <v>5686</v>
      </c>
      <c r="G23" s="166">
        <f ca="1">G156</f>
        <v>4744.4371106301642</v>
      </c>
      <c r="H23" s="166">
        <f t="shared" ref="H23:K23" ca="1" si="1">H156</f>
        <v>4090.2133392642463</v>
      </c>
      <c r="I23" s="166">
        <f t="shared" ca="1" si="1"/>
        <v>3592.0870665129901</v>
      </c>
      <c r="J23" s="166">
        <f t="shared" ca="1" si="1"/>
        <v>3200.5876330043361</v>
      </c>
      <c r="K23" s="166">
        <f t="shared" ca="1" si="1"/>
        <v>2913.259316698618</v>
      </c>
      <c r="M23" s="5" t="s">
        <v>95</v>
      </c>
    </row>
    <row r="24" spans="3:14">
      <c r="C24" s="6" t="s">
        <v>17</v>
      </c>
      <c r="D24" s="17">
        <v>-1456</v>
      </c>
      <c r="E24" s="17">
        <v>-2323</v>
      </c>
      <c r="F24" s="17">
        <v>-3240</v>
      </c>
      <c r="G24" s="166">
        <f ca="1">-G142</f>
        <v>-3223.1468651501777</v>
      </c>
      <c r="H24" s="166">
        <f t="shared" ref="H24:K24" ca="1" si="2">-H142</f>
        <v>-3223.5392651501775</v>
      </c>
      <c r="I24" s="166">
        <f t="shared" ca="1" si="2"/>
        <v>-3223.5392651501775</v>
      </c>
      <c r="J24" s="166">
        <f t="shared" ca="1" si="2"/>
        <v>-3223.5392651501775</v>
      </c>
      <c r="K24" s="166">
        <f t="shared" ca="1" si="2"/>
        <v>-3223.5392651501775</v>
      </c>
      <c r="M24" s="5" t="s">
        <v>94</v>
      </c>
    </row>
    <row r="25" spans="3:14">
      <c r="C25" s="21" t="s">
        <v>53</v>
      </c>
      <c r="D25" s="17">
        <v>-1195</v>
      </c>
      <c r="E25" s="17">
        <v>-133</v>
      </c>
      <c r="F25" s="17">
        <v>-441</v>
      </c>
      <c r="G25" s="143">
        <f>F25</f>
        <v>-441</v>
      </c>
      <c r="H25" s="143">
        <f>G25</f>
        <v>-441</v>
      </c>
      <c r="I25" s="143">
        <f>H25</f>
        <v>-441</v>
      </c>
      <c r="J25" s="143">
        <f>I25</f>
        <v>-441</v>
      </c>
      <c r="K25" s="143">
        <f>J25</f>
        <v>-441</v>
      </c>
      <c r="M25" s="5" t="s">
        <v>91</v>
      </c>
    </row>
    <row r="26" spans="3:14">
      <c r="C26" s="19" t="s">
        <v>12</v>
      </c>
      <c r="D26" s="20">
        <f t="shared" ref="D26:K26" si="3">SUM(D22:D25)</f>
        <v>61372</v>
      </c>
      <c r="E26" s="20">
        <f>SUM(E22:E25)</f>
        <v>64089</v>
      </c>
      <c r="F26" s="20">
        <f>SUM(F22:F25)</f>
        <v>72903</v>
      </c>
      <c r="G26" s="142">
        <f ca="1">SUM(G22:G25)</f>
        <v>62783.320645479995</v>
      </c>
      <c r="H26" s="142">
        <f ca="1">SUM(H22:H25)</f>
        <v>67722.77260211407</v>
      </c>
      <c r="I26" s="142">
        <f t="shared" ca="1" si="3"/>
        <v>72157.064193362821</v>
      </c>
      <c r="J26" s="142">
        <f t="shared" ca="1" si="3"/>
        <v>76749.40139090216</v>
      </c>
      <c r="K26" s="142">
        <f t="shared" ca="1" si="3"/>
        <v>81789.794433186747</v>
      </c>
      <c r="M26" s="24" t="s">
        <v>96</v>
      </c>
      <c r="N26" s="24"/>
    </row>
    <row r="27" spans="3:14">
      <c r="C27" s="6" t="s">
        <v>15</v>
      </c>
      <c r="D27" s="17">
        <v>-15685</v>
      </c>
      <c r="E27" s="17">
        <v>-15738</v>
      </c>
      <c r="F27" s="17">
        <v>-13372</v>
      </c>
      <c r="G27" s="141">
        <f ca="1">-G40*G26</f>
        <v>-10484.81454779516</v>
      </c>
      <c r="H27" s="141">
        <f ca="1">-H40*H26</f>
        <v>-11512.871342359393</v>
      </c>
      <c r="I27" s="141">
        <f ca="1">-I40*I26</f>
        <v>-12194.543848678317</v>
      </c>
      <c r="J27" s="141">
        <f ca="1">-J40*J26</f>
        <v>-12970.648835062466</v>
      </c>
      <c r="K27" s="141">
        <f ca="1">-K40*K26</f>
        <v>-13822.475259208561</v>
      </c>
      <c r="M27" s="5" t="s">
        <v>92</v>
      </c>
    </row>
    <row r="28" spans="3:14">
      <c r="C28" s="19" t="s">
        <v>2</v>
      </c>
      <c r="D28" s="23">
        <f t="shared" ref="D28" si="4">SUM(D26:D27)</f>
        <v>45687</v>
      </c>
      <c r="E28" s="23">
        <f t="shared" ref="E28:K28" si="5">SUM(E26:E27)</f>
        <v>48351</v>
      </c>
      <c r="F28" s="23">
        <f t="shared" si="5"/>
        <v>59531</v>
      </c>
      <c r="G28" s="142">
        <f t="shared" ca="1" si="5"/>
        <v>52298.506097684833</v>
      </c>
      <c r="H28" s="142">
        <f t="shared" ca="1" si="5"/>
        <v>56209.901259754675</v>
      </c>
      <c r="I28" s="142">
        <f t="shared" ca="1" si="5"/>
        <v>59962.520344684504</v>
      </c>
      <c r="J28" s="142">
        <f t="shared" ca="1" si="5"/>
        <v>63778.752555839696</v>
      </c>
      <c r="K28" s="142">
        <f t="shared" ca="1" si="5"/>
        <v>67967.319173978191</v>
      </c>
      <c r="M28" s="24" t="s">
        <v>93</v>
      </c>
    </row>
    <row r="29" spans="3:14">
      <c r="C29" s="28"/>
      <c r="D29" s="34"/>
      <c r="E29" s="34"/>
      <c r="F29" s="34"/>
      <c r="G29" s="34"/>
      <c r="H29" s="34"/>
      <c r="I29" s="34"/>
      <c r="J29" s="34"/>
      <c r="K29" s="34"/>
    </row>
    <row r="30" spans="3:14">
      <c r="C30" s="72" t="s">
        <v>49</v>
      </c>
      <c r="D30" s="3">
        <v>10505</v>
      </c>
      <c r="E30" s="3">
        <v>10157</v>
      </c>
      <c r="F30" s="3">
        <v>10903</v>
      </c>
      <c r="G30" s="92">
        <f>G106</f>
        <v>11085.020171261172</v>
      </c>
      <c r="H30" s="92">
        <f>H106</f>
        <v>11711.890744865921</v>
      </c>
      <c r="I30" s="92">
        <f>I106</f>
        <v>12226.380531123083</v>
      </c>
      <c r="J30" s="92">
        <f>J106</f>
        <v>13365.451007770575</v>
      </c>
      <c r="K30" s="92">
        <f>K106</f>
        <v>14603.503412486743</v>
      </c>
      <c r="M30" s="5" t="s">
        <v>159</v>
      </c>
    </row>
    <row r="31" spans="3:14">
      <c r="C31" s="73" t="s">
        <v>47</v>
      </c>
      <c r="D31" s="69">
        <f t="shared" ref="D31:K31" si="6">D22+D30</f>
        <v>70529</v>
      </c>
      <c r="E31" s="69">
        <f>E22+E30</f>
        <v>71501</v>
      </c>
      <c r="F31" s="69">
        <f>F22+F30</f>
        <v>81801</v>
      </c>
      <c r="G31" s="144">
        <f t="shared" si="6"/>
        <v>72788.050571261178</v>
      </c>
      <c r="H31" s="144">
        <f t="shared" si="6"/>
        <v>79008.989272865918</v>
      </c>
      <c r="I31" s="144">
        <f t="shared" si="6"/>
        <v>84455.896923123088</v>
      </c>
      <c r="J31" s="144">
        <f t="shared" si="6"/>
        <v>90578.804030818574</v>
      </c>
      <c r="K31" s="144">
        <f t="shared" si="6"/>
        <v>97144.577794125042</v>
      </c>
      <c r="M31" s="24" t="s">
        <v>97</v>
      </c>
    </row>
    <row r="32" spans="3:14">
      <c r="C32" s="72" t="s">
        <v>74</v>
      </c>
      <c r="D32" s="3">
        <v>4210</v>
      </c>
      <c r="E32" s="3">
        <v>4840</v>
      </c>
      <c r="F32" s="3">
        <v>5340</v>
      </c>
      <c r="G32" s="92">
        <f>F32*(1+G36)</f>
        <v>5126.3999999999996</v>
      </c>
      <c r="H32" s="92">
        <f>G32*(1+H36)</f>
        <v>5433.9839999999995</v>
      </c>
      <c r="I32" s="92">
        <f>H32*(1+I36)</f>
        <v>5808.9288959999994</v>
      </c>
      <c r="J32" s="92">
        <f>I32*(1+J36)</f>
        <v>6209.7449898239993</v>
      </c>
      <c r="K32" s="92">
        <f>J32*(1+K36)</f>
        <v>6638.2173941218552</v>
      </c>
      <c r="M32" s="5" t="s">
        <v>99</v>
      </c>
    </row>
    <row r="33" spans="3:20">
      <c r="C33" s="73" t="s">
        <v>72</v>
      </c>
      <c r="D33" s="69">
        <f t="shared" ref="D33:K33" si="7">SUM(D31:D32)</f>
        <v>74739</v>
      </c>
      <c r="E33" s="69">
        <f>SUM(E31:E32)</f>
        <v>76341</v>
      </c>
      <c r="F33" s="69">
        <f>SUM(F31:F32)</f>
        <v>87141</v>
      </c>
      <c r="G33" s="144">
        <f t="shared" si="7"/>
        <v>77914.450571261172</v>
      </c>
      <c r="H33" s="144">
        <f t="shared" si="7"/>
        <v>84442.973272865915</v>
      </c>
      <c r="I33" s="144">
        <f t="shared" si="7"/>
        <v>90264.825819123085</v>
      </c>
      <c r="J33" s="144">
        <f t="shared" si="7"/>
        <v>96788.549020642575</v>
      </c>
      <c r="K33" s="144">
        <f t="shared" si="7"/>
        <v>103782.79518824689</v>
      </c>
      <c r="M33" s="24" t="s">
        <v>98</v>
      </c>
    </row>
    <row r="34" spans="3:20">
      <c r="C34" s="28"/>
      <c r="G34" s="58"/>
    </row>
    <row r="35" spans="3:20">
      <c r="C35" s="25" t="s">
        <v>18</v>
      </c>
    </row>
    <row r="36" spans="3:20">
      <c r="C36" s="26" t="s">
        <v>1</v>
      </c>
      <c r="D36" s="27"/>
      <c r="E36" s="27">
        <f>E17/D17-1</f>
        <v>6.304518199398057E-2</v>
      </c>
      <c r="F36" s="27">
        <f>F17/E17-1</f>
        <v>0.15861957650261305</v>
      </c>
      <c r="G36" s="66">
        <v>-0.04</v>
      </c>
      <c r="H36" s="66">
        <v>0.06</v>
      </c>
      <c r="I36" s="66">
        <v>6.9000000000000006E-2</v>
      </c>
      <c r="J36" s="27">
        <f t="shared" ref="J36:K40" si="8">I36</f>
        <v>6.9000000000000006E-2</v>
      </c>
      <c r="K36" s="27">
        <f t="shared" si="8"/>
        <v>6.9000000000000006E-2</v>
      </c>
      <c r="M36" s="5" t="s">
        <v>151</v>
      </c>
      <c r="O36" s="59"/>
      <c r="P36" s="59"/>
      <c r="Q36" s="59"/>
      <c r="R36" s="59"/>
      <c r="S36" s="59"/>
      <c r="T36" s="59"/>
    </row>
    <row r="37" spans="3:20">
      <c r="C37" s="26" t="s">
        <v>231</v>
      </c>
      <c r="D37" s="27">
        <f>D19/D17</f>
        <v>0.39075955648097049</v>
      </c>
      <c r="E37" s="27">
        <f>E19/E17</f>
        <v>0.38469860491899105</v>
      </c>
      <c r="F37" s="27">
        <f>F19/F17</f>
        <v>0.38343718820007905</v>
      </c>
      <c r="G37" s="66">
        <v>0.378</v>
      </c>
      <c r="H37" s="66">
        <v>0.38100000000000001</v>
      </c>
      <c r="I37" s="66">
        <v>0.38200000000000001</v>
      </c>
      <c r="J37" s="27">
        <f t="shared" si="8"/>
        <v>0.38200000000000001</v>
      </c>
      <c r="K37" s="27">
        <f t="shared" si="8"/>
        <v>0.38200000000000001</v>
      </c>
      <c r="M37" s="5" t="s">
        <v>152</v>
      </c>
      <c r="O37" s="59"/>
      <c r="P37" s="59"/>
      <c r="Q37" s="59"/>
      <c r="R37" s="59"/>
      <c r="S37" s="59"/>
      <c r="T37" s="59"/>
    </row>
    <row r="38" spans="3:20">
      <c r="C38" s="26" t="s">
        <v>232</v>
      </c>
      <c r="D38" s="27">
        <f>-D20/D17</f>
        <v>4.6582482760539605E-2</v>
      </c>
      <c r="E38" s="27">
        <f>-E20/E17</f>
        <v>5.0520428906706681E-2</v>
      </c>
      <c r="F38" s="27">
        <f>-F20/F17</f>
        <v>5.3600406634161032E-2</v>
      </c>
      <c r="G38" s="66">
        <v>6.2E-2</v>
      </c>
      <c r="H38" s="66">
        <v>6.3E-2</v>
      </c>
      <c r="I38" s="66">
        <v>6.3E-2</v>
      </c>
      <c r="J38" s="27">
        <f t="shared" si="8"/>
        <v>6.3E-2</v>
      </c>
      <c r="K38" s="27">
        <f t="shared" si="8"/>
        <v>6.3E-2</v>
      </c>
      <c r="M38" s="5" t="s">
        <v>153</v>
      </c>
      <c r="O38" s="59"/>
      <c r="P38" s="59"/>
      <c r="Q38" s="59"/>
      <c r="R38" s="59"/>
      <c r="S38" s="59"/>
      <c r="T38" s="59"/>
    </row>
    <row r="39" spans="3:20">
      <c r="C39" s="26" t="s">
        <v>234</v>
      </c>
      <c r="D39" s="27">
        <f>-D21/D17</f>
        <v>6.5822972653369755E-2</v>
      </c>
      <c r="E39" s="27">
        <f>-E21/E17</f>
        <v>6.6573893924984945E-2</v>
      </c>
      <c r="F39" s="27">
        <f>-F21/F17</f>
        <v>6.2896515371147807E-2</v>
      </c>
      <c r="G39" s="66">
        <v>7.3999999999999996E-2</v>
      </c>
      <c r="H39" s="66">
        <v>6.9000000000000006E-2</v>
      </c>
      <c r="I39" s="66">
        <v>6.9000000000000006E-2</v>
      </c>
      <c r="J39" s="27">
        <f t="shared" si="8"/>
        <v>6.9000000000000006E-2</v>
      </c>
      <c r="K39" s="27">
        <f t="shared" si="8"/>
        <v>6.9000000000000006E-2</v>
      </c>
      <c r="M39" s="5" t="s">
        <v>153</v>
      </c>
      <c r="O39" s="59"/>
      <c r="P39" s="59"/>
      <c r="Q39" s="59"/>
      <c r="R39" s="59"/>
      <c r="S39" s="59"/>
      <c r="T39" s="59"/>
    </row>
    <row r="40" spans="3:20">
      <c r="C40" s="26" t="s">
        <v>0</v>
      </c>
      <c r="D40" s="27">
        <f>-(D27/D26)</f>
        <v>0.25557257381216192</v>
      </c>
      <c r="E40" s="27">
        <f>-(E27/E26)</f>
        <v>0.24556476150353415</v>
      </c>
      <c r="F40" s="27">
        <f>-(F27/F26)</f>
        <v>0.18342180705869443</v>
      </c>
      <c r="G40" s="66">
        <v>0.16700000000000001</v>
      </c>
      <c r="H40" s="66">
        <v>0.17</v>
      </c>
      <c r="I40" s="66">
        <v>0.16900000000000001</v>
      </c>
      <c r="J40" s="27">
        <f t="shared" si="8"/>
        <v>0.16900000000000001</v>
      </c>
      <c r="K40" s="27">
        <f t="shared" si="8"/>
        <v>0.16900000000000001</v>
      </c>
      <c r="M40" s="5" t="s">
        <v>153</v>
      </c>
      <c r="O40" s="29"/>
      <c r="P40" s="29"/>
      <c r="Q40" s="29"/>
      <c r="R40" s="29"/>
      <c r="S40" s="29"/>
      <c r="T40" s="29"/>
    </row>
    <row r="41" spans="3:20">
      <c r="C41" s="28"/>
      <c r="G41" s="58"/>
    </row>
    <row r="42" spans="3:20">
      <c r="C42" s="7" t="s">
        <v>20</v>
      </c>
      <c r="D42" s="13"/>
      <c r="E42" s="13"/>
      <c r="F42" s="13"/>
      <c r="G42" s="9"/>
      <c r="H42" s="9"/>
      <c r="I42" s="9"/>
      <c r="J42" s="9"/>
      <c r="K42" s="9"/>
    </row>
    <row r="43" spans="3:20">
      <c r="C43" s="35" t="str">
        <f>C14</f>
        <v xml:space="preserve">Fiscal year  </v>
      </c>
      <c r="D43" s="30"/>
      <c r="E43" s="30">
        <f t="shared" ref="E43:K44" si="9">E14</f>
        <v>2017</v>
      </c>
      <c r="F43" s="30">
        <f t="shared" si="9"/>
        <v>2018</v>
      </c>
      <c r="G43" s="31">
        <f t="shared" si="9"/>
        <v>2019</v>
      </c>
      <c r="H43" s="31">
        <f t="shared" si="9"/>
        <v>2020</v>
      </c>
      <c r="I43" s="31">
        <f t="shared" si="9"/>
        <v>2021</v>
      </c>
      <c r="J43" s="31">
        <f t="shared" si="9"/>
        <v>2022</v>
      </c>
      <c r="K43" s="31">
        <f t="shared" si="9"/>
        <v>2023</v>
      </c>
    </row>
    <row r="44" spans="3:20">
      <c r="C44" s="9" t="str">
        <f>C15</f>
        <v>Fiscal year end date</v>
      </c>
      <c r="D44" s="32"/>
      <c r="E44" s="32">
        <f t="shared" si="9"/>
        <v>43008</v>
      </c>
      <c r="F44" s="32">
        <f t="shared" si="9"/>
        <v>43372</v>
      </c>
      <c r="G44" s="32">
        <f t="shared" si="9"/>
        <v>43738</v>
      </c>
      <c r="H44" s="32">
        <f t="shared" si="9"/>
        <v>44104</v>
      </c>
      <c r="I44" s="32">
        <f t="shared" si="9"/>
        <v>44469</v>
      </c>
      <c r="J44" s="32">
        <f t="shared" si="9"/>
        <v>44834</v>
      </c>
      <c r="K44" s="32">
        <f t="shared" si="9"/>
        <v>45199</v>
      </c>
    </row>
    <row r="45" spans="3:20">
      <c r="C45" s="5" t="s">
        <v>138</v>
      </c>
      <c r="D45" s="36"/>
      <c r="E45" s="36">
        <f>20289+53892+194714</f>
        <v>268895</v>
      </c>
      <c r="F45" s="36">
        <f>25913+40388+170799</f>
        <v>237100</v>
      </c>
      <c r="G45" s="151">
        <f ca="1">G90+F45</f>
        <v>202199.73246575586</v>
      </c>
      <c r="H45" s="151">
        <f ca="1">H90+G45</f>
        <v>176523.72487352614</v>
      </c>
      <c r="I45" s="151">
        <f ca="1">I90+H45</f>
        <v>156076.92943323214</v>
      </c>
      <c r="J45" s="151">
        <f ca="1">J90+I45</f>
        <v>140273.77732642859</v>
      </c>
      <c r="K45" s="151">
        <f ca="1">K90+J45</f>
        <v>129472.4557012212</v>
      </c>
      <c r="M45" s="5" t="s">
        <v>118</v>
      </c>
    </row>
    <row r="46" spans="3:20">
      <c r="C46" s="5" t="s">
        <v>54</v>
      </c>
      <c r="D46" s="36"/>
      <c r="E46" s="36">
        <v>17874</v>
      </c>
      <c r="F46" s="36">
        <v>23186</v>
      </c>
      <c r="G46" s="151">
        <f>F46*(1+G36)</f>
        <v>22258.559999999998</v>
      </c>
      <c r="H46" s="151">
        <f>G46*(1+H36)</f>
        <v>23594.0736</v>
      </c>
      <c r="I46" s="151">
        <f>H46*(1+I36)</f>
        <v>25222.064678399998</v>
      </c>
      <c r="J46" s="151">
        <f>I46*(1+J36)</f>
        <v>26962.387141209598</v>
      </c>
      <c r="K46" s="151">
        <f>J46*(1+K36)</f>
        <v>28822.791853953058</v>
      </c>
      <c r="M46" s="5" t="s">
        <v>103</v>
      </c>
    </row>
    <row r="47" spans="3:20">
      <c r="C47" s="5" t="s">
        <v>55</v>
      </c>
      <c r="D47" s="36"/>
      <c r="E47" s="36">
        <v>4855</v>
      </c>
      <c r="F47" s="36">
        <v>3956</v>
      </c>
      <c r="G47" s="151">
        <f>F47*G18/F18</f>
        <v>3831.2507254598299</v>
      </c>
      <c r="H47" s="151">
        <f>G47*H18/G18</f>
        <v>4041.5383456643303</v>
      </c>
      <c r="I47" s="151">
        <f>H47*I18/H18</f>
        <v>4313.4248396710409</v>
      </c>
      <c r="J47" s="151">
        <f>I47*J18/I18</f>
        <v>4611.0511536083422</v>
      </c>
      <c r="K47" s="151">
        <f>J47*K18/J18</f>
        <v>4929.2136832073174</v>
      </c>
      <c r="M47" s="5" t="s">
        <v>104</v>
      </c>
    </row>
    <row r="48" spans="3:20">
      <c r="C48" s="6" t="s">
        <v>108</v>
      </c>
      <c r="D48" s="37"/>
      <c r="E48" s="37">
        <f>17799+13936</f>
        <v>31735</v>
      </c>
      <c r="F48" s="37">
        <f>25809+12087</f>
        <v>37896</v>
      </c>
      <c r="G48" s="151">
        <f>F48*(1+G36)</f>
        <v>36380.159999999996</v>
      </c>
      <c r="H48" s="151">
        <f>G48*(1+H36)</f>
        <v>38562.969599999997</v>
      </c>
      <c r="I48" s="151">
        <f>H48*(1+I36)</f>
        <v>41223.814502399997</v>
      </c>
      <c r="J48" s="151">
        <f>I48*(1+J36)</f>
        <v>44068.257703065596</v>
      </c>
      <c r="K48" s="151">
        <f>J48*(1+K36)</f>
        <v>47108.967484577122</v>
      </c>
      <c r="M48" s="5" t="s">
        <v>103</v>
      </c>
    </row>
    <row r="49" spans="3:13">
      <c r="C49" s="21" t="s">
        <v>21</v>
      </c>
      <c r="D49" s="37"/>
      <c r="E49" s="37">
        <v>33783</v>
      </c>
      <c r="F49" s="37">
        <v>41304</v>
      </c>
      <c r="G49" s="151">
        <f>G99</f>
        <v>45042.85982873883</v>
      </c>
      <c r="H49" s="151">
        <f>H99</f>
        <v>48611.181883872909</v>
      </c>
      <c r="I49" s="151">
        <f>I99</f>
        <v>51947.567835949827</v>
      </c>
      <c r="J49" s="151">
        <f>J99</f>
        <v>55218.714198720052</v>
      </c>
      <c r="K49" s="151">
        <f>K99</f>
        <v>58399.73337534142</v>
      </c>
      <c r="M49" s="5" t="s">
        <v>105</v>
      </c>
    </row>
    <row r="50" spans="3:13">
      <c r="C50" s="21" t="s">
        <v>56</v>
      </c>
      <c r="D50" s="37"/>
      <c r="E50" s="37">
        <v>18177</v>
      </c>
      <c r="F50" s="37">
        <v>22283</v>
      </c>
      <c r="G50" s="151">
        <f>F50*(1+G36)</f>
        <v>21391.68</v>
      </c>
      <c r="H50" s="151">
        <f>G50*(1+H36)</f>
        <v>22675.180800000002</v>
      </c>
      <c r="I50" s="151">
        <f>H50*(1+I36)</f>
        <v>24239.7682752</v>
      </c>
      <c r="J50" s="151">
        <f>I50*(1+J36)</f>
        <v>25912.3122861888</v>
      </c>
      <c r="K50" s="151">
        <f>J50*(1+K36)</f>
        <v>27700.261833935827</v>
      </c>
      <c r="M50" s="5" t="s">
        <v>103</v>
      </c>
    </row>
    <row r="51" spans="3:13">
      <c r="C51" s="39" t="s">
        <v>22</v>
      </c>
      <c r="D51" s="40"/>
      <c r="E51" s="40">
        <f t="shared" ref="E51:K51" si="10">SUM(E45:E50)</f>
        <v>375319</v>
      </c>
      <c r="F51" s="40">
        <f t="shared" si="10"/>
        <v>365725</v>
      </c>
      <c r="G51" s="147">
        <f t="shared" ca="1" si="10"/>
        <v>331104.24301995453</v>
      </c>
      <c r="H51" s="147">
        <f t="shared" ca="1" si="10"/>
        <v>314008.66910306341</v>
      </c>
      <c r="I51" s="147">
        <f t="shared" ca="1" si="10"/>
        <v>303023.56956485298</v>
      </c>
      <c r="J51" s="147">
        <f t="shared" ca="1" si="10"/>
        <v>297046.49980922102</v>
      </c>
      <c r="K51" s="147">
        <f t="shared" ca="1" si="10"/>
        <v>296433.42393223592</v>
      </c>
    </row>
    <row r="52" spans="3:13">
      <c r="C52" s="41"/>
      <c r="D52" s="42"/>
      <c r="E52" s="42"/>
      <c r="F52" s="42"/>
      <c r="G52" s="153"/>
      <c r="H52" s="153"/>
      <c r="I52" s="153"/>
      <c r="J52" s="153"/>
      <c r="K52" s="153"/>
    </row>
    <row r="53" spans="3:13">
      <c r="C53" s="41" t="s">
        <v>57</v>
      </c>
      <c r="D53" s="37"/>
      <c r="E53" s="37">
        <v>44242</v>
      </c>
      <c r="F53" s="37">
        <v>55888</v>
      </c>
      <c r="G53" s="151">
        <f>F53*G18/F18</f>
        <v>54125.616922269706</v>
      </c>
      <c r="H53" s="151">
        <f>G53*H18/G18</f>
        <v>57096.434545623881</v>
      </c>
      <c r="I53" s="151">
        <f>H53*I18/H18</f>
        <v>60937.484185928995</v>
      </c>
      <c r="J53" s="151">
        <f>I53*J18/I18</f>
        <v>65142.170594758099</v>
      </c>
      <c r="K53" s="151">
        <f>J53*K18/J18</f>
        <v>69636.980365796408</v>
      </c>
      <c r="M53" s="5" t="s">
        <v>104</v>
      </c>
    </row>
    <row r="54" spans="3:13">
      <c r="C54" s="41" t="s">
        <v>117</v>
      </c>
      <c r="D54" s="37"/>
      <c r="E54" s="37">
        <v>30551</v>
      </c>
      <c r="F54" s="37">
        <v>32687</v>
      </c>
      <c r="G54" s="151">
        <f>F54*(1+G36)</f>
        <v>31379.52</v>
      </c>
      <c r="H54" s="151">
        <f>G54*(1+H36)</f>
        <v>33262.2912</v>
      </c>
      <c r="I54" s="151">
        <f>H54*(1+I36)</f>
        <v>35557.389292799999</v>
      </c>
      <c r="J54" s="151">
        <f>I54*(1+J36)</f>
        <v>38010.849154003197</v>
      </c>
      <c r="K54" s="151">
        <f>J54*(1+K36)</f>
        <v>40633.597745629413</v>
      </c>
      <c r="M54" s="5" t="s">
        <v>103</v>
      </c>
    </row>
    <row r="55" spans="3:13">
      <c r="C55" s="41" t="s">
        <v>58</v>
      </c>
      <c r="D55" s="37"/>
      <c r="E55" s="37">
        <f>7548+2836</f>
        <v>10384</v>
      </c>
      <c r="F55" s="37">
        <f>7543+2797</f>
        <v>10340</v>
      </c>
      <c r="G55" s="151">
        <f>F55*(1+G36)</f>
        <v>9926.4</v>
      </c>
      <c r="H55" s="151">
        <f>G55*(1+H36)</f>
        <v>10521.984</v>
      </c>
      <c r="I55" s="151">
        <f>H55*(1+I36)</f>
        <v>11248.000896</v>
      </c>
      <c r="J55" s="151">
        <f>I55*(1+J36)</f>
        <v>12024.112957824</v>
      </c>
      <c r="K55" s="151">
        <f>J55*(1+K36)</f>
        <v>12853.776751913854</v>
      </c>
      <c r="M55" s="5" t="s">
        <v>103</v>
      </c>
    </row>
    <row r="56" spans="3:13">
      <c r="C56" s="41" t="s">
        <v>60</v>
      </c>
      <c r="D56" s="37"/>
      <c r="E56" s="37">
        <v>11977</v>
      </c>
      <c r="F56" s="37">
        <v>11964</v>
      </c>
      <c r="G56" s="157">
        <f ca="1">G135</f>
        <v>12000</v>
      </c>
      <c r="H56" s="157">
        <f ca="1">H135</f>
        <v>12000</v>
      </c>
      <c r="I56" s="157">
        <f ca="1">I135</f>
        <v>12000</v>
      </c>
      <c r="J56" s="157">
        <f ca="1">J135</f>
        <v>12000</v>
      </c>
      <c r="K56" s="157">
        <f ca="1">K135</f>
        <v>12000</v>
      </c>
      <c r="M56" s="5" t="s">
        <v>187</v>
      </c>
    </row>
    <row r="57" spans="3:13">
      <c r="C57" s="41" t="s">
        <v>122</v>
      </c>
      <c r="D57" s="37"/>
      <c r="E57" s="37">
        <f>6496+97207</f>
        <v>103703</v>
      </c>
      <c r="F57" s="37">
        <f>8784+93735</f>
        <v>102519</v>
      </c>
      <c r="G57" s="151">
        <f t="shared" ref="G57:K57" si="11">F57</f>
        <v>102519</v>
      </c>
      <c r="H57" s="151">
        <f t="shared" si="11"/>
        <v>102519</v>
      </c>
      <c r="I57" s="151">
        <f t="shared" si="11"/>
        <v>102519</v>
      </c>
      <c r="J57" s="151">
        <f t="shared" si="11"/>
        <v>102519</v>
      </c>
      <c r="K57" s="151">
        <f t="shared" si="11"/>
        <v>102519</v>
      </c>
      <c r="M57" s="5" t="s">
        <v>100</v>
      </c>
    </row>
    <row r="58" spans="3:13" ht="15.75" customHeight="1">
      <c r="C58" s="41" t="s">
        <v>59</v>
      </c>
      <c r="D58" s="37"/>
      <c r="E58" s="37">
        <v>40415</v>
      </c>
      <c r="F58" s="37">
        <v>45180</v>
      </c>
      <c r="G58" s="151">
        <f>F58*(1+G36)</f>
        <v>43372.799999999996</v>
      </c>
      <c r="H58" s="151">
        <f t="shared" ref="H58:K58" si="12">G58*(1+H36)</f>
        <v>45975.167999999998</v>
      </c>
      <c r="I58" s="151">
        <f t="shared" si="12"/>
        <v>49147.454591999995</v>
      </c>
      <c r="J58" s="151">
        <f t="shared" si="12"/>
        <v>52538.628958847992</v>
      </c>
      <c r="K58" s="151">
        <f t="shared" si="12"/>
        <v>56163.794357008504</v>
      </c>
      <c r="L58" s="6"/>
      <c r="M58" t="s">
        <v>103</v>
      </c>
    </row>
    <row r="59" spans="3:13">
      <c r="C59" s="39" t="s">
        <v>24</v>
      </c>
      <c r="D59" s="43"/>
      <c r="E59" s="43">
        <f t="shared" ref="E59:K59" si="13">SUM(E53:E58)</f>
        <v>241272</v>
      </c>
      <c r="F59" s="43">
        <f t="shared" si="13"/>
        <v>258578</v>
      </c>
      <c r="G59" s="147">
        <f t="shared" ca="1" si="13"/>
        <v>253323.33692226969</v>
      </c>
      <c r="H59" s="147">
        <f t="shared" ca="1" si="13"/>
        <v>261374.87774562387</v>
      </c>
      <c r="I59" s="147">
        <f t="shared" ca="1" si="13"/>
        <v>271409.32896672899</v>
      </c>
      <c r="J59" s="147">
        <f t="shared" ca="1" si="13"/>
        <v>282234.7616654333</v>
      </c>
      <c r="K59" s="147">
        <f t="shared" ca="1" si="13"/>
        <v>293807.14922034822</v>
      </c>
    </row>
    <row r="60" spans="3:13">
      <c r="C60" s="39"/>
      <c r="D60" s="43"/>
      <c r="E60" s="43"/>
      <c r="F60" s="43"/>
      <c r="G60" s="34"/>
      <c r="H60" s="34"/>
      <c r="I60" s="34"/>
      <c r="J60" s="34"/>
      <c r="K60" s="34"/>
    </row>
    <row r="61" spans="3:13">
      <c r="C61" s="41" t="s">
        <v>61</v>
      </c>
      <c r="D61" s="37"/>
      <c r="E61" s="37">
        <v>35867</v>
      </c>
      <c r="F61" s="3">
        <v>40201</v>
      </c>
      <c r="G61" s="151">
        <f>F61+G32</f>
        <v>45327.4</v>
      </c>
      <c r="H61" s="151">
        <f>G61+H32</f>
        <v>50761.383999999998</v>
      </c>
      <c r="I61" s="151">
        <f>H61+I32</f>
        <v>56570.312895999996</v>
      </c>
      <c r="J61" s="151">
        <f>I61+J32</f>
        <v>62780.057885823997</v>
      </c>
      <c r="K61" s="151">
        <f>J61+K32</f>
        <v>69418.275279945854</v>
      </c>
      <c r="M61" s="5" t="s">
        <v>155</v>
      </c>
    </row>
    <row r="62" spans="3:13" ht="15.75" customHeight="1">
      <c r="C62" s="41" t="s">
        <v>44</v>
      </c>
      <c r="D62" s="38"/>
      <c r="E62" s="38">
        <f>98330</f>
        <v>98330</v>
      </c>
      <c r="F62" s="3">
        <v>70400</v>
      </c>
      <c r="G62" s="151">
        <f ca="1">G119</f>
        <v>35907.506097684833</v>
      </c>
      <c r="H62" s="151">
        <f ca="1">H119</f>
        <v>5326.4073574395152</v>
      </c>
      <c r="I62" s="151">
        <f ca="1">I119</f>
        <v>-21502.07229787598</v>
      </c>
      <c r="J62" s="151">
        <f ca="1">J119</f>
        <v>-44514.319742036285</v>
      </c>
      <c r="K62" s="151">
        <f ca="1">K119</f>
        <v>-63338.000568058094</v>
      </c>
      <c r="M62" s="5" t="s">
        <v>107</v>
      </c>
    </row>
    <row r="63" spans="3:13" ht="15.75" customHeight="1">
      <c r="C63" s="41" t="s">
        <v>121</v>
      </c>
      <c r="D63" s="37"/>
      <c r="E63" s="37">
        <v>-150</v>
      </c>
      <c r="F63" s="3">
        <v>-3454</v>
      </c>
      <c r="G63" s="151">
        <f>F63</f>
        <v>-3454</v>
      </c>
      <c r="H63" s="151">
        <f>G63</f>
        <v>-3454</v>
      </c>
      <c r="I63" s="151">
        <f>H63</f>
        <v>-3454</v>
      </c>
      <c r="J63" s="151">
        <f>I63</f>
        <v>-3454</v>
      </c>
      <c r="K63" s="151">
        <f>J63</f>
        <v>-3454</v>
      </c>
      <c r="M63" s="5" t="s">
        <v>100</v>
      </c>
    </row>
    <row r="64" spans="3:13">
      <c r="C64" s="39" t="s">
        <v>25</v>
      </c>
      <c r="D64" s="44"/>
      <c r="E64" s="44">
        <f t="shared" ref="E64:K64" si="14">SUM(E61:E63)</f>
        <v>134047</v>
      </c>
      <c r="F64" s="44">
        <f t="shared" si="14"/>
        <v>107147</v>
      </c>
      <c r="G64" s="147">
        <f t="shared" ca="1" si="14"/>
        <v>77780.906097684841</v>
      </c>
      <c r="H64" s="147">
        <f t="shared" ca="1" si="14"/>
        <v>52633.791357439513</v>
      </c>
      <c r="I64" s="147">
        <f t="shared" ca="1" si="14"/>
        <v>31614.240598124015</v>
      </c>
      <c r="J64" s="147">
        <f t="shared" ca="1" si="14"/>
        <v>14811.738143787712</v>
      </c>
      <c r="K64" s="147">
        <f t="shared" ca="1" si="14"/>
        <v>2626.2747118877596</v>
      </c>
    </row>
    <row r="65" spans="3:13">
      <c r="C65" s="6"/>
      <c r="D65" s="45"/>
      <c r="E65" s="45"/>
      <c r="F65" s="45"/>
    </row>
    <row r="66" spans="3:13">
      <c r="C66" s="14" t="s">
        <v>26</v>
      </c>
      <c r="D66" s="46"/>
      <c r="E66" s="46">
        <f>ROUND(E51-E59-E64,3)</f>
        <v>0</v>
      </c>
      <c r="F66" s="46">
        <f t="shared" ref="F66:K66" si="15">ROUND(F51-F59-F64,3)</f>
        <v>0</v>
      </c>
      <c r="G66" s="46">
        <f t="shared" ca="1" si="15"/>
        <v>0</v>
      </c>
      <c r="H66" s="46">
        <f t="shared" ca="1" si="15"/>
        <v>0</v>
      </c>
      <c r="I66" s="46">
        <f t="shared" ca="1" si="15"/>
        <v>0</v>
      </c>
      <c r="J66" s="46">
        <f t="shared" ca="1" si="15"/>
        <v>0</v>
      </c>
      <c r="K66" s="46">
        <f t="shared" ca="1" si="15"/>
        <v>0</v>
      </c>
    </row>
    <row r="67" spans="3:13">
      <c r="E67" s="34"/>
      <c r="F67" s="34"/>
      <c r="H67" s="34"/>
      <c r="I67" s="34"/>
      <c r="J67" s="34"/>
      <c r="K67" s="34"/>
    </row>
    <row r="68" spans="3:13">
      <c r="C68" s="7" t="s">
        <v>32</v>
      </c>
      <c r="D68" s="13"/>
      <c r="E68" s="13"/>
      <c r="F68" s="13"/>
      <c r="G68" s="13"/>
      <c r="H68" s="13"/>
      <c r="I68" s="13"/>
      <c r="J68" s="13"/>
      <c r="K68" s="13"/>
    </row>
    <row r="69" spans="3:13">
      <c r="C69" s="35" t="str">
        <f>C14</f>
        <v xml:space="preserve">Fiscal year  </v>
      </c>
      <c r="D69" s="30"/>
      <c r="E69" s="30"/>
      <c r="F69" s="30"/>
      <c r="G69" s="31">
        <f t="shared" ref="G69:K70" si="16">G14</f>
        <v>2019</v>
      </c>
      <c r="H69" s="31">
        <f t="shared" si="16"/>
        <v>2020</v>
      </c>
      <c r="I69" s="31">
        <f t="shared" si="16"/>
        <v>2021</v>
      </c>
      <c r="J69" s="31">
        <f t="shared" si="16"/>
        <v>2022</v>
      </c>
      <c r="K69" s="31">
        <f t="shared" si="16"/>
        <v>2023</v>
      </c>
    </row>
    <row r="70" spans="3:13">
      <c r="C70" s="9" t="str">
        <f>C15</f>
        <v>Fiscal year end date</v>
      </c>
      <c r="D70" s="32"/>
      <c r="E70" s="32"/>
      <c r="F70" s="32"/>
      <c r="G70" s="32">
        <f t="shared" si="16"/>
        <v>43738</v>
      </c>
      <c r="H70" s="32">
        <f t="shared" si="16"/>
        <v>44104</v>
      </c>
      <c r="I70" s="32">
        <f t="shared" si="16"/>
        <v>44469</v>
      </c>
      <c r="J70" s="32">
        <f t="shared" si="16"/>
        <v>44834</v>
      </c>
      <c r="K70" s="32">
        <f t="shared" si="16"/>
        <v>45199</v>
      </c>
    </row>
    <row r="72" spans="3:13">
      <c r="C72" s="6" t="s">
        <v>2</v>
      </c>
      <c r="D72" s="50"/>
      <c r="E72" s="50"/>
      <c r="F72" s="50"/>
      <c r="G72" s="151">
        <f ca="1">G28</f>
        <v>52298.506097684833</v>
      </c>
      <c r="H72" s="151">
        <f ca="1">H28</f>
        <v>56209.901259754675</v>
      </c>
      <c r="I72" s="151">
        <f ca="1">I28</f>
        <v>59962.520344684504</v>
      </c>
      <c r="J72" s="151">
        <f ca="1">J28</f>
        <v>63778.752555839696</v>
      </c>
      <c r="K72" s="151">
        <f ca="1">K28</f>
        <v>67967.319173978191</v>
      </c>
      <c r="M72" s="24"/>
    </row>
    <row r="73" spans="3:13">
      <c r="C73" s="6" t="s">
        <v>33</v>
      </c>
      <c r="D73" s="50"/>
      <c r="E73" s="50"/>
      <c r="F73" s="50"/>
      <c r="G73" s="151">
        <f>G30</f>
        <v>11085.020171261172</v>
      </c>
      <c r="H73" s="151">
        <f>H30</f>
        <v>11711.890744865921</v>
      </c>
      <c r="I73" s="151">
        <f>I30</f>
        <v>12226.380531123083</v>
      </c>
      <c r="J73" s="151">
        <f>J30</f>
        <v>13365.451007770575</v>
      </c>
      <c r="K73" s="151">
        <f>K30</f>
        <v>14603.503412486743</v>
      </c>
      <c r="M73" s="5" t="s">
        <v>170</v>
      </c>
    </row>
    <row r="74" spans="3:13">
      <c r="C74" s="6" t="s">
        <v>74</v>
      </c>
      <c r="D74" s="50"/>
      <c r="E74" s="50"/>
      <c r="F74" s="50"/>
      <c r="G74" s="151">
        <f>G32</f>
        <v>5126.3999999999996</v>
      </c>
      <c r="H74" s="151">
        <f>H32</f>
        <v>5433.9839999999995</v>
      </c>
      <c r="I74" s="151">
        <f>I32</f>
        <v>5808.9288959999994</v>
      </c>
      <c r="J74" s="151">
        <f>J32</f>
        <v>6209.7449898239993</v>
      </c>
      <c r="K74" s="151">
        <f>K32</f>
        <v>6638.2173941218552</v>
      </c>
    </row>
    <row r="75" spans="3:13">
      <c r="C75" s="6" t="s">
        <v>65</v>
      </c>
      <c r="D75" s="22"/>
      <c r="E75" s="22"/>
      <c r="F75" s="22"/>
      <c r="G75" s="151">
        <f>-1*(SUM(G46:G48)-SUM(F46:F48))</f>
        <v>2568.0292745401748</v>
      </c>
      <c r="H75" s="151">
        <f>-1*(SUM(H46:H48)-SUM(G46:G48))</f>
        <v>-3728.6108202044925</v>
      </c>
      <c r="I75" s="151">
        <f>-1*(SUM(I46:I48)-SUM(H46:H48))</f>
        <v>-4560.7224748067092</v>
      </c>
      <c r="J75" s="151">
        <f>-1*(SUM(J46:J48)-SUM(I46:I48))</f>
        <v>-4882.3919774125097</v>
      </c>
      <c r="K75" s="151">
        <f>-1*(SUM(K46:K48)-SUM(J46:J48))</f>
        <v>-5219.277023853967</v>
      </c>
    </row>
    <row r="76" spans="3:13">
      <c r="C76" s="6" t="s">
        <v>66</v>
      </c>
      <c r="D76" s="22"/>
      <c r="E76" s="22"/>
      <c r="F76" s="22"/>
      <c r="G76" s="151">
        <f>SUM(G53:G55)-SUM(F53:F55)</f>
        <v>-3483.4630777302955</v>
      </c>
      <c r="H76" s="151">
        <f>SUM(H53:H55)-SUM(G53:G55)</f>
        <v>5449.1728233541653</v>
      </c>
      <c r="I76" s="151">
        <f>SUM(I53:I55)-SUM(H53:H55)</f>
        <v>6862.1646291051147</v>
      </c>
      <c r="J76" s="151">
        <f>SUM(J53:J55)-SUM(I53:I55)</f>
        <v>7434.2583318562974</v>
      </c>
      <c r="K76" s="151">
        <f>SUM(K53:K55)-SUM(J53:J55)</f>
        <v>7947.2221567544038</v>
      </c>
    </row>
    <row r="77" spans="3:13">
      <c r="C77" s="21" t="s">
        <v>56</v>
      </c>
      <c r="E77" s="6"/>
      <c r="F77" s="6"/>
      <c r="G77" s="151">
        <f>-(G111)</f>
        <v>-647.56000000000131</v>
      </c>
      <c r="H77" s="151">
        <f>-(H111)</f>
        <v>-2914.7136000000028</v>
      </c>
      <c r="I77" s="151">
        <f>-(I111)</f>
        <v>-3308.3539583999991</v>
      </c>
      <c r="J77" s="151">
        <f>-(J111)</f>
        <v>-3536.6303815296014</v>
      </c>
      <c r="K77" s="151">
        <f>-(K111)</f>
        <v>-3780.6578778551411</v>
      </c>
      <c r="L77" s="6"/>
      <c r="M77" s="5" t="s">
        <v>171</v>
      </c>
    </row>
    <row r="78" spans="3:13">
      <c r="C78" s="21" t="s">
        <v>59</v>
      </c>
      <c r="E78" s="6"/>
      <c r="F78" s="6"/>
      <c r="G78" s="151">
        <f>G58-F58</f>
        <v>-1807.2000000000044</v>
      </c>
      <c r="H78" s="151">
        <f>H58-G58</f>
        <v>2602.3680000000022</v>
      </c>
      <c r="I78" s="151">
        <f>I58-H58</f>
        <v>3172.2865919999967</v>
      </c>
      <c r="J78" s="151">
        <f>J58-I58</f>
        <v>3391.1743668479976</v>
      </c>
      <c r="K78" s="151">
        <f>K58-J58</f>
        <v>3625.1653981605123</v>
      </c>
      <c r="L78" s="6"/>
      <c r="M78" s="24"/>
    </row>
    <row r="79" spans="3:13">
      <c r="C79" s="19" t="s">
        <v>34</v>
      </c>
      <c r="G79" s="147">
        <f ca="1">SUM(G72:G78)</f>
        <v>65139.732465755871</v>
      </c>
      <c r="H79" s="147">
        <f ca="1">SUM(H72:H78)</f>
        <v>74763.992407770274</v>
      </c>
      <c r="I79" s="147">
        <f ca="1">SUM(I72:I78)</f>
        <v>80163.204559706006</v>
      </c>
      <c r="J79" s="147">
        <f ca="1">SUM(J72:J78)</f>
        <v>85760.358893196448</v>
      </c>
      <c r="K79" s="147">
        <f ca="1">SUM(K72:K78)</f>
        <v>91781.492633792601</v>
      </c>
    </row>
    <row r="80" spans="3:13">
      <c r="C80" s="6"/>
      <c r="G80" s="34"/>
      <c r="H80" s="34"/>
      <c r="I80" s="34"/>
      <c r="J80" s="34"/>
      <c r="K80" s="34"/>
    </row>
    <row r="81" spans="3:13">
      <c r="C81" s="6" t="s">
        <v>35</v>
      </c>
      <c r="G81" s="151">
        <f>-(G97)</f>
        <v>-13285</v>
      </c>
      <c r="H81" s="151">
        <f>-(H97)</f>
        <v>-13649</v>
      </c>
      <c r="I81" s="151">
        <f>-(I97)</f>
        <v>-13819</v>
      </c>
      <c r="J81" s="151">
        <f>-(J97)</f>
        <v>-14772.510999999999</v>
      </c>
      <c r="K81" s="151">
        <f>-(K97)</f>
        <v>-15791.814258999997</v>
      </c>
      <c r="M81" s="5" t="s">
        <v>105</v>
      </c>
    </row>
    <row r="82" spans="3:13">
      <c r="C82" s="19" t="s">
        <v>36</v>
      </c>
      <c r="G82" s="147">
        <f>IFERROR(G81,"NA")</f>
        <v>-13285</v>
      </c>
      <c r="H82" s="147">
        <f>IFERROR(H81,"NA")</f>
        <v>-13649</v>
      </c>
      <c r="I82" s="147">
        <f>IFERROR(I81,"NA")</f>
        <v>-13819</v>
      </c>
      <c r="J82" s="147">
        <f>IFERROR(J81,"NA")</f>
        <v>-14772.510999999999</v>
      </c>
      <c r="K82" s="147">
        <f>IFERROR(K81,"NA")</f>
        <v>-15791.814258999997</v>
      </c>
    </row>
    <row r="83" spans="3:13">
      <c r="C83" s="6"/>
      <c r="G83" s="153"/>
      <c r="H83" s="153"/>
      <c r="I83" s="153"/>
      <c r="J83" s="153"/>
      <c r="K83" s="153"/>
    </row>
    <row r="84" spans="3:13">
      <c r="C84" s="6" t="s">
        <v>67</v>
      </c>
      <c r="G84" s="151">
        <f>G57-F57</f>
        <v>0</v>
      </c>
      <c r="H84" s="151">
        <f>H57-G57</f>
        <v>0</v>
      </c>
      <c r="I84" s="151">
        <f>I57-H57</f>
        <v>0</v>
      </c>
      <c r="J84" s="151">
        <f>J57-I57</f>
        <v>0</v>
      </c>
      <c r="K84" s="151">
        <f>K57-J57</f>
        <v>0</v>
      </c>
    </row>
    <row r="85" spans="3:13">
      <c r="C85" s="6" t="s">
        <v>23</v>
      </c>
      <c r="G85" s="157">
        <f ca="1">G56-F56</f>
        <v>36</v>
      </c>
      <c r="H85" s="157">
        <f ca="1">H56-G56</f>
        <v>0</v>
      </c>
      <c r="I85" s="157">
        <f ca="1">I56-H56</f>
        <v>0</v>
      </c>
      <c r="J85" s="157">
        <f ca="1">J56-I56</f>
        <v>0</v>
      </c>
      <c r="K85" s="157">
        <f ca="1">K56-J56</f>
        <v>0</v>
      </c>
      <c r="M85" s="5" t="s">
        <v>183</v>
      </c>
    </row>
    <row r="86" spans="3:13">
      <c r="C86" s="21" t="s">
        <v>70</v>
      </c>
      <c r="G86" s="151">
        <f>G118</f>
        <v>-73056</v>
      </c>
      <c r="H86" s="151">
        <f>H118</f>
        <v>-73056</v>
      </c>
      <c r="I86" s="151">
        <f>I118</f>
        <v>-73056</v>
      </c>
      <c r="J86" s="151">
        <f>J118</f>
        <v>-73056</v>
      </c>
      <c r="K86" s="151">
        <f>K118</f>
        <v>-73056</v>
      </c>
      <c r="M86" s="5" t="s">
        <v>107</v>
      </c>
    </row>
    <row r="87" spans="3:13">
      <c r="C87" s="21" t="s">
        <v>71</v>
      </c>
      <c r="G87" s="151">
        <f>G117</f>
        <v>-13735</v>
      </c>
      <c r="H87" s="151">
        <f>H117</f>
        <v>-13735</v>
      </c>
      <c r="I87" s="151">
        <f>I117</f>
        <v>-13735</v>
      </c>
      <c r="J87" s="151">
        <f>J117</f>
        <v>-13735</v>
      </c>
      <c r="K87" s="151">
        <f>K117</f>
        <v>-13735</v>
      </c>
      <c r="M87" s="5" t="s">
        <v>107</v>
      </c>
    </row>
    <row r="88" spans="3:13">
      <c r="C88" s="19" t="s">
        <v>37</v>
      </c>
      <c r="G88" s="147">
        <f ca="1">SUM(G84:G87)</f>
        <v>-86755</v>
      </c>
      <c r="H88" s="147">
        <f ca="1">SUM(H84:H87)</f>
        <v>-86791</v>
      </c>
      <c r="I88" s="147">
        <f ca="1">SUM(I84:I87)</f>
        <v>-86791</v>
      </c>
      <c r="J88" s="147">
        <f ca="1">SUM(J84:J87)</f>
        <v>-86791</v>
      </c>
      <c r="K88" s="147">
        <f ca="1">SUM(K84:K87)</f>
        <v>-86791</v>
      </c>
    </row>
    <row r="89" spans="3:13">
      <c r="G89" s="153"/>
      <c r="H89" s="153"/>
      <c r="I89" s="153"/>
      <c r="J89" s="153"/>
      <c r="K89" s="153"/>
    </row>
    <row r="90" spans="3:13">
      <c r="C90" s="24" t="s">
        <v>38</v>
      </c>
      <c r="G90" s="147">
        <f ca="1">G79+G82+G88</f>
        <v>-34900.267534244129</v>
      </c>
      <c r="H90" s="147">
        <f ca="1">H79+H82+H88</f>
        <v>-25676.007592229726</v>
      </c>
      <c r="I90" s="147">
        <f ca="1">I79+I82+I88</f>
        <v>-20446.795440293994</v>
      </c>
      <c r="J90" s="147">
        <f ca="1">J79+J82+J88</f>
        <v>-15803.152106803551</v>
      </c>
      <c r="K90" s="147">
        <f ca="1">K79+K82+K88</f>
        <v>-10801.321625207391</v>
      </c>
    </row>
    <row r="92" spans="3:13">
      <c r="C92" s="7" t="s">
        <v>29</v>
      </c>
      <c r="D92" s="9"/>
      <c r="E92" s="9"/>
      <c r="F92" s="9"/>
      <c r="G92" s="9"/>
      <c r="H92" s="9"/>
      <c r="I92" s="9"/>
      <c r="J92" s="9"/>
      <c r="K92" s="9"/>
    </row>
    <row r="93" spans="3:13">
      <c r="C93" s="35" t="str">
        <f t="shared" ref="C93:K93" si="17">C14</f>
        <v xml:space="preserve">Fiscal year  </v>
      </c>
      <c r="D93" s="30">
        <f t="shared" si="17"/>
        <v>2016</v>
      </c>
      <c r="E93" s="30">
        <f t="shared" si="17"/>
        <v>2017</v>
      </c>
      <c r="F93" s="30">
        <f t="shared" si="17"/>
        <v>2018</v>
      </c>
      <c r="G93" s="31">
        <f t="shared" si="17"/>
        <v>2019</v>
      </c>
      <c r="H93" s="31">
        <f t="shared" si="17"/>
        <v>2020</v>
      </c>
      <c r="I93" s="31">
        <f t="shared" si="17"/>
        <v>2021</v>
      </c>
      <c r="J93" s="31">
        <f t="shared" si="17"/>
        <v>2022</v>
      </c>
      <c r="K93" s="31">
        <f t="shared" si="17"/>
        <v>2023</v>
      </c>
    </row>
    <row r="94" spans="3:13">
      <c r="C94" s="9" t="str">
        <f t="shared" ref="C94:K94" si="18">C15</f>
        <v>Fiscal year end date</v>
      </c>
      <c r="D94" s="32">
        <f t="shared" si="18"/>
        <v>42643</v>
      </c>
      <c r="E94" s="32">
        <f t="shared" si="18"/>
        <v>43008</v>
      </c>
      <c r="F94" s="32">
        <f t="shared" si="18"/>
        <v>43372</v>
      </c>
      <c r="G94" s="32">
        <f t="shared" si="18"/>
        <v>43738</v>
      </c>
      <c r="H94" s="32">
        <f t="shared" si="18"/>
        <v>44104</v>
      </c>
      <c r="I94" s="32">
        <f t="shared" si="18"/>
        <v>44469</v>
      </c>
      <c r="J94" s="32">
        <f t="shared" si="18"/>
        <v>44834</v>
      </c>
      <c r="K94" s="32">
        <f t="shared" si="18"/>
        <v>45199</v>
      </c>
    </row>
    <row r="95" spans="3:13">
      <c r="C95" s="19"/>
      <c r="G95" s="110" t="s">
        <v>116</v>
      </c>
      <c r="H95" s="110"/>
      <c r="I95" s="110"/>
      <c r="J95" s="110"/>
      <c r="K95" s="110"/>
    </row>
    <row r="96" spans="3:13">
      <c r="C96" s="41" t="s">
        <v>27</v>
      </c>
      <c r="F96" s="6"/>
      <c r="G96" s="143">
        <f>F99</f>
        <v>41304</v>
      </c>
      <c r="H96" s="143">
        <f>G99</f>
        <v>45042.85982873883</v>
      </c>
      <c r="I96" s="143">
        <f>H99</f>
        <v>48611.181883872909</v>
      </c>
      <c r="J96" s="143">
        <f>I99</f>
        <v>51947.567835949827</v>
      </c>
      <c r="K96" s="143">
        <f>J99</f>
        <v>55218.714198720052</v>
      </c>
      <c r="L96" s="6"/>
      <c r="M96" s="5" t="s">
        <v>167</v>
      </c>
    </row>
    <row r="97" spans="3:17">
      <c r="C97" s="47" t="s">
        <v>30</v>
      </c>
      <c r="D97" s="3">
        <v>12734</v>
      </c>
      <c r="E97" s="3">
        <v>12451</v>
      </c>
      <c r="F97" s="71">
        <v>13313</v>
      </c>
      <c r="G97" s="71">
        <v>13285</v>
      </c>
      <c r="H97" s="71">
        <v>13649</v>
      </c>
      <c r="I97" s="71">
        <v>13819</v>
      </c>
      <c r="J97" s="71">
        <f>I97*(1+J36)</f>
        <v>14772.510999999999</v>
      </c>
      <c r="K97" s="71">
        <f t="shared" ref="K97" si="19">J97*(1+K36)</f>
        <v>15791.814258999997</v>
      </c>
      <c r="L97" s="6"/>
      <c r="M97" s="5" t="s">
        <v>154</v>
      </c>
    </row>
    <row r="98" spans="3:17">
      <c r="C98" s="103" t="s">
        <v>31</v>
      </c>
      <c r="D98" s="95">
        <v>-8300</v>
      </c>
      <c r="E98" s="95">
        <v>-8200</v>
      </c>
      <c r="F98" s="95">
        <v>-9300</v>
      </c>
      <c r="G98" s="148">
        <f>-(G101*G97)</f>
        <v>-9546.1401712611732</v>
      </c>
      <c r="H98" s="148">
        <f>-(H101*H97)</f>
        <v>-10080.677944865922</v>
      </c>
      <c r="I98" s="148">
        <f>-(I101*I97)</f>
        <v>-10482.614047923083</v>
      </c>
      <c r="J98" s="148">
        <f>-(J101*J97)</f>
        <v>-11501.364637229775</v>
      </c>
      <c r="K98" s="148">
        <f>-(K101*K97)</f>
        <v>-12610.795082378629</v>
      </c>
      <c r="L98" s="6"/>
      <c r="M98" s="5" t="s">
        <v>166</v>
      </c>
    </row>
    <row r="99" spans="3:17">
      <c r="C99" s="54" t="s">
        <v>28</v>
      </c>
      <c r="D99" s="51"/>
      <c r="E99" s="51">
        <f>E49</f>
        <v>33783</v>
      </c>
      <c r="F99" s="51">
        <f>F49</f>
        <v>41304</v>
      </c>
      <c r="G99" s="146">
        <f>SUM(G96:G98)</f>
        <v>45042.85982873883</v>
      </c>
      <c r="H99" s="146">
        <f>SUM(H96:H98)</f>
        <v>48611.181883872909</v>
      </c>
      <c r="I99" s="146">
        <f>SUM(I96:I98)</f>
        <v>51947.567835949827</v>
      </c>
      <c r="J99" s="146">
        <f>SUM(J96:J98)</f>
        <v>55218.714198720052</v>
      </c>
      <c r="K99" s="146">
        <f>SUM(K96:K98)</f>
        <v>58399.73337534142</v>
      </c>
      <c r="L99" s="6"/>
      <c r="M99" s="5" t="s">
        <v>165</v>
      </c>
    </row>
    <row r="100" spans="3:17">
      <c r="C100" s="41"/>
      <c r="F100" s="6"/>
      <c r="G100" s="6"/>
      <c r="H100" s="6"/>
      <c r="I100" s="6"/>
      <c r="J100" s="6"/>
      <c r="K100" s="6"/>
      <c r="L100" s="6"/>
      <c r="M100" s="25" t="s">
        <v>48</v>
      </c>
    </row>
    <row r="101" spans="3:17">
      <c r="C101" s="41" t="s">
        <v>123</v>
      </c>
      <c r="D101" s="4">
        <f>-(D98/D97)</f>
        <v>0.65179833516569818</v>
      </c>
      <c r="E101" s="4">
        <f>-(E98/E97)</f>
        <v>0.6585816400289134</v>
      </c>
      <c r="F101" s="80">
        <f>-(F98/F97)</f>
        <v>0.69856531210095396</v>
      </c>
      <c r="G101" s="134">
        <f>F101+$M$101</f>
        <v>0.71856531210095398</v>
      </c>
      <c r="H101" s="134">
        <f>G101+$M$101</f>
        <v>0.738565312100954</v>
      </c>
      <c r="I101" s="134">
        <f>H101+$M$101</f>
        <v>0.75856531210095401</v>
      </c>
      <c r="J101" s="134">
        <f>I101+$M$101</f>
        <v>0.77856531210095403</v>
      </c>
      <c r="K101" s="134">
        <f>J101+$M$101</f>
        <v>0.79856531210095405</v>
      </c>
      <c r="L101" s="6"/>
      <c r="M101" s="88">
        <v>0.02</v>
      </c>
      <c r="O101" s="98"/>
      <c r="P101" s="98"/>
      <c r="Q101" s="98"/>
    </row>
    <row r="102" spans="3:17">
      <c r="C102" s="41"/>
      <c r="D102" s="4"/>
      <c r="E102" s="4"/>
      <c r="F102" s="80"/>
      <c r="G102" s="27"/>
      <c r="H102" s="27"/>
      <c r="I102" s="27"/>
      <c r="J102" s="27"/>
      <c r="K102" s="27"/>
      <c r="L102" s="6"/>
      <c r="O102" s="98"/>
      <c r="P102" s="98"/>
      <c r="Q102" s="98"/>
    </row>
    <row r="103" spans="3:17">
      <c r="C103" s="128" t="s">
        <v>130</v>
      </c>
      <c r="D103" s="48"/>
      <c r="E103" s="48"/>
      <c r="F103" s="48"/>
      <c r="G103" s="129"/>
      <c r="H103" s="129"/>
      <c r="I103" s="129"/>
      <c r="J103" s="129"/>
      <c r="K103" s="129"/>
      <c r="L103" s="6"/>
      <c r="O103" s="98"/>
      <c r="P103" s="98"/>
      <c r="Q103" s="98"/>
    </row>
    <row r="104" spans="3:17">
      <c r="C104" s="41" t="s">
        <v>156</v>
      </c>
      <c r="D104" s="22">
        <f>D106+D98</f>
        <v>2205</v>
      </c>
      <c r="E104" s="22">
        <f>E106+E98</f>
        <v>1957</v>
      </c>
      <c r="F104" s="22">
        <f>F106+F98</f>
        <v>1603</v>
      </c>
      <c r="G104" s="141">
        <f>G105*G17</f>
        <v>1538.8799999999999</v>
      </c>
      <c r="H104" s="141">
        <f>H105*H17</f>
        <v>1631.2128</v>
      </c>
      <c r="I104" s="141">
        <f>I105*I17</f>
        <v>1743.7664832</v>
      </c>
      <c r="J104" s="141">
        <f>J105*J17</f>
        <v>1864.0863705407999</v>
      </c>
      <c r="K104" s="141">
        <f>K105*K17</f>
        <v>1992.708330108115</v>
      </c>
      <c r="L104" s="6"/>
      <c r="M104" s="5" t="s">
        <v>238</v>
      </c>
      <c r="O104" s="98"/>
      <c r="P104" s="98"/>
      <c r="Q104" s="98"/>
    </row>
    <row r="105" spans="3:17">
      <c r="C105" s="26" t="s">
        <v>157</v>
      </c>
      <c r="D105" s="93">
        <f>D104/D17</f>
        <v>1.0225423044996499E-2</v>
      </c>
      <c r="E105" s="93">
        <f>E104/E17</f>
        <v>8.537128000209393E-3</v>
      </c>
      <c r="F105" s="100">
        <f>F104/F17</f>
        <v>6.0355051864681188E-3</v>
      </c>
      <c r="G105" s="134">
        <f>F105</f>
        <v>6.0355051864681188E-3</v>
      </c>
      <c r="H105" s="134">
        <f>G105</f>
        <v>6.0355051864681188E-3</v>
      </c>
      <c r="I105" s="134">
        <f>H105</f>
        <v>6.0355051864681188E-3</v>
      </c>
      <c r="J105" s="134">
        <f>I105</f>
        <v>6.0355051864681188E-3</v>
      </c>
      <c r="K105" s="134">
        <f>J105</f>
        <v>6.0355051864681188E-3</v>
      </c>
      <c r="L105" s="6"/>
      <c r="M105" s="5" t="s">
        <v>158</v>
      </c>
    </row>
    <row r="106" spans="3:17">
      <c r="C106" s="39" t="s">
        <v>110</v>
      </c>
      <c r="D106" s="51">
        <f>D30</f>
        <v>10505</v>
      </c>
      <c r="E106" s="51">
        <f>E30</f>
        <v>10157</v>
      </c>
      <c r="F106" s="51">
        <f>F30</f>
        <v>10903</v>
      </c>
      <c r="G106" s="142">
        <f>-G98+G104</f>
        <v>11085.020171261172</v>
      </c>
      <c r="H106" s="142">
        <f>-H98+H104</f>
        <v>11711.890744865921</v>
      </c>
      <c r="I106" s="142">
        <f>-I98+I104</f>
        <v>12226.380531123083</v>
      </c>
      <c r="J106" s="142">
        <f>-J98+J104</f>
        <v>13365.451007770575</v>
      </c>
      <c r="K106" s="142">
        <f>-K98+K104</f>
        <v>14603.503412486743</v>
      </c>
      <c r="M106" s="5" t="s">
        <v>160</v>
      </c>
    </row>
    <row r="107" spans="3:17">
      <c r="C107" s="41"/>
      <c r="D107" s="22"/>
      <c r="E107" s="22"/>
      <c r="F107" s="22"/>
      <c r="G107" s="6"/>
      <c r="H107" s="22"/>
      <c r="I107" s="22"/>
      <c r="J107" s="22"/>
      <c r="K107" s="22"/>
    </row>
    <row r="108" spans="3:17">
      <c r="C108" s="127" t="s">
        <v>129</v>
      </c>
      <c r="D108" s="9"/>
      <c r="E108" s="9"/>
      <c r="F108" s="9"/>
      <c r="G108" s="6"/>
      <c r="H108" s="22"/>
      <c r="I108" s="22"/>
      <c r="J108" s="22"/>
      <c r="K108" s="22"/>
    </row>
    <row r="109" spans="3:17">
      <c r="C109" s="41" t="s">
        <v>27</v>
      </c>
      <c r="D109" s="22"/>
      <c r="E109" s="6"/>
      <c r="F109" s="6"/>
      <c r="G109" s="156">
        <f>F112</f>
        <v>22283</v>
      </c>
      <c r="H109" s="156">
        <f>G112</f>
        <v>21391.68</v>
      </c>
      <c r="I109" s="156">
        <f>H112</f>
        <v>22675.180800000002</v>
      </c>
      <c r="J109" s="156">
        <f>I112</f>
        <v>24239.7682752</v>
      </c>
      <c r="K109" s="156">
        <f>J112</f>
        <v>25912.3122861888</v>
      </c>
      <c r="M109" s="5" t="s">
        <v>167</v>
      </c>
    </row>
    <row r="110" spans="3:17">
      <c r="C110" s="26" t="s">
        <v>124</v>
      </c>
      <c r="G110" s="22">
        <f>-(G104)</f>
        <v>-1538.8799999999999</v>
      </c>
      <c r="H110" s="22">
        <f>-(H104)</f>
        <v>-1631.2128</v>
      </c>
      <c r="I110" s="22">
        <f>-(I104)</f>
        <v>-1743.7664832</v>
      </c>
      <c r="J110" s="22">
        <f>-(J104)</f>
        <v>-1864.0863705407999</v>
      </c>
      <c r="K110" s="22">
        <f>-(K104)</f>
        <v>-1992.708330108115</v>
      </c>
      <c r="M110" s="5" t="s">
        <v>162</v>
      </c>
    </row>
    <row r="111" spans="3:17" ht="15" customHeight="1">
      <c r="C111" s="111" t="s">
        <v>125</v>
      </c>
      <c r="D111" s="101"/>
      <c r="E111" s="101"/>
      <c r="F111" s="101"/>
      <c r="G111" s="155">
        <f>G112-G110-G109</f>
        <v>647.56000000000131</v>
      </c>
      <c r="H111" s="155">
        <f>H112-H110-H109</f>
        <v>2914.7136000000028</v>
      </c>
      <c r="I111" s="155">
        <f>I112-I110-I109</f>
        <v>3308.3539583999991</v>
      </c>
      <c r="J111" s="155">
        <f>J112-J110-J109</f>
        <v>3536.6303815296014</v>
      </c>
      <c r="K111" s="155">
        <f>K112-K110-K109</f>
        <v>3780.6578778551411</v>
      </c>
      <c r="M111" s="5" t="s">
        <v>168</v>
      </c>
    </row>
    <row r="112" spans="3:17">
      <c r="C112" s="54" t="s">
        <v>28</v>
      </c>
      <c r="D112" s="6"/>
      <c r="E112" s="51">
        <f t="shared" ref="E112:K112" si="20">E50</f>
        <v>18177</v>
      </c>
      <c r="F112" s="51">
        <f t="shared" si="20"/>
        <v>22283</v>
      </c>
      <c r="G112" s="51">
        <f t="shared" si="20"/>
        <v>21391.68</v>
      </c>
      <c r="H112" s="51">
        <f t="shared" si="20"/>
        <v>22675.180800000002</v>
      </c>
      <c r="I112" s="51">
        <f t="shared" si="20"/>
        <v>24239.7682752</v>
      </c>
      <c r="J112" s="51">
        <f t="shared" si="20"/>
        <v>25912.3122861888</v>
      </c>
      <c r="K112" s="51">
        <f t="shared" si="20"/>
        <v>27700.261833935827</v>
      </c>
      <c r="M112" s="5" t="s">
        <v>169</v>
      </c>
    </row>
    <row r="113" spans="3:17">
      <c r="C113" s="26"/>
      <c r="E113" s="34"/>
      <c r="F113" s="34"/>
      <c r="G113" s="6"/>
      <c r="H113" s="22"/>
      <c r="I113" s="22"/>
      <c r="J113" s="22"/>
      <c r="K113" s="22"/>
    </row>
    <row r="114" spans="3:17">
      <c r="C114" s="74" t="s">
        <v>75</v>
      </c>
      <c r="D114" s="70"/>
      <c r="E114" s="70"/>
      <c r="F114" s="70"/>
      <c r="G114" s="9"/>
      <c r="H114" s="9"/>
      <c r="I114" s="9"/>
      <c r="J114" s="9"/>
      <c r="K114" s="9"/>
    </row>
    <row r="115" spans="3:17">
      <c r="C115" s="41" t="s">
        <v>27</v>
      </c>
      <c r="D115" s="6"/>
      <c r="E115" s="6"/>
      <c r="F115" s="6"/>
      <c r="G115" s="151">
        <f>F119</f>
        <v>70400</v>
      </c>
      <c r="H115" s="151">
        <f ca="1">G119</f>
        <v>35907.506097684833</v>
      </c>
      <c r="I115" s="151">
        <f ca="1">H119</f>
        <v>5326.4073574395152</v>
      </c>
      <c r="J115" s="151">
        <f ca="1">I119</f>
        <v>-21502.07229787598</v>
      </c>
      <c r="K115" s="151">
        <f ca="1">J119</f>
        <v>-44514.319742036285</v>
      </c>
      <c r="M115" s="5" t="s">
        <v>167</v>
      </c>
    </row>
    <row r="116" spans="3:17">
      <c r="C116" s="26" t="s">
        <v>62</v>
      </c>
      <c r="D116" s="33">
        <f t="shared" ref="D116:K116" si="21">D28</f>
        <v>45687</v>
      </c>
      <c r="E116" s="33">
        <f t="shared" si="21"/>
        <v>48351</v>
      </c>
      <c r="F116" s="33">
        <f t="shared" si="21"/>
        <v>59531</v>
      </c>
      <c r="G116" s="151">
        <f t="shared" ca="1" si="21"/>
        <v>52298.506097684833</v>
      </c>
      <c r="H116" s="151">
        <f t="shared" ca="1" si="21"/>
        <v>56209.901259754675</v>
      </c>
      <c r="I116" s="151">
        <f t="shared" ca="1" si="21"/>
        <v>59962.520344684504</v>
      </c>
      <c r="J116" s="151">
        <f t="shared" ca="1" si="21"/>
        <v>63778.752555839696</v>
      </c>
      <c r="K116" s="151">
        <f t="shared" ca="1" si="21"/>
        <v>67967.319173978191</v>
      </c>
      <c r="M116" s="5" t="s">
        <v>101</v>
      </c>
    </row>
    <row r="117" spans="3:17">
      <c r="C117" s="26" t="s">
        <v>63</v>
      </c>
      <c r="D117" s="3">
        <v>-12188</v>
      </c>
      <c r="E117" s="3">
        <v>-12803</v>
      </c>
      <c r="F117" s="3">
        <v>-13735</v>
      </c>
      <c r="G117" s="151">
        <f t="shared" ref="G117:K118" si="22">F117</f>
        <v>-13735</v>
      </c>
      <c r="H117" s="151">
        <f t="shared" si="22"/>
        <v>-13735</v>
      </c>
      <c r="I117" s="151">
        <f t="shared" si="22"/>
        <v>-13735</v>
      </c>
      <c r="J117" s="151">
        <f t="shared" si="22"/>
        <v>-13735</v>
      </c>
      <c r="K117" s="151">
        <f t="shared" si="22"/>
        <v>-13735</v>
      </c>
      <c r="M117" s="5" t="s">
        <v>163</v>
      </c>
    </row>
    <row r="118" spans="3:17">
      <c r="C118" s="104" t="s">
        <v>64</v>
      </c>
      <c r="D118" s="95">
        <v>-29000</v>
      </c>
      <c r="E118" s="95">
        <v>-33001</v>
      </c>
      <c r="F118" s="95">
        <v>-73056</v>
      </c>
      <c r="G118" s="158">
        <f t="shared" si="22"/>
        <v>-73056</v>
      </c>
      <c r="H118" s="158">
        <f t="shared" si="22"/>
        <v>-73056</v>
      </c>
      <c r="I118" s="158">
        <f t="shared" si="22"/>
        <v>-73056</v>
      </c>
      <c r="J118" s="158">
        <f t="shared" si="22"/>
        <v>-73056</v>
      </c>
      <c r="K118" s="158">
        <f t="shared" si="22"/>
        <v>-73056</v>
      </c>
      <c r="M118" s="5" t="s">
        <v>236</v>
      </c>
    </row>
    <row r="119" spans="3:17">
      <c r="C119" s="83" t="s">
        <v>28</v>
      </c>
      <c r="D119" s="23">
        <f>D62</f>
        <v>0</v>
      </c>
      <c r="E119" s="23">
        <f>E62</f>
        <v>98330</v>
      </c>
      <c r="F119" s="23">
        <f>F62</f>
        <v>70400</v>
      </c>
      <c r="G119" s="146">
        <f ca="1">SUM(G115:G118)</f>
        <v>35907.506097684833</v>
      </c>
      <c r="H119" s="146">
        <f ca="1">SUM(H115:H118)</f>
        <v>5326.4073574395152</v>
      </c>
      <c r="I119" s="146">
        <f ca="1">SUM(I115:I118)</f>
        <v>-21502.07229787598</v>
      </c>
      <c r="J119" s="146">
        <f ca="1">SUM(J115:J118)</f>
        <v>-44514.319742036285</v>
      </c>
      <c r="K119" s="146">
        <f ca="1">SUM(K115:K118)</f>
        <v>-63338.000568058094</v>
      </c>
      <c r="M119" s="5" t="s">
        <v>164</v>
      </c>
    </row>
    <row r="120" spans="3:17">
      <c r="E120" s="68"/>
      <c r="F120" s="68"/>
    </row>
    <row r="121" spans="3:17">
      <c r="C121" s="7" t="s">
        <v>131</v>
      </c>
      <c r="D121" s="9"/>
      <c r="E121" s="9"/>
      <c r="F121" s="9"/>
      <c r="G121" s="9"/>
      <c r="H121" s="9"/>
      <c r="I121" s="9"/>
      <c r="J121" s="9"/>
      <c r="K121" s="9"/>
      <c r="O121" s="98"/>
      <c r="P121" s="98"/>
    </row>
    <row r="122" spans="3:17">
      <c r="C122" s="35" t="str">
        <f t="shared" ref="C122:K122" si="23">C14</f>
        <v xml:space="preserve">Fiscal year  </v>
      </c>
      <c r="D122" s="30">
        <f t="shared" si="23"/>
        <v>2016</v>
      </c>
      <c r="E122" s="30">
        <f t="shared" si="23"/>
        <v>2017</v>
      </c>
      <c r="F122" s="30">
        <f t="shared" si="23"/>
        <v>2018</v>
      </c>
      <c r="G122" s="31">
        <f t="shared" si="23"/>
        <v>2019</v>
      </c>
      <c r="H122" s="31">
        <f t="shared" si="23"/>
        <v>2020</v>
      </c>
      <c r="I122" s="31">
        <f t="shared" si="23"/>
        <v>2021</v>
      </c>
      <c r="J122" s="31">
        <f t="shared" si="23"/>
        <v>2022</v>
      </c>
      <c r="K122" s="31">
        <f t="shared" si="23"/>
        <v>2023</v>
      </c>
      <c r="O122" s="98"/>
      <c r="P122" s="98"/>
    </row>
    <row r="123" spans="3:17">
      <c r="C123" s="9" t="str">
        <f t="shared" ref="C123:K123" si="24">C15</f>
        <v>Fiscal year end date</v>
      </c>
      <c r="D123" s="32">
        <f t="shared" si="24"/>
        <v>42643</v>
      </c>
      <c r="E123" s="32">
        <f t="shared" si="24"/>
        <v>43008</v>
      </c>
      <c r="F123" s="32">
        <f t="shared" si="24"/>
        <v>43372</v>
      </c>
      <c r="G123" s="32">
        <f t="shared" si="24"/>
        <v>43738</v>
      </c>
      <c r="H123" s="32">
        <f t="shared" si="24"/>
        <v>44104</v>
      </c>
      <c r="I123" s="32">
        <f t="shared" si="24"/>
        <v>44469</v>
      </c>
      <c r="J123" s="32">
        <f t="shared" si="24"/>
        <v>44834</v>
      </c>
      <c r="K123" s="32">
        <f t="shared" si="24"/>
        <v>45199</v>
      </c>
      <c r="O123" s="98"/>
      <c r="P123" s="98"/>
    </row>
    <row r="124" spans="3:17">
      <c r="C124" s="19"/>
      <c r="O124" s="98"/>
      <c r="P124" s="98"/>
    </row>
    <row r="125" spans="3:17">
      <c r="C125" s="53" t="s">
        <v>39</v>
      </c>
      <c r="O125" s="98"/>
      <c r="P125" s="98"/>
      <c r="Q125" s="98"/>
    </row>
    <row r="126" spans="3:17">
      <c r="C126" s="26" t="s">
        <v>45</v>
      </c>
      <c r="G126" s="165">
        <f>F45</f>
        <v>237100</v>
      </c>
      <c r="H126" s="165">
        <f ca="1">G45</f>
        <v>202199.73246575586</v>
      </c>
      <c r="I126" s="165">
        <f ca="1">H45</f>
        <v>176523.72487352614</v>
      </c>
      <c r="J126" s="165">
        <f ca="1">I45</f>
        <v>156076.92943323214</v>
      </c>
      <c r="K126" s="165">
        <f ca="1">J45</f>
        <v>140273.77732642859</v>
      </c>
      <c r="M126" s="5" t="s">
        <v>172</v>
      </c>
      <c r="O126" s="98"/>
      <c r="P126" s="98"/>
    </row>
    <row r="127" spans="3:17">
      <c r="C127" s="26" t="s">
        <v>69</v>
      </c>
      <c r="G127" s="3">
        <v>-50000</v>
      </c>
      <c r="H127" s="3">
        <v>-50000</v>
      </c>
      <c r="I127" s="3">
        <v>-50000</v>
      </c>
      <c r="J127" s="3">
        <v>-50000</v>
      </c>
      <c r="K127" s="3">
        <v>-50000</v>
      </c>
      <c r="M127" s="5" t="s">
        <v>126</v>
      </c>
      <c r="O127" s="98"/>
      <c r="P127" s="98"/>
    </row>
    <row r="128" spans="3:17">
      <c r="C128" s="111" t="s">
        <v>40</v>
      </c>
      <c r="D128" s="101"/>
      <c r="E128" s="101"/>
      <c r="F128" s="101"/>
      <c r="G128" s="169">
        <f ca="1">SUM(G79,G82,G84,G86,G87)</f>
        <v>-34936.267534244129</v>
      </c>
      <c r="H128" s="169">
        <f ca="1">SUM(H79,H82,H84,H86,H87)</f>
        <v>-25676.007592229726</v>
      </c>
      <c r="I128" s="169">
        <f ca="1">SUM(I79,I82,I84,I86,I87)</f>
        <v>-20446.795440293994</v>
      </c>
      <c r="J128" s="169">
        <f ca="1">SUM(J79,J82,J84,J86,J87)</f>
        <v>-15803.152106803551</v>
      </c>
      <c r="K128" s="169">
        <f ca="1">SUM(K79,K82,K84,K86,K87)</f>
        <v>-10801.321625207391</v>
      </c>
      <c r="M128" s="5" t="s">
        <v>174</v>
      </c>
    </row>
    <row r="129" spans="3:19">
      <c r="C129" s="54" t="s">
        <v>102</v>
      </c>
      <c r="D129" s="6"/>
      <c r="E129" s="6"/>
      <c r="F129" s="6"/>
      <c r="G129" s="161">
        <f ca="1">SUM(G126:G128)</f>
        <v>152163.73246575586</v>
      </c>
      <c r="H129" s="161">
        <f ca="1">SUM(H126:H128)</f>
        <v>126523.72487352614</v>
      </c>
      <c r="I129" s="161">
        <f ca="1">SUM(I126:I128)</f>
        <v>106076.92943323214</v>
      </c>
      <c r="J129" s="161">
        <f ca="1">SUM(J126:J128)</f>
        <v>90273.777326428593</v>
      </c>
      <c r="K129" s="161">
        <f ca="1">SUM(K126:K128)</f>
        <v>79472.455701221203</v>
      </c>
    </row>
    <row r="130" spans="3:19">
      <c r="C130" s="6"/>
    </row>
    <row r="131" spans="3:19">
      <c r="C131" s="19" t="s">
        <v>113</v>
      </c>
    </row>
    <row r="132" spans="3:19">
      <c r="C132" s="26" t="s">
        <v>27</v>
      </c>
      <c r="G132" s="165">
        <f>F135</f>
        <v>11964</v>
      </c>
      <c r="H132" s="165">
        <f ca="1">G135</f>
        <v>12000</v>
      </c>
      <c r="I132" s="165">
        <f ca="1">H135</f>
        <v>12000</v>
      </c>
      <c r="J132" s="165">
        <f ca="1">I135</f>
        <v>12000</v>
      </c>
      <c r="K132" s="165">
        <f ca="1">J135</f>
        <v>12000</v>
      </c>
      <c r="M132" s="5" t="s">
        <v>167</v>
      </c>
    </row>
    <row r="133" spans="3:19">
      <c r="C133" s="47" t="s">
        <v>176</v>
      </c>
      <c r="G133" s="165">
        <f ca="1">-MIN(G129,G132)</f>
        <v>-11964</v>
      </c>
      <c r="H133" s="165">
        <f ca="1">-MIN(H129,H132)</f>
        <v>-12000</v>
      </c>
      <c r="I133" s="165">
        <f ca="1">-MIN(I129,I132)</f>
        <v>-12000</v>
      </c>
      <c r="J133" s="165">
        <f ca="1">-MIN(J129,J132)</f>
        <v>-12000</v>
      </c>
      <c r="K133" s="165">
        <f ca="1">-MIN(K129,K132)</f>
        <v>-12000</v>
      </c>
      <c r="M133" s="5" t="s">
        <v>175</v>
      </c>
    </row>
    <row r="134" spans="3:19">
      <c r="C134" s="103" t="s">
        <v>128</v>
      </c>
      <c r="D134" s="101"/>
      <c r="E134" s="101"/>
      <c r="F134" s="101"/>
      <c r="G134" s="95">
        <v>12000</v>
      </c>
      <c r="H134" s="95">
        <v>12000</v>
      </c>
      <c r="I134" s="95">
        <v>12000</v>
      </c>
      <c r="J134" s="95">
        <v>12000</v>
      </c>
      <c r="K134" s="95">
        <v>12000</v>
      </c>
      <c r="M134" s="5" t="s">
        <v>126</v>
      </c>
    </row>
    <row r="135" spans="3:19">
      <c r="C135" s="26" t="s">
        <v>28</v>
      </c>
      <c r="D135" s="102">
        <f>D56</f>
        <v>0</v>
      </c>
      <c r="E135" s="102">
        <f>E56</f>
        <v>11977</v>
      </c>
      <c r="F135" s="102">
        <f>F56</f>
        <v>11964</v>
      </c>
      <c r="G135" s="160">
        <f ca="1">SUM(G132:G134)</f>
        <v>12000</v>
      </c>
      <c r="H135" s="160">
        <f ca="1">SUM(H132:H134)</f>
        <v>12000</v>
      </c>
      <c r="I135" s="160">
        <f ca="1">SUM(I132:I134)</f>
        <v>12000</v>
      </c>
      <c r="J135" s="160">
        <f ca="1">SUM(J132:J134)</f>
        <v>12000</v>
      </c>
      <c r="K135" s="160">
        <f ca="1">SUM(K132:K134)</f>
        <v>12000</v>
      </c>
    </row>
    <row r="136" spans="3:19">
      <c r="C136" s="117" t="s">
        <v>119</v>
      </c>
      <c r="D136" s="122"/>
      <c r="E136" s="122"/>
      <c r="F136" s="123"/>
      <c r="G136" s="118" t="str">
        <f ca="1">IF(G135&lt;0,"Negative Debt","OK")</f>
        <v>OK</v>
      </c>
      <c r="H136" s="118" t="str">
        <f ca="1">IF(H135&lt;0,"Negative Debt","OK")</f>
        <v>OK</v>
      </c>
      <c r="I136" s="118" t="str">
        <f ca="1">IF(I135&lt;0,"Negative Debt","OK")</f>
        <v>OK</v>
      </c>
      <c r="J136" s="118" t="str">
        <f ca="1">IF(J135&lt;0,"Negative Debt","OK")</f>
        <v>OK</v>
      </c>
      <c r="K136" s="119" t="str">
        <f ca="1">IF(K135&lt;0,"Negative Debt","OK")</f>
        <v>OK</v>
      </c>
      <c r="L136" s="6"/>
      <c r="S136" s="68"/>
    </row>
    <row r="137" spans="3:19">
      <c r="D137" s="22"/>
      <c r="E137" s="22"/>
      <c r="F137" s="120"/>
      <c r="G137" s="121"/>
      <c r="H137" s="121"/>
      <c r="I137" s="121"/>
      <c r="J137" s="121"/>
      <c r="K137" s="121"/>
      <c r="L137" s="6"/>
      <c r="S137" s="68"/>
    </row>
    <row r="138" spans="3:19">
      <c r="C138" s="7" t="s">
        <v>43</v>
      </c>
      <c r="D138" s="48"/>
      <c r="E138" s="48"/>
      <c r="F138" s="48"/>
      <c r="G138" s="49"/>
      <c r="H138" s="49"/>
      <c r="I138" s="49"/>
      <c r="J138" s="49"/>
      <c r="K138" s="49"/>
      <c r="R138" s="99"/>
    </row>
    <row r="139" spans="3:19">
      <c r="C139" s="35" t="str">
        <f t="shared" ref="C139:K139" si="25">C14</f>
        <v xml:space="preserve">Fiscal year  </v>
      </c>
      <c r="D139" s="30">
        <f t="shared" si="25"/>
        <v>2016</v>
      </c>
      <c r="E139" s="30">
        <f t="shared" si="25"/>
        <v>2017</v>
      </c>
      <c r="F139" s="30">
        <f t="shared" si="25"/>
        <v>2018</v>
      </c>
      <c r="G139" s="31">
        <f t="shared" si="25"/>
        <v>2019</v>
      </c>
      <c r="H139" s="31">
        <f t="shared" si="25"/>
        <v>2020</v>
      </c>
      <c r="I139" s="31">
        <f t="shared" si="25"/>
        <v>2021</v>
      </c>
      <c r="J139" s="31">
        <f t="shared" si="25"/>
        <v>2022</v>
      </c>
      <c r="K139" s="31">
        <f t="shared" si="25"/>
        <v>2023</v>
      </c>
      <c r="R139" s="99"/>
      <c r="S139" s="68"/>
    </row>
    <row r="140" spans="3:19">
      <c r="C140" s="9" t="str">
        <f t="shared" ref="C140:K140" si="26">C15</f>
        <v>Fiscal year end date</v>
      </c>
      <c r="D140" s="32">
        <f t="shared" si="26"/>
        <v>42643</v>
      </c>
      <c r="E140" s="32">
        <f t="shared" si="26"/>
        <v>43008</v>
      </c>
      <c r="F140" s="32">
        <f t="shared" si="26"/>
        <v>43372</v>
      </c>
      <c r="G140" s="32">
        <f t="shared" si="26"/>
        <v>43738</v>
      </c>
      <c r="H140" s="32">
        <f t="shared" si="26"/>
        <v>44104</v>
      </c>
      <c r="I140" s="32">
        <f t="shared" si="26"/>
        <v>44469</v>
      </c>
      <c r="J140" s="32">
        <f t="shared" si="26"/>
        <v>44834</v>
      </c>
      <c r="K140" s="32">
        <f t="shared" si="26"/>
        <v>45199</v>
      </c>
      <c r="R140" s="99"/>
    </row>
    <row r="141" spans="3:19">
      <c r="C141" s="26"/>
      <c r="D141" s="34"/>
      <c r="E141" s="34"/>
      <c r="F141" s="34"/>
      <c r="G141" s="125"/>
      <c r="H141" s="125"/>
      <c r="I141" s="125"/>
      <c r="J141" s="125"/>
      <c r="K141" s="125"/>
      <c r="R141" s="99"/>
    </row>
    <row r="142" spans="3:19">
      <c r="C142" s="41" t="s">
        <v>120</v>
      </c>
      <c r="D142" s="34">
        <f>-(D24)</f>
        <v>1456</v>
      </c>
      <c r="E142" s="34">
        <f>-(E24)</f>
        <v>2323</v>
      </c>
      <c r="F142" s="22">
        <f>-(F24)</f>
        <v>3240</v>
      </c>
      <c r="G142" s="166">
        <f ca="1">G147+G152</f>
        <v>3223.1468651501777</v>
      </c>
      <c r="H142" s="166">
        <f ca="1">H147+H152</f>
        <v>3223.5392651501775</v>
      </c>
      <c r="I142" s="166">
        <f ca="1">I147+I152</f>
        <v>3223.5392651501775</v>
      </c>
      <c r="J142" s="166">
        <f ca="1">J147+J152</f>
        <v>3223.5392651501775</v>
      </c>
      <c r="K142" s="166">
        <f ca="1">K147+K152</f>
        <v>3223.5392651501775</v>
      </c>
      <c r="L142" s="6"/>
      <c r="M142" s="5" t="s">
        <v>178</v>
      </c>
      <c r="R142" s="68"/>
    </row>
    <row r="143" spans="3:19">
      <c r="C143" s="60"/>
      <c r="F143" s="6"/>
      <c r="G143" s="168"/>
      <c r="H143" s="168"/>
      <c r="I143" s="168"/>
      <c r="J143" s="168"/>
      <c r="K143" s="168"/>
      <c r="L143" s="6"/>
      <c r="R143" s="68"/>
    </row>
    <row r="144" spans="3:19">
      <c r="C144" s="94" t="s">
        <v>68</v>
      </c>
      <c r="F144" s="6"/>
      <c r="G144" s="168"/>
      <c r="H144" s="168"/>
      <c r="I144" s="168"/>
      <c r="J144" s="168"/>
      <c r="K144" s="168"/>
      <c r="L144" s="6"/>
      <c r="R144" s="68"/>
    </row>
    <row r="145" spans="3:18">
      <c r="C145" s="26" t="s">
        <v>111</v>
      </c>
      <c r="E145" s="56">
        <v>1.2E-2</v>
      </c>
      <c r="F145" s="124">
        <v>2.18E-2</v>
      </c>
      <c r="G145" s="170">
        <f>F145</f>
        <v>2.18E-2</v>
      </c>
      <c r="H145" s="170">
        <f>G145</f>
        <v>2.18E-2</v>
      </c>
      <c r="I145" s="170">
        <f>H145</f>
        <v>2.18E-2</v>
      </c>
      <c r="J145" s="170">
        <f>I145</f>
        <v>2.18E-2</v>
      </c>
      <c r="K145" s="170">
        <f>J145</f>
        <v>2.18E-2</v>
      </c>
      <c r="L145" s="6"/>
      <c r="M145" s="5" t="s">
        <v>132</v>
      </c>
    </row>
    <row r="146" spans="3:18">
      <c r="C146" s="26" t="s">
        <v>112</v>
      </c>
      <c r="D146" s="102"/>
      <c r="E146" s="102">
        <f t="shared" ref="E146:K146" si="27">E56</f>
        <v>11977</v>
      </c>
      <c r="F146" s="102">
        <f t="shared" si="27"/>
        <v>11964</v>
      </c>
      <c r="G146" s="166">
        <f t="shared" ca="1" si="27"/>
        <v>12000</v>
      </c>
      <c r="H146" s="166">
        <f t="shared" ca="1" si="27"/>
        <v>12000</v>
      </c>
      <c r="I146" s="166">
        <f t="shared" ca="1" si="27"/>
        <v>12000</v>
      </c>
      <c r="J146" s="166">
        <f t="shared" ca="1" si="27"/>
        <v>12000</v>
      </c>
      <c r="K146" s="166">
        <f t="shared" ca="1" si="27"/>
        <v>12000</v>
      </c>
      <c r="L146" s="6"/>
      <c r="M146" s="5" t="s">
        <v>181</v>
      </c>
    </row>
    <row r="147" spans="3:18">
      <c r="C147" s="163" t="s">
        <v>41</v>
      </c>
      <c r="D147" s="22"/>
      <c r="E147" s="51">
        <f>AVERAGE(D146:E146)*E145</f>
        <v>143.72399999999999</v>
      </c>
      <c r="F147" s="51">
        <f>AVERAGE(E146:F146)*F145</f>
        <v>260.95690000000002</v>
      </c>
      <c r="G147" s="171">
        <f ca="1">IF($D$7=1,AVERAGE(F146,G146)*G145,0)</f>
        <v>261.20760000000001</v>
      </c>
      <c r="H147" s="171">
        <f t="shared" ref="H147:K147" ca="1" si="28">IF($D$7=1,AVERAGE(G146,H146)*H145,0)</f>
        <v>261.60000000000002</v>
      </c>
      <c r="I147" s="171">
        <f t="shared" ca="1" si="28"/>
        <v>261.60000000000002</v>
      </c>
      <c r="J147" s="171">
        <f t="shared" ca="1" si="28"/>
        <v>261.60000000000002</v>
      </c>
      <c r="K147" s="171">
        <f t="shared" ca="1" si="28"/>
        <v>261.60000000000002</v>
      </c>
      <c r="L147" s="6"/>
      <c r="M147" s="5" t="s">
        <v>180</v>
      </c>
    </row>
    <row r="148" spans="3:18">
      <c r="C148" s="81"/>
      <c r="D148" s="34"/>
      <c r="E148" s="34"/>
      <c r="F148" s="22"/>
      <c r="G148" s="168"/>
      <c r="H148" s="168"/>
      <c r="I148" s="168"/>
      <c r="J148" s="168"/>
      <c r="K148" s="168"/>
      <c r="L148" s="6"/>
    </row>
    <row r="149" spans="3:18">
      <c r="C149" s="94" t="s">
        <v>67</v>
      </c>
      <c r="D149" s="34"/>
      <c r="E149" s="34"/>
      <c r="F149" s="22"/>
      <c r="G149" s="168"/>
      <c r="H149" s="168"/>
      <c r="I149" s="168"/>
      <c r="J149" s="168"/>
      <c r="K149" s="168"/>
      <c r="L149" s="6"/>
    </row>
    <row r="150" spans="3:18">
      <c r="C150" s="26" t="s">
        <v>112</v>
      </c>
      <c r="D150" s="34"/>
      <c r="E150" s="34">
        <f t="shared" ref="E150:K150" si="29">E57</f>
        <v>103703</v>
      </c>
      <c r="F150" s="22">
        <f t="shared" si="29"/>
        <v>102519</v>
      </c>
      <c r="G150" s="166">
        <f t="shared" si="29"/>
        <v>102519</v>
      </c>
      <c r="H150" s="166">
        <f t="shared" si="29"/>
        <v>102519</v>
      </c>
      <c r="I150" s="166">
        <f t="shared" si="29"/>
        <v>102519</v>
      </c>
      <c r="J150" s="166">
        <f t="shared" si="29"/>
        <v>102519</v>
      </c>
      <c r="K150" s="166">
        <f t="shared" si="29"/>
        <v>102519</v>
      </c>
      <c r="L150" s="6"/>
      <c r="M150" s="5" t="s">
        <v>183</v>
      </c>
    </row>
    <row r="151" spans="3:18">
      <c r="C151" s="26" t="s">
        <v>111</v>
      </c>
      <c r="E151" s="93">
        <f t="shared" ref="E151" si="30">E152/AVERAGE(D150:E150)</f>
        <v>2.101458974185896E-2</v>
      </c>
      <c r="F151" s="100">
        <f>F152/AVERAGE(E150:F150)</f>
        <v>2.8891612921996681E-2</v>
      </c>
      <c r="G151" s="440">
        <f>F151</f>
        <v>2.8891612921996681E-2</v>
      </c>
      <c r="H151" s="440">
        <f>G151</f>
        <v>2.8891612921996681E-2</v>
      </c>
      <c r="I151" s="440">
        <f>H151</f>
        <v>2.8891612921996681E-2</v>
      </c>
      <c r="J151" s="440">
        <f>I151</f>
        <v>2.8891612921996681E-2</v>
      </c>
      <c r="K151" s="440">
        <f>J151</f>
        <v>2.8891612921996681E-2</v>
      </c>
      <c r="L151" s="6"/>
      <c r="M151" s="5" t="s">
        <v>132</v>
      </c>
      <c r="R151" s="99"/>
    </row>
    <row r="152" spans="3:18">
      <c r="C152" s="54" t="s">
        <v>186</v>
      </c>
      <c r="D152" s="52"/>
      <c r="E152" s="52">
        <f>E142-E147</f>
        <v>2179.2759999999998</v>
      </c>
      <c r="F152" s="51">
        <f>F142-F147</f>
        <v>2979.0430999999999</v>
      </c>
      <c r="G152" s="172">
        <f>G151*AVERAGE(F150:G150)</f>
        <v>2961.9392651501776</v>
      </c>
      <c r="H152" s="172">
        <f>H151*AVERAGE(G150:H150)</f>
        <v>2961.9392651501776</v>
      </c>
      <c r="I152" s="172">
        <f>I151*AVERAGE(H150:I150)</f>
        <v>2961.9392651501776</v>
      </c>
      <c r="J152" s="172">
        <f>J151*AVERAGE(I150:J150)</f>
        <v>2961.9392651501776</v>
      </c>
      <c r="K152" s="172">
        <f>K151*AVERAGE(J150:K150)</f>
        <v>2961.9392651501776</v>
      </c>
      <c r="L152" s="6"/>
      <c r="M152" s="5" t="s">
        <v>114</v>
      </c>
    </row>
    <row r="153" spans="3:18">
      <c r="E153" s="34"/>
      <c r="F153" s="6"/>
      <c r="G153" s="168"/>
      <c r="H153" s="168"/>
      <c r="I153" s="168"/>
      <c r="J153" s="168"/>
      <c r="K153" s="168"/>
      <c r="L153" s="6"/>
    </row>
    <row r="154" spans="3:18">
      <c r="C154" s="60" t="s">
        <v>42</v>
      </c>
      <c r="E154" s="34"/>
      <c r="F154" s="22"/>
      <c r="G154" s="168"/>
      <c r="H154" s="168"/>
      <c r="I154" s="168"/>
      <c r="J154" s="168"/>
      <c r="K154" s="168"/>
      <c r="L154" s="6"/>
    </row>
    <row r="155" spans="3:18" ht="15" customHeight="1">
      <c r="C155" s="26" t="s">
        <v>115</v>
      </c>
      <c r="D155" s="55">
        <v>1.7299999999999999E-2</v>
      </c>
      <c r="E155" s="56">
        <v>1.9900000000000001E-2</v>
      </c>
      <c r="F155" s="124">
        <v>2.1600000000000001E-2</v>
      </c>
      <c r="G155" s="174">
        <f>F155</f>
        <v>2.1600000000000001E-2</v>
      </c>
      <c r="H155" s="174">
        <f>G155</f>
        <v>2.1600000000000001E-2</v>
      </c>
      <c r="I155" s="174">
        <f>H155</f>
        <v>2.1600000000000001E-2</v>
      </c>
      <c r="J155" s="174">
        <f>I155</f>
        <v>2.1600000000000001E-2</v>
      </c>
      <c r="K155" s="174">
        <f>J155</f>
        <v>2.1600000000000001E-2</v>
      </c>
      <c r="L155" s="6"/>
      <c r="M155" s="5" t="s">
        <v>132</v>
      </c>
    </row>
    <row r="156" spans="3:18" ht="15" customHeight="1">
      <c r="C156" s="26" t="s">
        <v>4</v>
      </c>
      <c r="D156" s="34">
        <f>D23</f>
        <v>3999</v>
      </c>
      <c r="E156" s="34">
        <f>E23</f>
        <v>5201</v>
      </c>
      <c r="F156" s="22">
        <f>F23</f>
        <v>5686</v>
      </c>
      <c r="G156" s="175">
        <f ca="1">IF($D$7=1,AVERAGE(F45,G45)*G155,0)</f>
        <v>4744.4371106301642</v>
      </c>
      <c r="H156" s="175">
        <f t="shared" ref="H156:K156" ca="1" si="31">IF($D$7=1,AVERAGE(G45,H45)*H155,0)</f>
        <v>4090.2133392642463</v>
      </c>
      <c r="I156" s="175">
        <f t="shared" ca="1" si="31"/>
        <v>3592.0870665129901</v>
      </c>
      <c r="J156" s="175">
        <f t="shared" ca="1" si="31"/>
        <v>3200.5876330043361</v>
      </c>
      <c r="K156" s="175">
        <f t="shared" ca="1" si="31"/>
        <v>2913.259316698618</v>
      </c>
      <c r="L156" s="6"/>
      <c r="M156" s="5" t="s">
        <v>184</v>
      </c>
    </row>
    <row r="157" spans="3:18">
      <c r="C157" s="65"/>
      <c r="D157" s="100"/>
      <c r="E157" s="93"/>
      <c r="F157" s="93"/>
      <c r="G157" s="100"/>
      <c r="H157" s="100"/>
      <c r="I157" s="6"/>
      <c r="J157" s="6"/>
      <c r="K157" s="6"/>
    </row>
  </sheetData>
  <conditionalFormatting sqref="C39">
    <cfRule type="expression" dxfId="21" priority="3">
      <formula>#REF!=$C39</formula>
    </cfRule>
  </conditionalFormatting>
  <dataValidations count="2">
    <dataValidation type="list" allowBlank="1" showInputMessage="1" showErrorMessage="1" sqref="C3" xr:uid="{00000000-0002-0000-0100-000001000000}">
      <formula1>"$ bns except per share, $ mm except per share,$ in thousands except per share"</formula1>
    </dataValidation>
    <dataValidation type="list" allowBlank="1" showInputMessage="1" showErrorMessage="1" sqref="D7" xr:uid="{9A57190F-EA79-4F98-AACA-5F80337D16F9}">
      <formula1>"0,1"</formula1>
    </dataValidation>
  </dataValidations>
  <pageMargins left="0.7" right="0.7" top="0.75" bottom="0.75" header="0.3" footer="0.3"/>
  <pageSetup scale="30"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07633-53E7-4E0B-B863-7B5E5DD7F438}">
  <sheetPr>
    <pageSetUpPr fitToPage="1"/>
  </sheetPr>
  <dimension ref="C1:T157"/>
  <sheetViews>
    <sheetView showGridLines="0" zoomScaleNormal="100" workbookViewId="0">
      <selection activeCell="N36" sqref="N36"/>
    </sheetView>
  </sheetViews>
  <sheetFormatPr defaultColWidth="8.85546875" defaultRowHeight="15"/>
  <cols>
    <col min="1" max="2" width="1.7109375" style="5" customWidth="1"/>
    <col min="3" max="3" width="46.7109375" style="5" bestFit="1" customWidth="1"/>
    <col min="4" max="11" width="11.42578125" style="5" customWidth="1"/>
    <col min="12" max="12" width="2.28515625" style="5" customWidth="1"/>
    <col min="13" max="13" width="11.42578125" style="5" customWidth="1"/>
    <col min="14" max="14" width="11.85546875" style="5" customWidth="1"/>
    <col min="15" max="17" width="10.28515625" style="5" bestFit="1" customWidth="1"/>
    <col min="18" max="19" width="9.42578125" style="5" bestFit="1" customWidth="1"/>
    <col min="20" max="16384" width="8.85546875" style="5"/>
  </cols>
  <sheetData>
    <row r="1" spans="3:19" ht="15.75" thickBot="1"/>
    <row r="2" spans="3:19" ht="15.75" thickBot="1">
      <c r="C2" s="96" t="str">
        <f>"Financial Statement Model for "&amp;D5</f>
        <v>Financial Statement Model for Apple</v>
      </c>
      <c r="D2" s="79"/>
      <c r="E2" s="79"/>
      <c r="F2" s="79"/>
      <c r="G2" s="79"/>
      <c r="H2" s="79"/>
      <c r="I2" s="79"/>
      <c r="J2" s="79"/>
      <c r="K2" s="79"/>
    </row>
    <row r="3" spans="3:19">
      <c r="C3" s="2" t="s">
        <v>46</v>
      </c>
      <c r="D3" s="64"/>
      <c r="E3" s="64"/>
      <c r="F3" s="64"/>
      <c r="G3" s="64"/>
      <c r="H3" s="64"/>
      <c r="I3" s="6"/>
      <c r="J3" s="6"/>
      <c r="K3" s="6"/>
    </row>
    <row r="4" spans="3:19">
      <c r="O4" s="6"/>
      <c r="P4" s="6"/>
    </row>
    <row r="5" spans="3:19">
      <c r="C5" s="1" t="s">
        <v>5</v>
      </c>
      <c r="D5" s="112" t="s">
        <v>50</v>
      </c>
      <c r="O5" s="6"/>
      <c r="P5" s="6"/>
    </row>
    <row r="6" spans="3:19">
      <c r="C6" s="1" t="s">
        <v>6</v>
      </c>
      <c r="D6" s="112" t="s">
        <v>51</v>
      </c>
      <c r="O6" s="6"/>
      <c r="P6" s="6"/>
    </row>
    <row r="7" spans="3:19">
      <c r="C7" s="5" t="s">
        <v>109</v>
      </c>
      <c r="D7" s="113">
        <v>1</v>
      </c>
      <c r="O7" s="6"/>
      <c r="P7" s="6"/>
    </row>
    <row r="8" spans="3:19">
      <c r="C8" s="5" t="s">
        <v>73</v>
      </c>
      <c r="D8" s="114">
        <v>171.25</v>
      </c>
      <c r="O8" s="6"/>
      <c r="P8" s="6"/>
    </row>
    <row r="9" spans="3:19">
      <c r="C9" s="5" t="s">
        <v>9</v>
      </c>
      <c r="D9" s="115">
        <v>43500</v>
      </c>
      <c r="O9" s="6"/>
      <c r="P9" s="6"/>
    </row>
    <row r="10" spans="3:19">
      <c r="C10" s="1" t="s">
        <v>8</v>
      </c>
      <c r="D10" s="116">
        <v>43372</v>
      </c>
      <c r="O10" s="6"/>
      <c r="P10" s="6"/>
    </row>
    <row r="11" spans="3:19" ht="15" customHeight="1">
      <c r="C11" t="s">
        <v>292</v>
      </c>
      <c r="D11" s="132">
        <v>4745.3980000000001</v>
      </c>
      <c r="O11" s="6"/>
      <c r="P11" s="6"/>
    </row>
    <row r="12" spans="3:19">
      <c r="O12" s="6"/>
      <c r="P12" s="6"/>
    </row>
    <row r="13" spans="3:19">
      <c r="C13" s="7" t="s">
        <v>19</v>
      </c>
      <c r="D13" s="9"/>
      <c r="E13" s="9"/>
      <c r="F13" s="9"/>
      <c r="G13" s="9"/>
      <c r="H13" s="9"/>
      <c r="I13" s="9"/>
      <c r="J13" s="9"/>
      <c r="K13" s="9"/>
      <c r="Q13" s="6"/>
    </row>
    <row r="14" spans="3:19">
      <c r="C14" s="6" t="s">
        <v>10</v>
      </c>
      <c r="D14" s="10">
        <f>E14-1</f>
        <v>2016</v>
      </c>
      <c r="E14" s="10">
        <f>F14-1</f>
        <v>2017</v>
      </c>
      <c r="F14" s="10">
        <f>YEAR(D10)</f>
        <v>2018</v>
      </c>
      <c r="G14" s="11">
        <f>F14+1</f>
        <v>2019</v>
      </c>
      <c r="H14" s="11">
        <f>G14+1</f>
        <v>2020</v>
      </c>
      <c r="I14" s="11">
        <f>H14+1</f>
        <v>2021</v>
      </c>
      <c r="J14" s="11">
        <f>I14+1</f>
        <v>2022</v>
      </c>
      <c r="K14" s="11">
        <f>J14+1</f>
        <v>2023</v>
      </c>
      <c r="Q14" s="6"/>
    </row>
    <row r="15" spans="3:19">
      <c r="C15" s="12" t="s">
        <v>7</v>
      </c>
      <c r="D15" s="89">
        <f>EOMONTH(E15,-12)</f>
        <v>42643</v>
      </c>
      <c r="E15" s="89">
        <f>EOMONTH(F15,-12)</f>
        <v>43008</v>
      </c>
      <c r="F15" s="89">
        <f>D10</f>
        <v>43372</v>
      </c>
      <c r="G15" s="89">
        <f>EOMONTH(F15,12)</f>
        <v>43738</v>
      </c>
      <c r="H15" s="89">
        <f>EOMONTH(G15,12)</f>
        <v>44104</v>
      </c>
      <c r="I15" s="89">
        <f>EOMONTH(H15,12)</f>
        <v>44469</v>
      </c>
      <c r="J15" s="89">
        <f>EOMONTH(I15,12)</f>
        <v>44834</v>
      </c>
      <c r="K15" s="89">
        <f>EOMONTH(J15,12)</f>
        <v>45199</v>
      </c>
      <c r="M15" s="84" t="s">
        <v>86</v>
      </c>
      <c r="N15" s="97"/>
      <c r="O15" s="97"/>
      <c r="P15" s="97"/>
      <c r="Q15" s="97"/>
      <c r="R15" s="97"/>
      <c r="S15" s="97"/>
    </row>
    <row r="16" spans="3:19">
      <c r="C16" s="14"/>
      <c r="D16" s="15"/>
      <c r="E16" s="16"/>
      <c r="F16" s="16"/>
      <c r="G16" s="85"/>
      <c r="H16" s="86"/>
      <c r="I16" s="86"/>
      <c r="J16" s="16"/>
      <c r="K16" s="16"/>
    </row>
    <row r="17" spans="3:14">
      <c r="C17" s="6" t="s">
        <v>11</v>
      </c>
      <c r="D17" s="17">
        <v>215639</v>
      </c>
      <c r="E17" s="17">
        <v>229234</v>
      </c>
      <c r="F17" s="17">
        <v>265595</v>
      </c>
      <c r="G17" s="63">
        <f>F17*(1+G36)</f>
        <v>254971.19999999998</v>
      </c>
      <c r="H17" s="63">
        <f>G17*(1+H36)</f>
        <v>270269.47200000001</v>
      </c>
      <c r="I17" s="63">
        <f>H17*(1+I36)</f>
        <v>288918.06556800002</v>
      </c>
      <c r="J17" s="63">
        <f>I17*(1+J36)</f>
        <v>308853.41209219198</v>
      </c>
      <c r="K17" s="63">
        <f>J17*(1+K36)</f>
        <v>330164.29752655321</v>
      </c>
      <c r="M17" s="5" t="s">
        <v>87</v>
      </c>
    </row>
    <row r="18" spans="3:14">
      <c r="C18" s="6" t="s">
        <v>14</v>
      </c>
      <c r="D18" s="17">
        <v>-131376</v>
      </c>
      <c r="E18" s="17">
        <v>-141048</v>
      </c>
      <c r="F18" s="17">
        <v>-163756</v>
      </c>
      <c r="G18" s="63">
        <f>G19-G17</f>
        <v>-158592.08639999997</v>
      </c>
      <c r="H18" s="63">
        <f>H19-H17</f>
        <v>-167296.80316800001</v>
      </c>
      <c r="I18" s="63">
        <f>I19-I17</f>
        <v>-178551.36452102399</v>
      </c>
      <c r="J18" s="63">
        <f>J19-J17</f>
        <v>-190871.40867297465</v>
      </c>
      <c r="K18" s="63">
        <f>K19-K17</f>
        <v>-204041.53587140987</v>
      </c>
      <c r="M18" s="5" t="s">
        <v>88</v>
      </c>
    </row>
    <row r="19" spans="3:14">
      <c r="C19" s="19" t="s">
        <v>13</v>
      </c>
      <c r="D19" s="20">
        <f>SUM(D17:D18)</f>
        <v>84263</v>
      </c>
      <c r="E19" s="20">
        <f>SUM(E17:E18)</f>
        <v>88186</v>
      </c>
      <c r="F19" s="20">
        <f>SUM(F17:F18)</f>
        <v>101839</v>
      </c>
      <c r="G19" s="20">
        <f>G17*G37</f>
        <v>96379.113599999997</v>
      </c>
      <c r="H19" s="20">
        <f>H17*H37</f>
        <v>102972.66883200001</v>
      </c>
      <c r="I19" s="20">
        <f>I17*I37</f>
        <v>110366.70104697601</v>
      </c>
      <c r="J19" s="20">
        <f>J17*J37</f>
        <v>117982.00341921733</v>
      </c>
      <c r="K19" s="20">
        <f>K17*K37</f>
        <v>126122.76165514333</v>
      </c>
      <c r="M19" s="87" t="s">
        <v>89</v>
      </c>
    </row>
    <row r="20" spans="3:14">
      <c r="C20" s="21" t="s">
        <v>52</v>
      </c>
      <c r="D20" s="17">
        <v>-10045</v>
      </c>
      <c r="E20" s="17">
        <v>-11581</v>
      </c>
      <c r="F20" s="17">
        <v>-14236</v>
      </c>
      <c r="G20" s="63">
        <f>-G38*G17</f>
        <v>-15808.214399999999</v>
      </c>
      <c r="H20" s="63">
        <f>-H38*H17</f>
        <v>-17026.976736000001</v>
      </c>
      <c r="I20" s="63">
        <f>-I38*I17</f>
        <v>-18201.838130784003</v>
      </c>
      <c r="J20" s="63">
        <f>-J38*J17</f>
        <v>-19457.764961808094</v>
      </c>
      <c r="K20" s="63">
        <f>-K38*K17</f>
        <v>-20800.350744172854</v>
      </c>
      <c r="M20" s="87" t="s">
        <v>233</v>
      </c>
    </row>
    <row r="21" spans="3:14">
      <c r="C21" s="21" t="s">
        <v>16</v>
      </c>
      <c r="D21" s="17">
        <v>-14194</v>
      </c>
      <c r="E21" s="17">
        <v>-15261</v>
      </c>
      <c r="F21" s="17">
        <v>-16705</v>
      </c>
      <c r="G21" s="63">
        <f>-G17*G39</f>
        <v>-18867.868799999997</v>
      </c>
      <c r="H21" s="63">
        <f>-H17*H39</f>
        <v>-18648.593568000004</v>
      </c>
      <c r="I21" s="63">
        <f>-I17*I39</f>
        <v>-19935.346524192002</v>
      </c>
      <c r="J21" s="63">
        <f>-J17*J39</f>
        <v>-21310.885434361247</v>
      </c>
      <c r="K21" s="63">
        <f>-K17*K39</f>
        <v>-22781.336529332173</v>
      </c>
      <c r="M21" s="87" t="s">
        <v>235</v>
      </c>
    </row>
    <row r="22" spans="3:14">
      <c r="C22" s="19" t="s">
        <v>3</v>
      </c>
      <c r="D22" s="20">
        <f t="shared" ref="D22:K22" si="0">D19+D20+D21</f>
        <v>60024</v>
      </c>
      <c r="E22" s="20">
        <f>E19+E20+E21</f>
        <v>61344</v>
      </c>
      <c r="F22" s="20">
        <f>F19+F20+F21</f>
        <v>70898</v>
      </c>
      <c r="G22" s="20">
        <f t="shared" si="0"/>
        <v>61703.030400000003</v>
      </c>
      <c r="H22" s="20">
        <f>H19+H20+H21</f>
        <v>67297.098528000002</v>
      </c>
      <c r="I22" s="20">
        <f t="shared" si="0"/>
        <v>72229.516392000005</v>
      </c>
      <c r="J22" s="20">
        <f t="shared" si="0"/>
        <v>77213.353023047996</v>
      </c>
      <c r="K22" s="20">
        <f t="shared" si="0"/>
        <v>82541.074381638304</v>
      </c>
      <c r="M22" s="24" t="s">
        <v>90</v>
      </c>
    </row>
    <row r="23" spans="3:14">
      <c r="C23" s="6" t="s">
        <v>4</v>
      </c>
      <c r="D23" s="17">
        <v>3999</v>
      </c>
      <c r="E23" s="17">
        <v>5201</v>
      </c>
      <c r="F23" s="17">
        <v>5686</v>
      </c>
      <c r="G23" s="61">
        <f ca="1">G156</f>
        <v>4854.9195263044685</v>
      </c>
      <c r="H23" s="61">
        <f t="shared" ref="H23:K23" ca="1" si="1">H156</f>
        <v>4561.8994569280094</v>
      </c>
      <c r="I23" s="61">
        <f t="shared" ca="1" si="1"/>
        <v>4589.1249697401763</v>
      </c>
      <c r="J23" s="61">
        <f t="shared" ca="1" si="1"/>
        <v>4760.1828905108105</v>
      </c>
      <c r="K23" s="61">
        <f t="shared" ca="1" si="1"/>
        <v>5062.6675721273477</v>
      </c>
      <c r="M23" s="5" t="s">
        <v>95</v>
      </c>
    </row>
    <row r="24" spans="3:14">
      <c r="C24" s="6" t="s">
        <v>17</v>
      </c>
      <c r="D24" s="17">
        <v>-1456</v>
      </c>
      <c r="E24" s="17">
        <v>-2323</v>
      </c>
      <c r="F24" s="17">
        <v>-3240</v>
      </c>
      <c r="G24" s="61">
        <f ca="1">-G142</f>
        <v>-3223.1468651501777</v>
      </c>
      <c r="H24" s="61">
        <f t="shared" ref="H24:K24" ca="1" si="2">-H142</f>
        <v>-3223.5392651501775</v>
      </c>
      <c r="I24" s="61">
        <f t="shared" ca="1" si="2"/>
        <v>-3223.5392651501775</v>
      </c>
      <c r="J24" s="61">
        <f t="shared" ca="1" si="2"/>
        <v>-3223.5392651501775</v>
      </c>
      <c r="K24" s="61">
        <f t="shared" ca="1" si="2"/>
        <v>-3223.5392651501775</v>
      </c>
      <c r="M24" s="5" t="s">
        <v>94</v>
      </c>
    </row>
    <row r="25" spans="3:14">
      <c r="C25" s="21" t="s">
        <v>53</v>
      </c>
      <c r="D25" s="17">
        <v>-1195</v>
      </c>
      <c r="E25" s="17">
        <v>-133</v>
      </c>
      <c r="F25" s="17">
        <v>-441</v>
      </c>
      <c r="G25" s="61">
        <f>F25</f>
        <v>-441</v>
      </c>
      <c r="H25" s="61">
        <f>G25</f>
        <v>-441</v>
      </c>
      <c r="I25" s="61">
        <f>H25</f>
        <v>-441</v>
      </c>
      <c r="J25" s="61">
        <f>I25</f>
        <v>-441</v>
      </c>
      <c r="K25" s="61">
        <f>J25</f>
        <v>-441</v>
      </c>
      <c r="M25" s="5" t="s">
        <v>91</v>
      </c>
    </row>
    <row r="26" spans="3:14">
      <c r="C26" s="19" t="s">
        <v>12</v>
      </c>
      <c r="D26" s="20">
        <f t="shared" ref="D26:K26" si="3">SUM(D22:D25)</f>
        <v>61372</v>
      </c>
      <c r="E26" s="20">
        <f>SUM(E22:E25)</f>
        <v>64089</v>
      </c>
      <c r="F26" s="20">
        <f>SUM(F22:F25)</f>
        <v>72903</v>
      </c>
      <c r="G26" s="20">
        <f ca="1">SUM(G22:G25)</f>
        <v>62893.803061154293</v>
      </c>
      <c r="H26" s="20">
        <f ca="1">SUM(H22:H25)</f>
        <v>68194.458719777831</v>
      </c>
      <c r="I26" s="20">
        <f t="shared" ca="1" si="3"/>
        <v>73154.10209659001</v>
      </c>
      <c r="J26" s="20">
        <f t="shared" ca="1" si="3"/>
        <v>78308.996648408633</v>
      </c>
      <c r="K26" s="20">
        <f t="shared" ca="1" si="3"/>
        <v>83939.202688615478</v>
      </c>
      <c r="M26" s="24" t="s">
        <v>96</v>
      </c>
      <c r="N26" s="24"/>
    </row>
    <row r="27" spans="3:14">
      <c r="C27" s="6" t="s">
        <v>15</v>
      </c>
      <c r="D27" s="17">
        <v>-15685</v>
      </c>
      <c r="E27" s="17">
        <v>-15738</v>
      </c>
      <c r="F27" s="17">
        <v>-13372</v>
      </c>
      <c r="G27" s="63">
        <f ca="1">-G40*G26</f>
        <v>-10503.265111212768</v>
      </c>
      <c r="H27" s="63">
        <f ca="1">-H40*H26</f>
        <v>-11593.057982362232</v>
      </c>
      <c r="I27" s="63">
        <f ca="1">-I40*I26</f>
        <v>-12363.043254323713</v>
      </c>
      <c r="J27" s="63">
        <f ca="1">-J40*J26</f>
        <v>-13234.22043358106</v>
      </c>
      <c r="K27" s="63">
        <f ca="1">-K40*K26</f>
        <v>-14185.725254376017</v>
      </c>
      <c r="M27" s="5" t="s">
        <v>92</v>
      </c>
    </row>
    <row r="28" spans="3:14">
      <c r="C28" s="19" t="s">
        <v>2</v>
      </c>
      <c r="D28" s="23">
        <f t="shared" ref="D28" si="4">SUM(D26:D27)</f>
        <v>45687</v>
      </c>
      <c r="E28" s="23">
        <f t="shared" ref="E28:K28" si="5">SUM(E26:E27)</f>
        <v>48351</v>
      </c>
      <c r="F28" s="23">
        <f t="shared" si="5"/>
        <v>59531</v>
      </c>
      <c r="G28" s="20">
        <f t="shared" ca="1" si="5"/>
        <v>52390.537949941528</v>
      </c>
      <c r="H28" s="20">
        <f t="shared" ca="1" si="5"/>
        <v>56601.400737415599</v>
      </c>
      <c r="I28" s="20">
        <f t="shared" ca="1" si="5"/>
        <v>60791.058842266299</v>
      </c>
      <c r="J28" s="20">
        <f t="shared" ca="1" si="5"/>
        <v>65074.776214827572</v>
      </c>
      <c r="K28" s="20">
        <f t="shared" ca="1" si="5"/>
        <v>69753.477434239467</v>
      </c>
      <c r="M28" s="24" t="s">
        <v>93</v>
      </c>
    </row>
    <row r="29" spans="3:14">
      <c r="C29" s="28"/>
      <c r="D29" s="34"/>
      <c r="E29" s="34"/>
      <c r="F29" s="34"/>
      <c r="G29" s="34"/>
      <c r="H29" s="34"/>
      <c r="I29" s="34"/>
      <c r="J29" s="34"/>
      <c r="K29" s="34"/>
    </row>
    <row r="30" spans="3:14">
      <c r="C30" s="72" t="s">
        <v>49</v>
      </c>
      <c r="D30" s="3">
        <v>10505</v>
      </c>
      <c r="E30" s="3">
        <v>10157</v>
      </c>
      <c r="F30" s="3">
        <v>10903</v>
      </c>
      <c r="G30" s="57">
        <f>G106</f>
        <v>11085.020171261172</v>
      </c>
      <c r="H30" s="57">
        <f>H106</f>
        <v>11711.890744865921</v>
      </c>
      <c r="I30" s="57">
        <f>I106</f>
        <v>12226.380531123083</v>
      </c>
      <c r="J30" s="57">
        <f>J106</f>
        <v>13365.451007770575</v>
      </c>
      <c r="K30" s="57">
        <f>K106</f>
        <v>14603.503412486743</v>
      </c>
      <c r="M30" s="5" t="s">
        <v>159</v>
      </c>
    </row>
    <row r="31" spans="3:14">
      <c r="C31" s="73" t="s">
        <v>47</v>
      </c>
      <c r="D31" s="69">
        <f t="shared" ref="D31:K31" si="6">D22+D30</f>
        <v>70529</v>
      </c>
      <c r="E31" s="69">
        <f>E22+E30</f>
        <v>71501</v>
      </c>
      <c r="F31" s="69">
        <f>F22+F30</f>
        <v>81801</v>
      </c>
      <c r="G31" s="186">
        <f t="shared" si="6"/>
        <v>72788.050571261178</v>
      </c>
      <c r="H31" s="186">
        <f t="shared" si="6"/>
        <v>79008.989272865918</v>
      </c>
      <c r="I31" s="186">
        <f t="shared" si="6"/>
        <v>84455.896923123088</v>
      </c>
      <c r="J31" s="186">
        <f t="shared" si="6"/>
        <v>90578.804030818574</v>
      </c>
      <c r="K31" s="186">
        <f t="shared" si="6"/>
        <v>97144.577794125042</v>
      </c>
      <c r="M31" s="24" t="s">
        <v>97</v>
      </c>
    </row>
    <row r="32" spans="3:14">
      <c r="C32" s="72" t="s">
        <v>74</v>
      </c>
      <c r="D32" s="3">
        <v>4210</v>
      </c>
      <c r="E32" s="3">
        <v>4840</v>
      </c>
      <c r="F32" s="3">
        <v>5340</v>
      </c>
      <c r="G32" s="57">
        <f>F32*(1+G36)</f>
        <v>5126.3999999999996</v>
      </c>
      <c r="H32" s="57">
        <f>G32*(1+H36)</f>
        <v>5433.9839999999995</v>
      </c>
      <c r="I32" s="57">
        <f>H32*(1+I36)</f>
        <v>5808.9288959999994</v>
      </c>
      <c r="J32" s="57">
        <f>I32*(1+J36)</f>
        <v>6209.7449898239993</v>
      </c>
      <c r="K32" s="57">
        <f>J32*(1+K36)</f>
        <v>6638.2173941218552</v>
      </c>
      <c r="M32" s="5" t="s">
        <v>99</v>
      </c>
    </row>
    <row r="33" spans="3:20">
      <c r="C33" s="73" t="s">
        <v>72</v>
      </c>
      <c r="D33" s="69">
        <f t="shared" ref="D33:K33" si="7">SUM(D31:D32)</f>
        <v>74739</v>
      </c>
      <c r="E33" s="69">
        <f>SUM(E31:E32)</f>
        <v>76341</v>
      </c>
      <c r="F33" s="69">
        <f>SUM(F31:F32)</f>
        <v>87141</v>
      </c>
      <c r="G33" s="186">
        <f t="shared" si="7"/>
        <v>77914.450571261172</v>
      </c>
      <c r="H33" s="186">
        <f t="shared" si="7"/>
        <v>84442.973272865915</v>
      </c>
      <c r="I33" s="186">
        <f t="shared" si="7"/>
        <v>90264.825819123085</v>
      </c>
      <c r="J33" s="186">
        <f t="shared" si="7"/>
        <v>96788.549020642575</v>
      </c>
      <c r="K33" s="186">
        <f t="shared" si="7"/>
        <v>103782.79518824689</v>
      </c>
      <c r="M33" s="24" t="s">
        <v>98</v>
      </c>
    </row>
    <row r="34" spans="3:20">
      <c r="C34" s="28"/>
      <c r="G34" s="58"/>
    </row>
    <row r="35" spans="3:20">
      <c r="C35" s="25" t="s">
        <v>18</v>
      </c>
    </row>
    <row r="36" spans="3:20">
      <c r="C36" s="26" t="s">
        <v>1</v>
      </c>
      <c r="D36" s="27"/>
      <c r="E36" s="27">
        <f>E17/D17-1</f>
        <v>6.304518199398057E-2</v>
      </c>
      <c r="F36" s="27">
        <f>F17/E17-1</f>
        <v>0.15861957650261305</v>
      </c>
      <c r="G36" s="66">
        <v>-0.04</v>
      </c>
      <c r="H36" s="66">
        <v>0.06</v>
      </c>
      <c r="I36" s="66">
        <v>6.9000000000000006E-2</v>
      </c>
      <c r="J36" s="27">
        <f t="shared" ref="J36:K40" si="8">I36</f>
        <v>6.9000000000000006E-2</v>
      </c>
      <c r="K36" s="27">
        <f t="shared" si="8"/>
        <v>6.9000000000000006E-2</v>
      </c>
      <c r="M36" s="5" t="s">
        <v>151</v>
      </c>
      <c r="O36" s="59"/>
      <c r="P36" s="59"/>
      <c r="Q36" s="59"/>
      <c r="R36" s="59"/>
      <c r="S36" s="59"/>
      <c r="T36" s="59"/>
    </row>
    <row r="37" spans="3:20">
      <c r="C37" s="26" t="s">
        <v>231</v>
      </c>
      <c r="D37" s="27">
        <f>D19/D17</f>
        <v>0.39075955648097049</v>
      </c>
      <c r="E37" s="27">
        <f>E19/E17</f>
        <v>0.38469860491899105</v>
      </c>
      <c r="F37" s="27">
        <f>F19/F17</f>
        <v>0.38343718820007905</v>
      </c>
      <c r="G37" s="66">
        <v>0.378</v>
      </c>
      <c r="H37" s="66">
        <v>0.38100000000000001</v>
      </c>
      <c r="I37" s="66">
        <v>0.38200000000000001</v>
      </c>
      <c r="J37" s="27">
        <f t="shared" si="8"/>
        <v>0.38200000000000001</v>
      </c>
      <c r="K37" s="27">
        <f t="shared" si="8"/>
        <v>0.38200000000000001</v>
      </c>
      <c r="M37" s="5" t="s">
        <v>152</v>
      </c>
      <c r="O37" s="59"/>
      <c r="P37" s="59"/>
      <c r="Q37" s="59"/>
      <c r="R37" s="59"/>
      <c r="S37" s="59"/>
      <c r="T37" s="59"/>
    </row>
    <row r="38" spans="3:20">
      <c r="C38" s="26" t="s">
        <v>232</v>
      </c>
      <c r="D38" s="27">
        <f>-D20/D17</f>
        <v>4.6582482760539605E-2</v>
      </c>
      <c r="E38" s="27">
        <f>-E20/E17</f>
        <v>5.0520428906706681E-2</v>
      </c>
      <c r="F38" s="27">
        <f>-F20/F17</f>
        <v>5.3600406634161032E-2</v>
      </c>
      <c r="G38" s="66">
        <v>6.2E-2</v>
      </c>
      <c r="H38" s="66">
        <v>6.3E-2</v>
      </c>
      <c r="I38" s="66">
        <v>6.3E-2</v>
      </c>
      <c r="J38" s="27">
        <f t="shared" si="8"/>
        <v>6.3E-2</v>
      </c>
      <c r="K38" s="27">
        <f t="shared" si="8"/>
        <v>6.3E-2</v>
      </c>
      <c r="M38" s="5" t="s">
        <v>153</v>
      </c>
      <c r="O38" s="59"/>
      <c r="P38" s="59"/>
      <c r="Q38" s="59"/>
      <c r="R38" s="59"/>
      <c r="S38" s="59"/>
      <c r="T38" s="59"/>
    </row>
    <row r="39" spans="3:20">
      <c r="C39" s="26" t="s">
        <v>234</v>
      </c>
      <c r="D39" s="27">
        <f>-D21/D17</f>
        <v>6.5822972653369755E-2</v>
      </c>
      <c r="E39" s="27">
        <f>-E21/E17</f>
        <v>6.6573893924984945E-2</v>
      </c>
      <c r="F39" s="27">
        <f>-F21/F17</f>
        <v>6.2896515371147807E-2</v>
      </c>
      <c r="G39" s="66">
        <v>7.3999999999999996E-2</v>
      </c>
      <c r="H39" s="66">
        <v>6.9000000000000006E-2</v>
      </c>
      <c r="I39" s="66">
        <v>6.9000000000000006E-2</v>
      </c>
      <c r="J39" s="27">
        <f t="shared" si="8"/>
        <v>6.9000000000000006E-2</v>
      </c>
      <c r="K39" s="27">
        <f t="shared" si="8"/>
        <v>6.9000000000000006E-2</v>
      </c>
      <c r="M39" s="5" t="s">
        <v>153</v>
      </c>
      <c r="O39" s="59"/>
      <c r="P39" s="59"/>
      <c r="Q39" s="59"/>
      <c r="R39" s="59"/>
      <c r="S39" s="59"/>
      <c r="T39" s="59"/>
    </row>
    <row r="40" spans="3:20">
      <c r="C40" s="26" t="s">
        <v>0</v>
      </c>
      <c r="D40" s="27">
        <f>-(D27/D26)</f>
        <v>0.25557257381216192</v>
      </c>
      <c r="E40" s="27">
        <f>-(E27/E26)</f>
        <v>0.24556476150353415</v>
      </c>
      <c r="F40" s="27">
        <f>-(F27/F26)</f>
        <v>0.18342180705869443</v>
      </c>
      <c r="G40" s="66">
        <v>0.16700000000000001</v>
      </c>
      <c r="H40" s="66">
        <v>0.17</v>
      </c>
      <c r="I40" s="66">
        <v>0.16900000000000001</v>
      </c>
      <c r="J40" s="27">
        <f t="shared" si="8"/>
        <v>0.16900000000000001</v>
      </c>
      <c r="K40" s="27">
        <f t="shared" si="8"/>
        <v>0.16900000000000001</v>
      </c>
      <c r="M40" s="5" t="s">
        <v>153</v>
      </c>
      <c r="O40" s="29"/>
      <c r="P40" s="29"/>
      <c r="Q40" s="29"/>
      <c r="R40" s="29"/>
      <c r="S40" s="29"/>
      <c r="T40" s="29"/>
    </row>
    <row r="41" spans="3:20">
      <c r="C41" s="28"/>
      <c r="G41" s="58"/>
    </row>
    <row r="42" spans="3:20">
      <c r="C42" s="7" t="s">
        <v>20</v>
      </c>
      <c r="D42" s="13"/>
      <c r="E42" s="13"/>
      <c r="F42" s="13"/>
      <c r="G42" s="9"/>
      <c r="H42" s="9"/>
      <c r="I42" s="9"/>
      <c r="J42" s="9"/>
      <c r="K42" s="9"/>
    </row>
    <row r="43" spans="3:20">
      <c r="C43" s="35" t="str">
        <f>C14</f>
        <v xml:space="preserve">Fiscal year  </v>
      </c>
      <c r="D43" s="30"/>
      <c r="E43" s="30">
        <f t="shared" ref="E43:K44" si="9">E14</f>
        <v>2017</v>
      </c>
      <c r="F43" s="30">
        <f t="shared" si="9"/>
        <v>2018</v>
      </c>
      <c r="G43" s="31">
        <f t="shared" si="9"/>
        <v>2019</v>
      </c>
      <c r="H43" s="31">
        <f t="shared" si="9"/>
        <v>2020</v>
      </c>
      <c r="I43" s="31">
        <f t="shared" si="9"/>
        <v>2021</v>
      </c>
      <c r="J43" s="31">
        <f t="shared" si="9"/>
        <v>2022</v>
      </c>
      <c r="K43" s="31">
        <f t="shared" si="9"/>
        <v>2023</v>
      </c>
    </row>
    <row r="44" spans="3:20">
      <c r="C44" s="9" t="str">
        <f>C15</f>
        <v>Fiscal year end date</v>
      </c>
      <c r="D44" s="32"/>
      <c r="E44" s="32">
        <f t="shared" si="9"/>
        <v>43008</v>
      </c>
      <c r="F44" s="32">
        <f t="shared" si="9"/>
        <v>43372</v>
      </c>
      <c r="G44" s="32">
        <f t="shared" si="9"/>
        <v>43738</v>
      </c>
      <c r="H44" s="32">
        <f t="shared" si="9"/>
        <v>44104</v>
      </c>
      <c r="I44" s="32">
        <f t="shared" si="9"/>
        <v>44469</v>
      </c>
      <c r="J44" s="32">
        <f t="shared" si="9"/>
        <v>44834</v>
      </c>
      <c r="K44" s="32">
        <f t="shared" si="9"/>
        <v>45199</v>
      </c>
    </row>
    <row r="45" spans="3:20">
      <c r="C45" s="5" t="s">
        <v>138</v>
      </c>
      <c r="D45" s="36"/>
      <c r="E45" s="36">
        <f>20289+53892+194714</f>
        <v>268895</v>
      </c>
      <c r="F45" s="36">
        <f>25913+40388+170799</f>
        <v>237100</v>
      </c>
      <c r="G45" s="193">
        <f ca="1">G90+F45</f>
        <v>212429.58576893221</v>
      </c>
      <c r="H45" s="193">
        <f ca="1">H90+G45</f>
        <v>209968.51209477236</v>
      </c>
      <c r="I45" s="193">
        <f ca="1">I90+H45</f>
        <v>214950.46658487356</v>
      </c>
      <c r="J45" s="193">
        <f ca="1">J90+I45</f>
        <v>225807.2084624237</v>
      </c>
      <c r="K45" s="193">
        <f ca="1">K90+J45</f>
        <v>242958.30747529364</v>
      </c>
      <c r="M45" s="5" t="s">
        <v>118</v>
      </c>
    </row>
    <row r="46" spans="3:20">
      <c r="C46" s="5" t="s">
        <v>54</v>
      </c>
      <c r="D46" s="36"/>
      <c r="E46" s="36">
        <v>17874</v>
      </c>
      <c r="F46" s="36">
        <v>23186</v>
      </c>
      <c r="G46" s="193">
        <f>F46*(1+G36)</f>
        <v>22258.559999999998</v>
      </c>
      <c r="H46" s="193">
        <f>G46*(1+H36)</f>
        <v>23594.0736</v>
      </c>
      <c r="I46" s="193">
        <f>H46*(1+I36)</f>
        <v>25222.064678399998</v>
      </c>
      <c r="J46" s="193">
        <f>I46*(1+J36)</f>
        <v>26962.387141209598</v>
      </c>
      <c r="K46" s="193">
        <f>J46*(1+K36)</f>
        <v>28822.791853953058</v>
      </c>
      <c r="M46" s="5" t="s">
        <v>103</v>
      </c>
    </row>
    <row r="47" spans="3:20">
      <c r="C47" s="5" t="s">
        <v>55</v>
      </c>
      <c r="D47" s="36"/>
      <c r="E47" s="36">
        <v>4855</v>
      </c>
      <c r="F47" s="36">
        <v>3956</v>
      </c>
      <c r="G47" s="193">
        <f>F47*G18/F18</f>
        <v>3831.2507254598299</v>
      </c>
      <c r="H47" s="193">
        <f>G47*H18/G18</f>
        <v>4041.5383456643303</v>
      </c>
      <c r="I47" s="193">
        <f>H47*I18/H18</f>
        <v>4313.4248396710409</v>
      </c>
      <c r="J47" s="193">
        <f>I47*J18/I18</f>
        <v>4611.0511536083422</v>
      </c>
      <c r="K47" s="193">
        <f>J47*K18/J18</f>
        <v>4929.2136832073174</v>
      </c>
      <c r="M47" s="5" t="s">
        <v>104</v>
      </c>
    </row>
    <row r="48" spans="3:20">
      <c r="C48" s="6" t="s">
        <v>108</v>
      </c>
      <c r="D48" s="37"/>
      <c r="E48" s="37">
        <f>17799+13936</f>
        <v>31735</v>
      </c>
      <c r="F48" s="37">
        <f>25809+12087</f>
        <v>37896</v>
      </c>
      <c r="G48" s="193">
        <f>F48*(1+G36)</f>
        <v>36380.159999999996</v>
      </c>
      <c r="H48" s="193">
        <f>G48*(1+H36)</f>
        <v>38562.969599999997</v>
      </c>
      <c r="I48" s="193">
        <f>H48*(1+I36)</f>
        <v>41223.814502399997</v>
      </c>
      <c r="J48" s="193">
        <f>I48*(1+J36)</f>
        <v>44068.257703065596</v>
      </c>
      <c r="K48" s="193">
        <f>J48*(1+K36)</f>
        <v>47108.967484577122</v>
      </c>
      <c r="M48" s="5" t="s">
        <v>103</v>
      </c>
      <c r="N48" s="34"/>
    </row>
    <row r="49" spans="3:14">
      <c r="C49" s="21" t="s">
        <v>21</v>
      </c>
      <c r="D49" s="37"/>
      <c r="E49" s="37">
        <v>33783</v>
      </c>
      <c r="F49" s="37">
        <v>41304</v>
      </c>
      <c r="G49" s="193">
        <f>G99</f>
        <v>45042.85982873883</v>
      </c>
      <c r="H49" s="193">
        <f t="shared" ref="H49:K49" si="10">H99</f>
        <v>48611.181883872909</v>
      </c>
      <c r="I49" s="193">
        <f t="shared" si="10"/>
        <v>51947.567835949827</v>
      </c>
      <c r="J49" s="193">
        <f t="shared" si="10"/>
        <v>55218.714198720052</v>
      </c>
      <c r="K49" s="193">
        <f t="shared" si="10"/>
        <v>58399.73337534142</v>
      </c>
      <c r="M49" s="5" t="s">
        <v>105</v>
      </c>
    </row>
    <row r="50" spans="3:14">
      <c r="C50" s="21" t="s">
        <v>56</v>
      </c>
      <c r="D50" s="37"/>
      <c r="E50" s="37">
        <v>18177</v>
      </c>
      <c r="F50" s="37">
        <v>22283</v>
      </c>
      <c r="G50" s="193">
        <f>F50*(1+G36)</f>
        <v>21391.68</v>
      </c>
      <c r="H50" s="193">
        <f>G50*(1+H36)</f>
        <v>22675.180800000002</v>
      </c>
      <c r="I50" s="193">
        <f>H50*(1+I36)</f>
        <v>24239.7682752</v>
      </c>
      <c r="J50" s="193">
        <f>I50*(1+J36)</f>
        <v>25912.3122861888</v>
      </c>
      <c r="K50" s="193">
        <f>J50*(1+K36)</f>
        <v>27700.261833935827</v>
      </c>
      <c r="M50" s="5" t="s">
        <v>103</v>
      </c>
    </row>
    <row r="51" spans="3:14">
      <c r="C51" s="39" t="s">
        <v>22</v>
      </c>
      <c r="D51" s="40"/>
      <c r="E51" s="40">
        <f t="shared" ref="E51:K51" si="11">SUM(E45:E50)</f>
        <v>375319</v>
      </c>
      <c r="F51" s="40">
        <f t="shared" si="11"/>
        <v>365725</v>
      </c>
      <c r="G51" s="194">
        <f t="shared" ca="1" si="11"/>
        <v>341334.09632313089</v>
      </c>
      <c r="H51" s="194">
        <f t="shared" ca="1" si="11"/>
        <v>347453.45632430958</v>
      </c>
      <c r="I51" s="194">
        <f t="shared" ca="1" si="11"/>
        <v>361897.10671649437</v>
      </c>
      <c r="J51" s="194">
        <f t="shared" ca="1" si="11"/>
        <v>382579.9309452161</v>
      </c>
      <c r="K51" s="194">
        <f t="shared" ca="1" si="11"/>
        <v>409919.27570630837</v>
      </c>
    </row>
    <row r="52" spans="3:14">
      <c r="C52" s="41"/>
      <c r="D52" s="42"/>
      <c r="E52" s="42"/>
      <c r="F52" s="42"/>
      <c r="G52" s="193"/>
      <c r="H52" s="193"/>
      <c r="I52" s="193"/>
      <c r="J52" s="193"/>
      <c r="K52" s="193"/>
    </row>
    <row r="53" spans="3:14">
      <c r="C53" s="41" t="s">
        <v>57</v>
      </c>
      <c r="D53" s="37"/>
      <c r="E53" s="37">
        <v>44242</v>
      </c>
      <c r="F53" s="37">
        <v>55888</v>
      </c>
      <c r="G53" s="193">
        <f>F53*G18/F18</f>
        <v>54125.616922269706</v>
      </c>
      <c r="H53" s="193">
        <f t="shared" ref="H53:K53" si="12">G53*H18/G18</f>
        <v>57096.434545623881</v>
      </c>
      <c r="I53" s="193">
        <f t="shared" si="12"/>
        <v>60937.484185928995</v>
      </c>
      <c r="J53" s="193">
        <f t="shared" si="12"/>
        <v>65142.170594758099</v>
      </c>
      <c r="K53" s="193">
        <f t="shared" si="12"/>
        <v>69636.980365796408</v>
      </c>
      <c r="M53" s="5" t="s">
        <v>104</v>
      </c>
    </row>
    <row r="54" spans="3:14">
      <c r="C54" s="41" t="s">
        <v>117</v>
      </c>
      <c r="D54" s="37"/>
      <c r="E54" s="37">
        <v>30551</v>
      </c>
      <c r="F54" s="37">
        <v>32687</v>
      </c>
      <c r="G54" s="193">
        <f>F54*(1+G36)</f>
        <v>31379.52</v>
      </c>
      <c r="H54" s="193">
        <f t="shared" ref="H54:K54" si="13">G54*(1+H36)</f>
        <v>33262.2912</v>
      </c>
      <c r="I54" s="193">
        <f t="shared" si="13"/>
        <v>35557.389292799999</v>
      </c>
      <c r="J54" s="193">
        <f t="shared" si="13"/>
        <v>38010.849154003197</v>
      </c>
      <c r="K54" s="193">
        <f t="shared" si="13"/>
        <v>40633.597745629413</v>
      </c>
      <c r="M54" s="5" t="s">
        <v>103</v>
      </c>
    </row>
    <row r="55" spans="3:14">
      <c r="C55" s="41" t="s">
        <v>58</v>
      </c>
      <c r="D55" s="37"/>
      <c r="E55" s="37">
        <f>7548+2836</f>
        <v>10384</v>
      </c>
      <c r="F55" s="37">
        <f>7543+2797</f>
        <v>10340</v>
      </c>
      <c r="G55" s="193">
        <f>F55*(1+G36)</f>
        <v>9926.4</v>
      </c>
      <c r="H55" s="193">
        <f t="shared" ref="H55:K55" si="14">G55*(1+H36)</f>
        <v>10521.984</v>
      </c>
      <c r="I55" s="193">
        <f t="shared" si="14"/>
        <v>11248.000896</v>
      </c>
      <c r="J55" s="193">
        <f t="shared" si="14"/>
        <v>12024.112957824</v>
      </c>
      <c r="K55" s="193">
        <f t="shared" si="14"/>
        <v>12853.776751913854</v>
      </c>
      <c r="M55" s="5" t="s">
        <v>103</v>
      </c>
      <c r="N55" s="34"/>
    </row>
    <row r="56" spans="3:14">
      <c r="C56" s="41" t="s">
        <v>60</v>
      </c>
      <c r="D56" s="37"/>
      <c r="E56" s="37">
        <v>11977</v>
      </c>
      <c r="F56" s="37">
        <v>11964</v>
      </c>
      <c r="G56" s="193">
        <f ca="1">G135</f>
        <v>12000</v>
      </c>
      <c r="H56" s="193">
        <f ca="1">H135</f>
        <v>12000</v>
      </c>
      <c r="I56" s="193">
        <f ca="1">I135</f>
        <v>12000</v>
      </c>
      <c r="J56" s="193">
        <f ca="1">J135</f>
        <v>12000</v>
      </c>
      <c r="K56" s="193">
        <f ca="1">K135</f>
        <v>12000</v>
      </c>
      <c r="M56" s="5" t="s">
        <v>187</v>
      </c>
    </row>
    <row r="57" spans="3:14">
      <c r="C57" s="41" t="s">
        <v>122</v>
      </c>
      <c r="D57" s="37"/>
      <c r="E57" s="37">
        <f>6496+97207</f>
        <v>103703</v>
      </c>
      <c r="F57" s="37">
        <f>8784+93735</f>
        <v>102519</v>
      </c>
      <c r="G57" s="193">
        <f t="shared" ref="G57:K57" si="15">F57</f>
        <v>102519</v>
      </c>
      <c r="H57" s="193">
        <f t="shared" si="15"/>
        <v>102519</v>
      </c>
      <c r="I57" s="193">
        <f t="shared" si="15"/>
        <v>102519</v>
      </c>
      <c r="J57" s="193">
        <f t="shared" si="15"/>
        <v>102519</v>
      </c>
      <c r="K57" s="193">
        <f t="shared" si="15"/>
        <v>102519</v>
      </c>
      <c r="M57" s="5" t="s">
        <v>100</v>
      </c>
    </row>
    <row r="58" spans="3:14" ht="15.75" customHeight="1">
      <c r="C58" s="41" t="s">
        <v>59</v>
      </c>
      <c r="D58" s="37"/>
      <c r="E58" s="37">
        <v>40415</v>
      </c>
      <c r="F58" s="37">
        <v>45180</v>
      </c>
      <c r="G58" s="193">
        <f>F58*(1+G36)</f>
        <v>43372.799999999996</v>
      </c>
      <c r="H58" s="193">
        <f t="shared" ref="H58:K58" si="16">G58*(1+H36)</f>
        <v>45975.167999999998</v>
      </c>
      <c r="I58" s="193">
        <f t="shared" si="16"/>
        <v>49147.454591999995</v>
      </c>
      <c r="J58" s="193">
        <f t="shared" si="16"/>
        <v>52538.628958847992</v>
      </c>
      <c r="K58" s="193">
        <f t="shared" si="16"/>
        <v>56163.794357008504</v>
      </c>
      <c r="L58" s="6"/>
      <c r="M58" t="s">
        <v>103</v>
      </c>
    </row>
    <row r="59" spans="3:14">
      <c r="C59" s="39" t="s">
        <v>24</v>
      </c>
      <c r="D59" s="43"/>
      <c r="E59" s="43">
        <f t="shared" ref="E59:K59" si="17">SUM(E53:E58)</f>
        <v>241272</v>
      </c>
      <c r="F59" s="43">
        <f t="shared" si="17"/>
        <v>258578</v>
      </c>
      <c r="G59" s="194">
        <f t="shared" ca="1" si="17"/>
        <v>253323.33692226969</v>
      </c>
      <c r="H59" s="194">
        <f t="shared" ca="1" si="17"/>
        <v>261374.87774562387</v>
      </c>
      <c r="I59" s="194">
        <f t="shared" ca="1" si="17"/>
        <v>271409.32896672899</v>
      </c>
      <c r="J59" s="194">
        <f t="shared" ca="1" si="17"/>
        <v>282234.7616654333</v>
      </c>
      <c r="K59" s="194">
        <f t="shared" ca="1" si="17"/>
        <v>293807.14922034822</v>
      </c>
    </row>
    <row r="60" spans="3:14">
      <c r="C60" s="39"/>
      <c r="D60" s="43"/>
      <c r="E60" s="43"/>
      <c r="F60" s="43"/>
      <c r="G60" s="57"/>
      <c r="H60" s="57"/>
      <c r="I60" s="57"/>
      <c r="J60" s="57"/>
      <c r="K60" s="57"/>
    </row>
    <row r="61" spans="3:14">
      <c r="C61" s="41" t="s">
        <v>61</v>
      </c>
      <c r="D61" s="37"/>
      <c r="E61" s="37">
        <v>35867</v>
      </c>
      <c r="F61" s="3">
        <v>40201</v>
      </c>
      <c r="G61" s="193">
        <f>F61</f>
        <v>40201</v>
      </c>
      <c r="H61" s="193">
        <f t="shared" ref="H61:K61" si="18">G61</f>
        <v>40201</v>
      </c>
      <c r="I61" s="193">
        <f t="shared" si="18"/>
        <v>40201</v>
      </c>
      <c r="J61" s="193">
        <f t="shared" si="18"/>
        <v>40201</v>
      </c>
      <c r="K61" s="193">
        <f t="shared" si="18"/>
        <v>40201</v>
      </c>
      <c r="M61" s="5" t="s">
        <v>155</v>
      </c>
    </row>
    <row r="62" spans="3:14" ht="15.75" customHeight="1">
      <c r="C62" s="41" t="s">
        <v>44</v>
      </c>
      <c r="D62" s="38"/>
      <c r="E62" s="38">
        <f>98330</f>
        <v>98330</v>
      </c>
      <c r="F62" s="3">
        <v>70400</v>
      </c>
      <c r="G62" s="193">
        <f ca="1">G116+G117+G118</f>
        <v>-34400.462050058472</v>
      </c>
      <c r="H62" s="193">
        <f t="shared" ref="H62:K62" ca="1" si="19">H116+H117+H118</f>
        <v>-30189.599262584401</v>
      </c>
      <c r="I62" s="193">
        <f t="shared" ca="1" si="19"/>
        <v>-25999.941157733701</v>
      </c>
      <c r="J62" s="193">
        <f t="shared" ca="1" si="19"/>
        <v>-21716.223785172428</v>
      </c>
      <c r="K62" s="193">
        <f t="shared" ca="1" si="19"/>
        <v>-17037.522565760533</v>
      </c>
      <c r="M62" s="5" t="s">
        <v>107</v>
      </c>
      <c r="N62" s="34"/>
    </row>
    <row r="63" spans="3:14" ht="15.75" customHeight="1">
      <c r="C63" s="41" t="s">
        <v>121</v>
      </c>
      <c r="D63" s="37"/>
      <c r="E63" s="37">
        <v>-150</v>
      </c>
      <c r="F63" s="3">
        <v>-3454</v>
      </c>
      <c r="G63" s="193">
        <f>F63</f>
        <v>-3454</v>
      </c>
      <c r="H63" s="193">
        <f>G63</f>
        <v>-3454</v>
      </c>
      <c r="I63" s="193">
        <f>H63</f>
        <v>-3454</v>
      </c>
      <c r="J63" s="193">
        <f>I63</f>
        <v>-3454</v>
      </c>
      <c r="K63" s="193">
        <f>J63</f>
        <v>-3454</v>
      </c>
      <c r="M63" s="5" t="s">
        <v>100</v>
      </c>
    </row>
    <row r="64" spans="3:14">
      <c r="C64" s="39" t="s">
        <v>25</v>
      </c>
      <c r="D64" s="44"/>
      <c r="E64" s="44">
        <f t="shared" ref="E64:K64" si="20">SUM(E61:E63)</f>
        <v>134047</v>
      </c>
      <c r="F64" s="44">
        <f t="shared" si="20"/>
        <v>107147</v>
      </c>
      <c r="G64" s="194">
        <f t="shared" ca="1" si="20"/>
        <v>2346.5379499415285</v>
      </c>
      <c r="H64" s="194">
        <f t="shared" ca="1" si="20"/>
        <v>6557.400737415599</v>
      </c>
      <c r="I64" s="194">
        <f t="shared" ca="1" si="20"/>
        <v>10747.058842266299</v>
      </c>
      <c r="J64" s="194">
        <f t="shared" ca="1" si="20"/>
        <v>15030.776214827572</v>
      </c>
      <c r="K64" s="194">
        <f t="shared" ca="1" si="20"/>
        <v>19709.477434239467</v>
      </c>
    </row>
    <row r="65" spans="3:14">
      <c r="C65" s="6"/>
      <c r="D65" s="45"/>
      <c r="E65" s="45"/>
      <c r="F65" s="45"/>
    </row>
    <row r="66" spans="3:14">
      <c r="C66" s="14" t="s">
        <v>26</v>
      </c>
      <c r="D66" s="46"/>
      <c r="E66" s="46">
        <f>ROUND(E51-E59-E64,3)</f>
        <v>0</v>
      </c>
      <c r="F66" s="46">
        <f t="shared" ref="F66:K66" si="21">ROUND(F51-F59-F64,3)</f>
        <v>0</v>
      </c>
      <c r="G66" s="46">
        <f t="shared" ca="1" si="21"/>
        <v>85664.221000000005</v>
      </c>
      <c r="H66" s="46">
        <f t="shared" ca="1" si="21"/>
        <v>79521.178</v>
      </c>
      <c r="I66" s="46">
        <f t="shared" ca="1" si="21"/>
        <v>79740.718999999997</v>
      </c>
      <c r="J66" s="46">
        <f t="shared" ca="1" si="21"/>
        <v>85314.392999999996</v>
      </c>
      <c r="K66" s="46">
        <f t="shared" ca="1" si="21"/>
        <v>96402.649000000005</v>
      </c>
    </row>
    <row r="67" spans="3:14">
      <c r="E67" s="34"/>
      <c r="F67" s="34"/>
      <c r="H67" s="34"/>
      <c r="I67" s="34"/>
      <c r="J67" s="34"/>
      <c r="K67" s="34"/>
    </row>
    <row r="68" spans="3:14">
      <c r="C68" s="7" t="s">
        <v>32</v>
      </c>
      <c r="D68" s="13"/>
      <c r="E68" s="13"/>
      <c r="F68" s="13"/>
      <c r="G68" s="13"/>
      <c r="H68" s="13"/>
      <c r="I68" s="13"/>
      <c r="J68" s="13"/>
      <c r="K68" s="13"/>
    </row>
    <row r="69" spans="3:14">
      <c r="C69" s="35" t="str">
        <f>C14</f>
        <v xml:space="preserve">Fiscal year  </v>
      </c>
      <c r="D69" s="30"/>
      <c r="E69" s="30"/>
      <c r="F69" s="30"/>
      <c r="G69" s="31">
        <f t="shared" ref="G69:K70" si="22">G14</f>
        <v>2019</v>
      </c>
      <c r="H69" s="31">
        <f t="shared" si="22"/>
        <v>2020</v>
      </c>
      <c r="I69" s="31">
        <f t="shared" si="22"/>
        <v>2021</v>
      </c>
      <c r="J69" s="31">
        <f t="shared" si="22"/>
        <v>2022</v>
      </c>
      <c r="K69" s="31">
        <f t="shared" si="22"/>
        <v>2023</v>
      </c>
    </row>
    <row r="70" spans="3:14">
      <c r="C70" s="9" t="str">
        <f>C15</f>
        <v>Fiscal year end date</v>
      </c>
      <c r="D70" s="32"/>
      <c r="E70" s="32"/>
      <c r="F70" s="32"/>
      <c r="G70" s="32">
        <f t="shared" si="22"/>
        <v>43738</v>
      </c>
      <c r="H70" s="32">
        <f t="shared" si="22"/>
        <v>44104</v>
      </c>
      <c r="I70" s="32">
        <f t="shared" si="22"/>
        <v>44469</v>
      </c>
      <c r="J70" s="32">
        <f t="shared" si="22"/>
        <v>44834</v>
      </c>
      <c r="K70" s="32">
        <f t="shared" si="22"/>
        <v>45199</v>
      </c>
    </row>
    <row r="72" spans="3:14">
      <c r="C72" s="6" t="s">
        <v>2</v>
      </c>
      <c r="D72" s="50"/>
      <c r="E72" s="50"/>
      <c r="F72" s="50"/>
      <c r="G72" s="193">
        <f ca="1">G28</f>
        <v>52390.537949941528</v>
      </c>
      <c r="H72" s="193">
        <f t="shared" ref="H72:K72" ca="1" si="23">H28</f>
        <v>56601.400737415599</v>
      </c>
      <c r="I72" s="193">
        <f t="shared" ca="1" si="23"/>
        <v>60791.058842266299</v>
      </c>
      <c r="J72" s="193">
        <f t="shared" ca="1" si="23"/>
        <v>65074.776214827572</v>
      </c>
      <c r="K72" s="193">
        <f t="shared" ca="1" si="23"/>
        <v>69753.477434239467</v>
      </c>
      <c r="M72" s="24"/>
      <c r="N72"/>
    </row>
    <row r="73" spans="3:14">
      <c r="C73" s="6" t="s">
        <v>33</v>
      </c>
      <c r="D73" s="50"/>
      <c r="E73" s="50"/>
      <c r="F73" s="50"/>
      <c r="G73" s="193">
        <f>G30</f>
        <v>11085.020171261172</v>
      </c>
      <c r="H73" s="193">
        <f t="shared" ref="H73:K73" si="24">H30</f>
        <v>11711.890744865921</v>
      </c>
      <c r="I73" s="193">
        <f t="shared" si="24"/>
        <v>12226.380531123083</v>
      </c>
      <c r="J73" s="193">
        <f t="shared" si="24"/>
        <v>13365.451007770575</v>
      </c>
      <c r="K73" s="193">
        <f t="shared" si="24"/>
        <v>14603.503412486743</v>
      </c>
      <c r="M73" s="5" t="s">
        <v>170</v>
      </c>
      <c r="N73"/>
    </row>
    <row r="74" spans="3:14">
      <c r="C74" s="6" t="s">
        <v>74</v>
      </c>
      <c r="D74" s="50"/>
      <c r="E74" s="50"/>
      <c r="F74" s="50"/>
      <c r="G74" s="193">
        <f>G32</f>
        <v>5126.3999999999996</v>
      </c>
      <c r="H74" s="193">
        <f t="shared" ref="H74:K74" si="25">H32</f>
        <v>5433.9839999999995</v>
      </c>
      <c r="I74" s="193">
        <f t="shared" si="25"/>
        <v>5808.9288959999994</v>
      </c>
      <c r="J74" s="193">
        <f t="shared" si="25"/>
        <v>6209.7449898239993</v>
      </c>
      <c r="K74" s="193">
        <f t="shared" si="25"/>
        <v>6638.2173941218552</v>
      </c>
      <c r="N74"/>
    </row>
    <row r="75" spans="3:14">
      <c r="C75" s="6" t="s">
        <v>65</v>
      </c>
      <c r="D75" s="22"/>
      <c r="E75" s="22"/>
      <c r="F75" s="22"/>
      <c r="G75" s="193">
        <f>SUM(G46:G48)-SUM(F46:F48)</f>
        <v>-2568.0292745401748</v>
      </c>
      <c r="H75" s="193">
        <f t="shared" ref="H75:K75" si="26">SUM(H46:H48)-SUM(G46:G48)</f>
        <v>3728.6108202044925</v>
      </c>
      <c r="I75" s="193">
        <f t="shared" si="26"/>
        <v>4560.7224748067092</v>
      </c>
      <c r="J75" s="193">
        <f t="shared" si="26"/>
        <v>4882.3919774125097</v>
      </c>
      <c r="K75" s="193">
        <f t="shared" si="26"/>
        <v>5219.277023853967</v>
      </c>
      <c r="N75"/>
    </row>
    <row r="76" spans="3:14">
      <c r="C76" s="6" t="s">
        <v>66</v>
      </c>
      <c r="D76" s="22"/>
      <c r="E76" s="22"/>
      <c r="F76" s="22"/>
      <c r="G76" s="193">
        <f>SUM(G53:G55)-SUM(F53:F55)</f>
        <v>-3483.4630777302955</v>
      </c>
      <c r="H76" s="193">
        <f>SUM(H53:H55)-SUM(G53:G55)</f>
        <v>5449.1728233541653</v>
      </c>
      <c r="I76" s="193">
        <f>SUM(I53:I55)-SUM(H53:H55)</f>
        <v>6862.1646291051147</v>
      </c>
      <c r="J76" s="193">
        <f>SUM(J53:J55)-SUM(I53:I55)</f>
        <v>7434.2583318562974</v>
      </c>
      <c r="K76" s="193">
        <f>SUM(K53:K55)-SUM(J53:J55)</f>
        <v>7947.2221567544038</v>
      </c>
    </row>
    <row r="77" spans="3:14">
      <c r="C77" s="21" t="s">
        <v>56</v>
      </c>
      <c r="E77" s="6"/>
      <c r="F77" s="6"/>
      <c r="G77" s="193">
        <f>F50-G50</f>
        <v>891.31999999999971</v>
      </c>
      <c r="H77" s="193">
        <f t="shared" ref="H77:K77" si="27">G50-H50</f>
        <v>-1283.5008000000016</v>
      </c>
      <c r="I77" s="193">
        <f t="shared" si="27"/>
        <v>-1564.5874751999982</v>
      </c>
      <c r="J77" s="193">
        <f t="shared" si="27"/>
        <v>-1672.5440109888004</v>
      </c>
      <c r="K77" s="193">
        <f t="shared" si="27"/>
        <v>-1787.9495477470264</v>
      </c>
      <c r="L77" s="6"/>
      <c r="M77" s="5" t="s">
        <v>171</v>
      </c>
    </row>
    <row r="78" spans="3:14">
      <c r="C78" s="21" t="s">
        <v>59</v>
      </c>
      <c r="E78" s="6"/>
      <c r="F78" s="6"/>
      <c r="G78" s="193">
        <f>G58-F58</f>
        <v>-1807.2000000000044</v>
      </c>
      <c r="H78" s="193">
        <f t="shared" ref="H78:K78" si="28">H58-G58</f>
        <v>2602.3680000000022</v>
      </c>
      <c r="I78" s="193">
        <f t="shared" si="28"/>
        <v>3172.2865919999967</v>
      </c>
      <c r="J78" s="193">
        <f t="shared" si="28"/>
        <v>3391.1743668479976</v>
      </c>
      <c r="K78" s="193">
        <f t="shared" si="28"/>
        <v>3625.1653981605123</v>
      </c>
      <c r="L78" s="6"/>
      <c r="M78" s="24"/>
    </row>
    <row r="79" spans="3:14">
      <c r="C79" s="19" t="s">
        <v>34</v>
      </c>
      <c r="G79" s="194">
        <f ca="1">SUM(G72:G78)</f>
        <v>61634.585768932215</v>
      </c>
      <c r="H79" s="194">
        <f ca="1">SUM(H72:H78)</f>
        <v>84243.926325840162</v>
      </c>
      <c r="I79" s="194">
        <f ca="1">SUM(I72:I78)</f>
        <v>91856.954490101198</v>
      </c>
      <c r="J79" s="194">
        <f ca="1">SUM(J72:J78)</f>
        <v>98685.252877550141</v>
      </c>
      <c r="K79" s="194">
        <f ca="1">SUM(K72:K78)</f>
        <v>105998.91327186991</v>
      </c>
    </row>
    <row r="80" spans="3:14">
      <c r="C80" s="6"/>
      <c r="G80" s="57"/>
      <c r="H80" s="57"/>
      <c r="I80" s="57"/>
      <c r="J80" s="57"/>
      <c r="K80" s="57"/>
    </row>
    <row r="81" spans="3:13">
      <c r="C81" s="6" t="s">
        <v>35</v>
      </c>
      <c r="G81" s="193">
        <f>-(G97)</f>
        <v>-13285</v>
      </c>
      <c r="H81" s="193">
        <f t="shared" ref="H81:K81" si="29">-(H97)</f>
        <v>-13649</v>
      </c>
      <c r="I81" s="193">
        <f t="shared" si="29"/>
        <v>-13819</v>
      </c>
      <c r="J81" s="193">
        <f t="shared" si="29"/>
        <v>-14772.510999999999</v>
      </c>
      <c r="K81" s="193">
        <f t="shared" si="29"/>
        <v>-15791.814258999997</v>
      </c>
      <c r="M81" s="5" t="s">
        <v>105</v>
      </c>
    </row>
    <row r="82" spans="3:13">
      <c r="C82" s="19" t="s">
        <v>36</v>
      </c>
      <c r="G82" s="194">
        <f>IFERROR(G81,"NA")</f>
        <v>-13285</v>
      </c>
      <c r="H82" s="194">
        <f>IFERROR(H81,"NA")</f>
        <v>-13649</v>
      </c>
      <c r="I82" s="194">
        <f>IFERROR(I81,"NA")</f>
        <v>-13819</v>
      </c>
      <c r="J82" s="194">
        <f>IFERROR(J81,"NA")</f>
        <v>-14772.510999999999</v>
      </c>
      <c r="K82" s="194">
        <f>IFERROR(K81,"NA")</f>
        <v>-15791.814258999997</v>
      </c>
    </row>
    <row r="83" spans="3:13">
      <c r="C83" s="6"/>
      <c r="G83" s="193"/>
      <c r="H83" s="193"/>
      <c r="I83" s="193"/>
      <c r="J83" s="193"/>
      <c r="K83" s="193"/>
    </row>
    <row r="84" spans="3:13">
      <c r="C84" s="6" t="s">
        <v>67</v>
      </c>
      <c r="G84" s="193">
        <f>G57-F57</f>
        <v>0</v>
      </c>
      <c r="H84" s="193">
        <f t="shared" ref="H84:K84" si="30">H57-G57</f>
        <v>0</v>
      </c>
      <c r="I84" s="193">
        <f t="shared" si="30"/>
        <v>0</v>
      </c>
      <c r="J84" s="193">
        <f t="shared" si="30"/>
        <v>0</v>
      </c>
      <c r="K84" s="193">
        <f t="shared" si="30"/>
        <v>0</v>
      </c>
    </row>
    <row r="85" spans="3:13">
      <c r="C85" s="6" t="s">
        <v>319</v>
      </c>
      <c r="G85" s="193">
        <f ca="1">G56-F56</f>
        <v>36</v>
      </c>
      <c r="H85" s="193">
        <f t="shared" ref="H85:K85" ca="1" si="31">H56-G56</f>
        <v>0</v>
      </c>
      <c r="I85" s="193">
        <f t="shared" ca="1" si="31"/>
        <v>0</v>
      </c>
      <c r="J85" s="193">
        <f t="shared" ca="1" si="31"/>
        <v>0</v>
      </c>
      <c r="K85" s="193">
        <f t="shared" ca="1" si="31"/>
        <v>0</v>
      </c>
      <c r="M85" s="5" t="s">
        <v>183</v>
      </c>
    </row>
    <row r="86" spans="3:13">
      <c r="C86" s="21" t="s">
        <v>70</v>
      </c>
      <c r="G86" s="193">
        <f>G118</f>
        <v>-73056</v>
      </c>
      <c r="H86" s="193">
        <f t="shared" ref="H86:K86" si="32">H118</f>
        <v>-73056</v>
      </c>
      <c r="I86" s="193">
        <f t="shared" si="32"/>
        <v>-73056</v>
      </c>
      <c r="J86" s="193">
        <f t="shared" si="32"/>
        <v>-73056</v>
      </c>
      <c r="K86" s="193">
        <f t="shared" si="32"/>
        <v>-73056</v>
      </c>
      <c r="M86" s="5" t="s">
        <v>107</v>
      </c>
    </row>
    <row r="87" spans="3:13">
      <c r="C87" s="21" t="s">
        <v>71</v>
      </c>
      <c r="G87" s="193">
        <f>G117</f>
        <v>-13735</v>
      </c>
      <c r="H87" s="193">
        <f t="shared" ref="H87:K87" si="33">H117</f>
        <v>-13735</v>
      </c>
      <c r="I87" s="193">
        <f t="shared" si="33"/>
        <v>-13735</v>
      </c>
      <c r="J87" s="193">
        <f t="shared" si="33"/>
        <v>-13735</v>
      </c>
      <c r="K87" s="193">
        <f t="shared" si="33"/>
        <v>-13735</v>
      </c>
      <c r="M87" s="5" t="s">
        <v>107</v>
      </c>
    </row>
    <row r="88" spans="3:13">
      <c r="C88" s="19" t="s">
        <v>37</v>
      </c>
      <c r="G88" s="194">
        <f ca="1">SUM(G84:G86)</f>
        <v>-73020</v>
      </c>
      <c r="H88" s="194">
        <f t="shared" ref="H88:K88" ca="1" si="34">SUM(H84:H86)</f>
        <v>-73056</v>
      </c>
      <c r="I88" s="194">
        <f t="shared" ca="1" si="34"/>
        <v>-73056</v>
      </c>
      <c r="J88" s="194">
        <f t="shared" ca="1" si="34"/>
        <v>-73056</v>
      </c>
      <c r="K88" s="194">
        <f t="shared" ca="1" si="34"/>
        <v>-73056</v>
      </c>
    </row>
    <row r="89" spans="3:13">
      <c r="G89" s="193"/>
      <c r="H89" s="193"/>
      <c r="I89" s="193"/>
      <c r="J89" s="193"/>
      <c r="K89" s="193"/>
    </row>
    <row r="90" spans="3:13">
      <c r="C90" s="24" t="s">
        <v>38</v>
      </c>
      <c r="G90" s="194">
        <f ca="1">G79+G82+G88</f>
        <v>-24670.414231067785</v>
      </c>
      <c r="H90" s="194">
        <f ca="1">H79+H82+H88</f>
        <v>-2461.0736741598375</v>
      </c>
      <c r="I90" s="194">
        <f ca="1">I79+I82+I88</f>
        <v>4981.9544901011977</v>
      </c>
      <c r="J90" s="194">
        <f ca="1">J79+J82+J88</f>
        <v>10856.741877550143</v>
      </c>
      <c r="K90" s="194">
        <f ca="1">K79+K82+K88</f>
        <v>17151.09901286992</v>
      </c>
    </row>
    <row r="92" spans="3:13">
      <c r="C92" s="7" t="s">
        <v>29</v>
      </c>
      <c r="D92" s="9"/>
      <c r="E92" s="9"/>
      <c r="F92" s="9"/>
      <c r="G92" s="9"/>
      <c r="H92" s="9"/>
      <c r="I92" s="9"/>
      <c r="J92" s="9"/>
      <c r="K92" s="9"/>
    </row>
    <row r="93" spans="3:13">
      <c r="C93" s="35" t="str">
        <f t="shared" ref="C93:K94" si="35">C14</f>
        <v xml:space="preserve">Fiscal year  </v>
      </c>
      <c r="D93" s="30">
        <f t="shared" si="35"/>
        <v>2016</v>
      </c>
      <c r="E93" s="30">
        <f t="shared" si="35"/>
        <v>2017</v>
      </c>
      <c r="F93" s="30">
        <f t="shared" si="35"/>
        <v>2018</v>
      </c>
      <c r="G93" s="31">
        <f t="shared" si="35"/>
        <v>2019</v>
      </c>
      <c r="H93" s="31">
        <f t="shared" si="35"/>
        <v>2020</v>
      </c>
      <c r="I93" s="31">
        <f t="shared" si="35"/>
        <v>2021</v>
      </c>
      <c r="J93" s="31">
        <f t="shared" si="35"/>
        <v>2022</v>
      </c>
      <c r="K93" s="31">
        <f t="shared" si="35"/>
        <v>2023</v>
      </c>
    </row>
    <row r="94" spans="3:13">
      <c r="C94" s="9" t="str">
        <f t="shared" si="35"/>
        <v>Fiscal year end date</v>
      </c>
      <c r="D94" s="32">
        <f t="shared" si="35"/>
        <v>42643</v>
      </c>
      <c r="E94" s="32">
        <f t="shared" si="35"/>
        <v>43008</v>
      </c>
      <c r="F94" s="32">
        <f t="shared" si="35"/>
        <v>43372</v>
      </c>
      <c r="G94" s="32">
        <f t="shared" si="35"/>
        <v>43738</v>
      </c>
      <c r="H94" s="32">
        <f t="shared" si="35"/>
        <v>44104</v>
      </c>
      <c r="I94" s="32">
        <f t="shared" si="35"/>
        <v>44469</v>
      </c>
      <c r="J94" s="32">
        <f t="shared" si="35"/>
        <v>44834</v>
      </c>
      <c r="K94" s="32">
        <f t="shared" si="35"/>
        <v>45199</v>
      </c>
    </row>
    <row r="95" spans="3:13">
      <c r="C95" s="19"/>
      <c r="G95" s="110" t="s">
        <v>116</v>
      </c>
      <c r="H95" s="110"/>
      <c r="I95" s="110"/>
      <c r="J95" s="110"/>
      <c r="K95" s="110"/>
    </row>
    <row r="96" spans="3:13">
      <c r="C96" s="41" t="s">
        <v>27</v>
      </c>
      <c r="F96" s="6"/>
      <c r="G96" s="61">
        <f>F99</f>
        <v>41304</v>
      </c>
      <c r="H96" s="61">
        <f>G99</f>
        <v>45042.85982873883</v>
      </c>
      <c r="I96" s="61">
        <f>H99</f>
        <v>48611.181883872909</v>
      </c>
      <c r="J96" s="61">
        <f>I99</f>
        <v>51947.567835949827</v>
      </c>
      <c r="K96" s="61">
        <f>J99</f>
        <v>55218.714198720052</v>
      </c>
      <c r="L96" s="21"/>
      <c r="M96" s="188" t="s">
        <v>167</v>
      </c>
    </row>
    <row r="97" spans="3:17">
      <c r="C97" s="47" t="s">
        <v>30</v>
      </c>
      <c r="D97" s="3">
        <v>12734</v>
      </c>
      <c r="E97" s="3">
        <v>12451</v>
      </c>
      <c r="F97" s="71">
        <v>13313</v>
      </c>
      <c r="G97" s="17">
        <v>13285</v>
      </c>
      <c r="H97" s="17">
        <v>13649</v>
      </c>
      <c r="I97" s="17">
        <v>13819</v>
      </c>
      <c r="J97" s="17">
        <f>I97*(1+J36)</f>
        <v>14772.510999999999</v>
      </c>
      <c r="K97" s="17">
        <f t="shared" ref="K97" si="36">J97*(1+K36)</f>
        <v>15791.814258999997</v>
      </c>
      <c r="L97" s="21"/>
      <c r="M97" s="188" t="s">
        <v>154</v>
      </c>
    </row>
    <row r="98" spans="3:17">
      <c r="C98" s="103" t="s">
        <v>31</v>
      </c>
      <c r="D98" s="95">
        <v>-8300</v>
      </c>
      <c r="E98" s="95">
        <v>-8200</v>
      </c>
      <c r="F98" s="95">
        <v>-9300</v>
      </c>
      <c r="G98" s="126">
        <f>-(G101*G97)</f>
        <v>-9546.1401712611732</v>
      </c>
      <c r="H98" s="126">
        <f>-(H101*H97)</f>
        <v>-10080.677944865922</v>
      </c>
      <c r="I98" s="126">
        <f>-(I101*I97)</f>
        <v>-10482.614047923083</v>
      </c>
      <c r="J98" s="126">
        <f>-(J101*J97)</f>
        <v>-11501.364637229775</v>
      </c>
      <c r="K98" s="126">
        <f>-(K101*K97)</f>
        <v>-12610.795082378629</v>
      </c>
      <c r="L98" s="21"/>
      <c r="M98" s="188" t="s">
        <v>166</v>
      </c>
    </row>
    <row r="99" spans="3:17">
      <c r="C99" s="54" t="s">
        <v>28</v>
      </c>
      <c r="D99" s="51"/>
      <c r="E99" s="51">
        <f>E49</f>
        <v>33783</v>
      </c>
      <c r="F99" s="51">
        <f>F49</f>
        <v>41304</v>
      </c>
      <c r="G99" s="162">
        <f>SUM(G96:G98)</f>
        <v>45042.85982873883</v>
      </c>
      <c r="H99" s="162">
        <f>SUM(H96:H98)</f>
        <v>48611.181883872909</v>
      </c>
      <c r="I99" s="162">
        <f>SUM(I96:I98)</f>
        <v>51947.567835949827</v>
      </c>
      <c r="J99" s="162">
        <f>SUM(J96:J98)</f>
        <v>55218.714198720052</v>
      </c>
      <c r="K99" s="162">
        <f>SUM(K96:K98)</f>
        <v>58399.73337534142</v>
      </c>
      <c r="L99" s="21"/>
      <c r="M99" s="188" t="s">
        <v>165</v>
      </c>
    </row>
    <row r="100" spans="3:17">
      <c r="C100" s="41"/>
      <c r="F100" s="6"/>
      <c r="G100" s="21"/>
      <c r="H100" s="21"/>
      <c r="I100" s="21"/>
      <c r="J100" s="21"/>
      <c r="K100" s="21"/>
      <c r="L100" s="21"/>
      <c r="M100" s="510" t="s">
        <v>48</v>
      </c>
    </row>
    <row r="101" spans="3:17">
      <c r="C101" s="41" t="s">
        <v>123</v>
      </c>
      <c r="D101" s="4">
        <f>-(D98/D97)</f>
        <v>0.65179833516569818</v>
      </c>
      <c r="E101" s="4">
        <f>-(E98/E97)</f>
        <v>0.6585816400289134</v>
      </c>
      <c r="F101" s="80">
        <f>-(F98/F97)</f>
        <v>0.69856531210095396</v>
      </c>
      <c r="G101" s="189">
        <f>F101+$M$101</f>
        <v>0.71856531210095398</v>
      </c>
      <c r="H101" s="189">
        <f>G101+$M$101</f>
        <v>0.738565312100954</v>
      </c>
      <c r="I101" s="189">
        <f>H101+$M$101</f>
        <v>0.75856531210095401</v>
      </c>
      <c r="J101" s="189">
        <f>I101+$M$101</f>
        <v>0.77856531210095403</v>
      </c>
      <c r="K101" s="189">
        <f>J101+$M$101</f>
        <v>0.79856531210095405</v>
      </c>
      <c r="L101" s="21"/>
      <c r="M101" s="511">
        <v>0.02</v>
      </c>
      <c r="O101" s="98"/>
      <c r="P101" s="98"/>
      <c r="Q101" s="98"/>
    </row>
    <row r="102" spans="3:17">
      <c r="C102" s="41"/>
      <c r="D102" s="4"/>
      <c r="E102" s="4"/>
      <c r="F102" s="80"/>
      <c r="G102" s="189"/>
      <c r="H102" s="189"/>
      <c r="I102" s="189"/>
      <c r="J102" s="189"/>
      <c r="K102" s="189"/>
      <c r="L102" s="21"/>
      <c r="M102" s="188"/>
      <c r="O102" s="98"/>
      <c r="P102" s="98"/>
      <c r="Q102" s="98"/>
    </row>
    <row r="103" spans="3:17">
      <c r="C103" s="128" t="s">
        <v>130</v>
      </c>
      <c r="D103" s="48"/>
      <c r="E103" s="48"/>
      <c r="F103" s="48"/>
      <c r="G103" s="198"/>
      <c r="H103" s="198"/>
      <c r="I103" s="198"/>
      <c r="J103" s="198"/>
      <c r="K103" s="198"/>
      <c r="L103" s="21"/>
      <c r="M103" s="188"/>
      <c r="O103" s="98"/>
      <c r="P103" s="98"/>
      <c r="Q103" s="98"/>
    </row>
    <row r="104" spans="3:17">
      <c r="C104" s="41" t="s">
        <v>156</v>
      </c>
      <c r="D104" s="22">
        <f>D106+D98</f>
        <v>2205</v>
      </c>
      <c r="E104" s="22">
        <f>E106+E98</f>
        <v>1957</v>
      </c>
      <c r="F104" s="22">
        <f>F106+F98</f>
        <v>1603</v>
      </c>
      <c r="G104" s="63">
        <f>G105*G17</f>
        <v>1538.8799999999999</v>
      </c>
      <c r="H104" s="63">
        <f>H105*H17</f>
        <v>1631.2128</v>
      </c>
      <c r="I104" s="63">
        <f>I105*I17</f>
        <v>1743.7664832</v>
      </c>
      <c r="J104" s="63">
        <f>J105*J17</f>
        <v>1864.0863705407999</v>
      </c>
      <c r="K104" s="63">
        <f>K105*K17</f>
        <v>1992.708330108115</v>
      </c>
      <c r="L104" s="21"/>
      <c r="M104" s="188" t="s">
        <v>238</v>
      </c>
      <c r="O104" s="98"/>
      <c r="P104" s="98"/>
      <c r="Q104" s="98"/>
    </row>
    <row r="105" spans="3:17">
      <c r="C105" s="26" t="s">
        <v>157</v>
      </c>
      <c r="D105" s="93">
        <f>D104/D17</f>
        <v>1.0225423044996499E-2</v>
      </c>
      <c r="E105" s="93">
        <f>E104/E17</f>
        <v>8.537128000209393E-3</v>
      </c>
      <c r="F105" s="100">
        <f>F104/F17</f>
        <v>6.0355051864681188E-3</v>
      </c>
      <c r="G105" s="189">
        <f>F105</f>
        <v>6.0355051864681188E-3</v>
      </c>
      <c r="H105" s="189">
        <f>G105</f>
        <v>6.0355051864681188E-3</v>
      </c>
      <c r="I105" s="189">
        <f>H105</f>
        <v>6.0355051864681188E-3</v>
      </c>
      <c r="J105" s="189">
        <f>I105</f>
        <v>6.0355051864681188E-3</v>
      </c>
      <c r="K105" s="189">
        <f>J105</f>
        <v>6.0355051864681188E-3</v>
      </c>
      <c r="L105" s="21"/>
      <c r="M105" s="188" t="s">
        <v>158</v>
      </c>
    </row>
    <row r="106" spans="3:17">
      <c r="C106" s="39" t="s">
        <v>110</v>
      </c>
      <c r="D106" s="51">
        <f>D30</f>
        <v>10505</v>
      </c>
      <c r="E106" s="51">
        <f>E30</f>
        <v>10157</v>
      </c>
      <c r="F106" s="51">
        <f>F30</f>
        <v>10903</v>
      </c>
      <c r="G106" s="20">
        <f>-G98+G104</f>
        <v>11085.020171261172</v>
      </c>
      <c r="H106" s="20">
        <f>-H98+H104</f>
        <v>11711.890744865921</v>
      </c>
      <c r="I106" s="20">
        <f>-I98+I104</f>
        <v>12226.380531123083</v>
      </c>
      <c r="J106" s="20">
        <f>-J98+J104</f>
        <v>13365.451007770575</v>
      </c>
      <c r="K106" s="20">
        <f>-K98+K104</f>
        <v>14603.503412486743</v>
      </c>
      <c r="L106" s="188"/>
      <c r="M106" s="188" t="s">
        <v>160</v>
      </c>
    </row>
    <row r="107" spans="3:17">
      <c r="C107" s="41"/>
      <c r="D107" s="22"/>
      <c r="E107" s="22"/>
      <c r="F107" s="22"/>
      <c r="G107" s="21"/>
      <c r="H107" s="61"/>
      <c r="I107" s="61"/>
      <c r="J107" s="61"/>
      <c r="K107" s="61"/>
      <c r="L107" s="188"/>
      <c r="M107" s="188"/>
    </row>
    <row r="108" spans="3:17">
      <c r="C108" s="127" t="s">
        <v>129</v>
      </c>
      <c r="D108" s="9"/>
      <c r="E108" s="9"/>
      <c r="F108" s="9"/>
      <c r="G108" s="21"/>
      <c r="H108" s="61"/>
      <c r="I108" s="61"/>
      <c r="J108" s="61"/>
      <c r="K108" s="61"/>
      <c r="L108" s="188"/>
      <c r="M108" s="188"/>
    </row>
    <row r="109" spans="3:17">
      <c r="C109" s="41" t="s">
        <v>27</v>
      </c>
      <c r="D109" s="22"/>
      <c r="E109" s="6"/>
      <c r="F109" s="6"/>
      <c r="G109" s="154">
        <f>F112</f>
        <v>22283</v>
      </c>
      <c r="H109" s="154">
        <f>G112</f>
        <v>21391.68</v>
      </c>
      <c r="I109" s="154">
        <f>H112</f>
        <v>22675.180800000002</v>
      </c>
      <c r="J109" s="154">
        <f>I112</f>
        <v>24239.7682752</v>
      </c>
      <c r="K109" s="154">
        <f>J112</f>
        <v>25912.3122861888</v>
      </c>
      <c r="L109" s="188"/>
      <c r="M109" s="188" t="s">
        <v>167</v>
      </c>
    </row>
    <row r="110" spans="3:17">
      <c r="C110" s="26" t="s">
        <v>124</v>
      </c>
      <c r="G110" s="61">
        <f>-(G104)</f>
        <v>-1538.8799999999999</v>
      </c>
      <c r="H110" s="61">
        <f>-(H104)</f>
        <v>-1631.2128</v>
      </c>
      <c r="I110" s="61">
        <f>-(I104)</f>
        <v>-1743.7664832</v>
      </c>
      <c r="J110" s="61">
        <f>-(J104)</f>
        <v>-1864.0863705407999</v>
      </c>
      <c r="K110" s="61">
        <f>-(K104)</f>
        <v>-1992.708330108115</v>
      </c>
      <c r="L110" s="188"/>
      <c r="M110" s="188" t="s">
        <v>162</v>
      </c>
    </row>
    <row r="111" spans="3:17" ht="15" customHeight="1">
      <c r="C111" s="111" t="s">
        <v>125</v>
      </c>
      <c r="D111" s="101"/>
      <c r="E111" s="101"/>
      <c r="F111" s="101"/>
      <c r="G111" s="133">
        <f>G112-G110-G109</f>
        <v>647.56000000000131</v>
      </c>
      <c r="H111" s="133">
        <f>H112-H110-H109</f>
        <v>2914.7136000000028</v>
      </c>
      <c r="I111" s="133">
        <f>I112-I110-I109</f>
        <v>3308.3539583999991</v>
      </c>
      <c r="J111" s="133">
        <f>J112-J110-J109</f>
        <v>3536.6303815296014</v>
      </c>
      <c r="K111" s="133">
        <f>K112-K110-K109</f>
        <v>3780.6578778551411</v>
      </c>
      <c r="L111" s="188"/>
      <c r="M111" s="188" t="s">
        <v>168</v>
      </c>
    </row>
    <row r="112" spans="3:17">
      <c r="C112" s="54" t="s">
        <v>28</v>
      </c>
      <c r="D112" s="6"/>
      <c r="E112" s="51">
        <f t="shared" ref="E112:K112" si="37">E50</f>
        <v>18177</v>
      </c>
      <c r="F112" s="51">
        <f t="shared" si="37"/>
        <v>22283</v>
      </c>
      <c r="G112" s="162">
        <f t="shared" si="37"/>
        <v>21391.68</v>
      </c>
      <c r="H112" s="162">
        <f t="shared" si="37"/>
        <v>22675.180800000002</v>
      </c>
      <c r="I112" s="162">
        <f t="shared" si="37"/>
        <v>24239.7682752</v>
      </c>
      <c r="J112" s="162">
        <f t="shared" si="37"/>
        <v>25912.3122861888</v>
      </c>
      <c r="K112" s="162">
        <f t="shared" si="37"/>
        <v>27700.261833935827</v>
      </c>
      <c r="L112" s="188"/>
      <c r="M112" s="188" t="s">
        <v>169</v>
      </c>
    </row>
    <row r="113" spans="3:17">
      <c r="C113" s="26"/>
      <c r="E113" s="34"/>
      <c r="F113" s="34"/>
      <c r="G113" s="21"/>
      <c r="H113" s="61"/>
      <c r="I113" s="61"/>
      <c r="J113" s="61"/>
      <c r="K113" s="61"/>
      <c r="L113" s="188"/>
      <c r="M113" s="188"/>
    </row>
    <row r="114" spans="3:17">
      <c r="C114" s="74" t="s">
        <v>75</v>
      </c>
      <c r="D114" s="70"/>
      <c r="E114" s="70"/>
      <c r="F114" s="70"/>
      <c r="G114" s="190"/>
      <c r="H114" s="190"/>
      <c r="I114" s="190"/>
      <c r="J114" s="190"/>
      <c r="K114" s="190"/>
      <c r="L114" s="188"/>
      <c r="M114" s="188"/>
    </row>
    <row r="115" spans="3:17">
      <c r="C115" s="41" t="s">
        <v>27</v>
      </c>
      <c r="D115" s="6"/>
      <c r="E115" s="6"/>
      <c r="F115" s="6"/>
      <c r="G115" s="193">
        <f>F119</f>
        <v>70400</v>
      </c>
      <c r="H115" s="193">
        <f ca="1">G119</f>
        <v>35999.537949941528</v>
      </c>
      <c r="I115" s="193">
        <f ca="1">H119</f>
        <v>5809.9386873571202</v>
      </c>
      <c r="J115" s="193">
        <f ca="1">I119</f>
        <v>-20190.002470376581</v>
      </c>
      <c r="K115" s="193">
        <f ca="1">J119</f>
        <v>-41906.226255549009</v>
      </c>
      <c r="L115" s="188"/>
      <c r="M115" s="188" t="s">
        <v>167</v>
      </c>
    </row>
    <row r="116" spans="3:17">
      <c r="C116" s="26" t="s">
        <v>62</v>
      </c>
      <c r="D116" s="33">
        <f t="shared" ref="D116:K116" si="38">D28</f>
        <v>45687</v>
      </c>
      <c r="E116" s="33">
        <f t="shared" si="38"/>
        <v>48351</v>
      </c>
      <c r="F116" s="33">
        <f t="shared" si="38"/>
        <v>59531</v>
      </c>
      <c r="G116" s="193">
        <f t="shared" ca="1" si="38"/>
        <v>52390.537949941528</v>
      </c>
      <c r="H116" s="193">
        <f t="shared" ca="1" si="38"/>
        <v>56601.400737415599</v>
      </c>
      <c r="I116" s="193">
        <f t="shared" ca="1" si="38"/>
        <v>60791.058842266299</v>
      </c>
      <c r="J116" s="193">
        <f t="shared" ca="1" si="38"/>
        <v>65074.776214827572</v>
      </c>
      <c r="K116" s="193">
        <f t="shared" ca="1" si="38"/>
        <v>69753.477434239467</v>
      </c>
      <c r="L116" s="188"/>
      <c r="M116" s="188" t="s">
        <v>101</v>
      </c>
    </row>
    <row r="117" spans="3:17">
      <c r="C117" s="26" t="s">
        <v>63</v>
      </c>
      <c r="D117" s="3">
        <v>-12188</v>
      </c>
      <c r="E117" s="3">
        <v>-12803</v>
      </c>
      <c r="F117" s="3">
        <v>-13735</v>
      </c>
      <c r="G117" s="193">
        <f t="shared" ref="G117:K118" si="39">F117</f>
        <v>-13735</v>
      </c>
      <c r="H117" s="193">
        <f t="shared" si="39"/>
        <v>-13735</v>
      </c>
      <c r="I117" s="193">
        <f t="shared" si="39"/>
        <v>-13735</v>
      </c>
      <c r="J117" s="193">
        <f t="shared" si="39"/>
        <v>-13735</v>
      </c>
      <c r="K117" s="193">
        <f t="shared" si="39"/>
        <v>-13735</v>
      </c>
      <c r="L117" s="188"/>
      <c r="M117" s="188" t="s">
        <v>163</v>
      </c>
    </row>
    <row r="118" spans="3:17">
      <c r="C118" s="104" t="s">
        <v>64</v>
      </c>
      <c r="D118" s="95">
        <v>-29000</v>
      </c>
      <c r="E118" s="95">
        <v>-33001</v>
      </c>
      <c r="F118" s="95">
        <v>-73056</v>
      </c>
      <c r="G118" s="199">
        <f t="shared" si="39"/>
        <v>-73056</v>
      </c>
      <c r="H118" s="199">
        <f t="shared" si="39"/>
        <v>-73056</v>
      </c>
      <c r="I118" s="199">
        <f t="shared" si="39"/>
        <v>-73056</v>
      </c>
      <c r="J118" s="199">
        <f t="shared" si="39"/>
        <v>-73056</v>
      </c>
      <c r="K118" s="199">
        <f t="shared" si="39"/>
        <v>-73056</v>
      </c>
      <c r="L118" s="188"/>
      <c r="M118" s="188" t="s">
        <v>236</v>
      </c>
    </row>
    <row r="119" spans="3:17">
      <c r="C119" s="83" t="s">
        <v>28</v>
      </c>
      <c r="D119" s="23">
        <f>D62</f>
        <v>0</v>
      </c>
      <c r="E119" s="23">
        <f>E62</f>
        <v>98330</v>
      </c>
      <c r="F119" s="23">
        <f>F62</f>
        <v>70400</v>
      </c>
      <c r="G119" s="162">
        <f ca="1">SUM(G115:G118)</f>
        <v>35999.537949941528</v>
      </c>
      <c r="H119" s="162">
        <f ca="1">SUM(H115:H118)</f>
        <v>5809.9386873571202</v>
      </c>
      <c r="I119" s="162">
        <f ca="1">SUM(I115:I118)</f>
        <v>-20190.002470376581</v>
      </c>
      <c r="J119" s="162">
        <f ca="1">SUM(J115:J118)</f>
        <v>-41906.226255549009</v>
      </c>
      <c r="K119" s="162">
        <f ca="1">SUM(K115:K118)</f>
        <v>-58943.748821309542</v>
      </c>
      <c r="L119" s="188"/>
      <c r="M119" s="188" t="s">
        <v>164</v>
      </c>
    </row>
    <row r="120" spans="3:17">
      <c r="E120" s="68"/>
      <c r="F120" s="68"/>
      <c r="G120" s="188"/>
      <c r="H120" s="188"/>
      <c r="I120" s="188"/>
      <c r="J120" s="188"/>
      <c r="K120" s="188"/>
      <c r="L120" s="188"/>
      <c r="M120" s="188"/>
    </row>
    <row r="121" spans="3:17">
      <c r="C121" s="7" t="s">
        <v>131</v>
      </c>
      <c r="D121" s="9"/>
      <c r="E121" s="9"/>
      <c r="F121" s="9"/>
      <c r="G121" s="190"/>
      <c r="H121" s="190"/>
      <c r="I121" s="190"/>
      <c r="J121" s="190"/>
      <c r="K121" s="190"/>
      <c r="L121" s="188"/>
      <c r="M121" s="188"/>
      <c r="O121" s="98"/>
      <c r="P121" s="98"/>
    </row>
    <row r="122" spans="3:17">
      <c r="C122" s="35" t="str">
        <f t="shared" ref="C122:K123" si="40">C14</f>
        <v xml:space="preserve">Fiscal year  </v>
      </c>
      <c r="D122" s="30">
        <f t="shared" si="40"/>
        <v>2016</v>
      </c>
      <c r="E122" s="30">
        <f t="shared" si="40"/>
        <v>2017</v>
      </c>
      <c r="F122" s="30">
        <f t="shared" si="40"/>
        <v>2018</v>
      </c>
      <c r="G122" s="191">
        <f t="shared" si="40"/>
        <v>2019</v>
      </c>
      <c r="H122" s="191">
        <f t="shared" si="40"/>
        <v>2020</v>
      </c>
      <c r="I122" s="191">
        <f t="shared" si="40"/>
        <v>2021</v>
      </c>
      <c r="J122" s="191">
        <f t="shared" si="40"/>
        <v>2022</v>
      </c>
      <c r="K122" s="191">
        <f t="shared" si="40"/>
        <v>2023</v>
      </c>
      <c r="L122" s="188"/>
      <c r="M122" s="188"/>
      <c r="O122" s="98"/>
      <c r="P122" s="98"/>
    </row>
    <row r="123" spans="3:17">
      <c r="C123" s="9" t="str">
        <f t="shared" si="40"/>
        <v>Fiscal year end date</v>
      </c>
      <c r="D123" s="32">
        <f t="shared" si="40"/>
        <v>42643</v>
      </c>
      <c r="E123" s="32">
        <f t="shared" si="40"/>
        <v>43008</v>
      </c>
      <c r="F123" s="32">
        <f t="shared" si="40"/>
        <v>43372</v>
      </c>
      <c r="G123" s="192">
        <f t="shared" si="40"/>
        <v>43738</v>
      </c>
      <c r="H123" s="192">
        <f t="shared" si="40"/>
        <v>44104</v>
      </c>
      <c r="I123" s="192">
        <f t="shared" si="40"/>
        <v>44469</v>
      </c>
      <c r="J123" s="192">
        <f t="shared" si="40"/>
        <v>44834</v>
      </c>
      <c r="K123" s="192">
        <f t="shared" si="40"/>
        <v>45199</v>
      </c>
      <c r="L123" s="188"/>
      <c r="M123" s="188"/>
      <c r="O123" s="98"/>
      <c r="P123" s="98"/>
    </row>
    <row r="124" spans="3:17">
      <c r="C124" s="19"/>
      <c r="G124" s="188"/>
      <c r="H124" s="188"/>
      <c r="I124" s="188"/>
      <c r="J124" s="188"/>
      <c r="K124" s="188"/>
      <c r="L124" s="188"/>
      <c r="M124" s="188"/>
      <c r="O124" s="98"/>
      <c r="P124" s="98"/>
    </row>
    <row r="125" spans="3:17">
      <c r="C125" s="53" t="s">
        <v>39</v>
      </c>
      <c r="G125" s="188"/>
      <c r="H125" s="188"/>
      <c r="I125" s="188"/>
      <c r="J125" s="188"/>
      <c r="K125" s="188"/>
      <c r="L125" s="188"/>
      <c r="M125" s="188"/>
      <c r="O125" s="98"/>
      <c r="P125" s="98"/>
      <c r="Q125" s="98"/>
    </row>
    <row r="126" spans="3:17">
      <c r="C126" s="26" t="s">
        <v>45</v>
      </c>
      <c r="G126" s="57">
        <f>F45</f>
        <v>237100</v>
      </c>
      <c r="H126" s="57">
        <f ca="1">G45</f>
        <v>212429.58576893221</v>
      </c>
      <c r="I126" s="57">
        <f ca="1">H45</f>
        <v>209968.51209477236</v>
      </c>
      <c r="J126" s="57">
        <f ca="1">I45</f>
        <v>214950.46658487356</v>
      </c>
      <c r="K126" s="57">
        <f ca="1">J45</f>
        <v>225807.2084624237</v>
      </c>
      <c r="L126" s="188"/>
      <c r="M126" s="188" t="s">
        <v>172</v>
      </c>
      <c r="O126" s="98"/>
      <c r="P126" s="98"/>
    </row>
    <row r="127" spans="3:17">
      <c r="C127" s="26" t="s">
        <v>69</v>
      </c>
      <c r="G127" s="200">
        <v>-50000</v>
      </c>
      <c r="H127" s="200">
        <v>-50000</v>
      </c>
      <c r="I127" s="200">
        <v>-50000</v>
      </c>
      <c r="J127" s="200">
        <v>-50000</v>
      </c>
      <c r="K127" s="200">
        <v>-50000</v>
      </c>
      <c r="L127" s="188"/>
      <c r="M127" s="188" t="s">
        <v>126</v>
      </c>
      <c r="O127" s="98"/>
      <c r="P127" s="98"/>
    </row>
    <row r="128" spans="3:17">
      <c r="C128" s="111" t="s">
        <v>40</v>
      </c>
      <c r="D128" s="101"/>
      <c r="E128" s="101"/>
      <c r="F128" s="101"/>
      <c r="G128" s="126">
        <f ca="1">SUM(G79,G82,G84,G86,G87)</f>
        <v>-38441.414231067785</v>
      </c>
      <c r="H128" s="126">
        <f ca="1">SUM(H79,H82,H84,H86,H87)</f>
        <v>-16196.073674159838</v>
      </c>
      <c r="I128" s="126">
        <f ca="1">SUM(I79,I82,I84,I86,I87)</f>
        <v>-8753.0455098988023</v>
      </c>
      <c r="J128" s="126">
        <f ca="1">SUM(J79,J82,J84,J86,J87)</f>
        <v>-2878.2581224498572</v>
      </c>
      <c r="K128" s="126">
        <f ca="1">SUM(K79,K82,K84,K86,K87)</f>
        <v>3416.0990128699195</v>
      </c>
      <c r="L128" s="188"/>
      <c r="M128" s="188" t="s">
        <v>174</v>
      </c>
    </row>
    <row r="129" spans="3:19">
      <c r="C129" s="54" t="s">
        <v>102</v>
      </c>
      <c r="D129" s="6"/>
      <c r="E129" s="6"/>
      <c r="F129" s="6"/>
      <c r="G129" s="162">
        <f ca="1">SUM(G126:G128)</f>
        <v>148658.58576893221</v>
      </c>
      <c r="H129" s="162">
        <f ca="1">SUM(H126:H128)</f>
        <v>146233.51209477236</v>
      </c>
      <c r="I129" s="162">
        <f ca="1">SUM(I126:I128)</f>
        <v>151215.46658487356</v>
      </c>
      <c r="J129" s="162">
        <f ca="1">SUM(J126:J128)</f>
        <v>162072.2084624237</v>
      </c>
      <c r="K129" s="162">
        <f ca="1">SUM(K126:K128)</f>
        <v>179223.30747529364</v>
      </c>
      <c r="L129" s="188"/>
      <c r="M129" s="188"/>
    </row>
    <row r="130" spans="3:19">
      <c r="C130" s="6"/>
      <c r="G130" s="188"/>
      <c r="H130" s="188"/>
      <c r="I130" s="188"/>
      <c r="J130" s="188"/>
      <c r="K130" s="188"/>
      <c r="L130" s="188"/>
      <c r="M130" s="188"/>
    </row>
    <row r="131" spans="3:19">
      <c r="C131" s="19" t="s">
        <v>113</v>
      </c>
      <c r="G131" s="188"/>
      <c r="H131" s="188"/>
      <c r="I131" s="188"/>
      <c r="J131" s="188"/>
      <c r="K131" s="188"/>
      <c r="L131" s="188"/>
      <c r="M131" s="188"/>
    </row>
    <row r="132" spans="3:19">
      <c r="C132" s="26" t="s">
        <v>27</v>
      </c>
      <c r="G132" s="57">
        <f>F135</f>
        <v>11964</v>
      </c>
      <c r="H132" s="57">
        <f ca="1">G135</f>
        <v>12000</v>
      </c>
      <c r="I132" s="57">
        <f ca="1">H135</f>
        <v>12000</v>
      </c>
      <c r="J132" s="57">
        <f ca="1">I135</f>
        <v>12000</v>
      </c>
      <c r="K132" s="57">
        <f ca="1">J135</f>
        <v>12000</v>
      </c>
      <c r="L132" s="188"/>
      <c r="M132" s="188" t="s">
        <v>167</v>
      </c>
    </row>
    <row r="133" spans="3:19">
      <c r="C133" s="47" t="s">
        <v>176</v>
      </c>
      <c r="G133" s="57">
        <f ca="1">-MIN(G129,G132)</f>
        <v>-11964</v>
      </c>
      <c r="H133" s="57">
        <f ca="1">-MIN(H129,H132)</f>
        <v>-12000</v>
      </c>
      <c r="I133" s="57">
        <f ca="1">-MIN(I129,I132)</f>
        <v>-12000</v>
      </c>
      <c r="J133" s="57">
        <f ca="1">-MIN(J129,J132)</f>
        <v>-12000</v>
      </c>
      <c r="K133" s="57">
        <f ca="1">-MIN(K129,K132)</f>
        <v>-12000</v>
      </c>
      <c r="L133" s="188"/>
      <c r="M133" s="188" t="s">
        <v>175</v>
      </c>
    </row>
    <row r="134" spans="3:19">
      <c r="C134" s="103" t="s">
        <v>128</v>
      </c>
      <c r="D134" s="101"/>
      <c r="E134" s="101"/>
      <c r="F134" s="101"/>
      <c r="G134" s="201">
        <v>12000</v>
      </c>
      <c r="H134" s="201">
        <v>12000</v>
      </c>
      <c r="I134" s="201">
        <v>12000</v>
      </c>
      <c r="J134" s="201">
        <v>12000</v>
      </c>
      <c r="K134" s="201">
        <v>12000</v>
      </c>
      <c r="L134" s="188"/>
      <c r="M134" s="188" t="s">
        <v>126</v>
      </c>
    </row>
    <row r="135" spans="3:19">
      <c r="C135" s="26" t="s">
        <v>28</v>
      </c>
      <c r="D135" s="102">
        <f>D56</f>
        <v>0</v>
      </c>
      <c r="E135" s="102">
        <f>E56</f>
        <v>11977</v>
      </c>
      <c r="F135" s="102">
        <f>F56</f>
        <v>11964</v>
      </c>
      <c r="G135" s="202">
        <f ca="1">SUM(G132:G134)</f>
        <v>12000</v>
      </c>
      <c r="H135" s="202">
        <f ca="1">SUM(H132:H134)</f>
        <v>12000</v>
      </c>
      <c r="I135" s="202">
        <f ca="1">SUM(I132:I134)</f>
        <v>12000</v>
      </c>
      <c r="J135" s="202">
        <f ca="1">SUM(J132:J134)</f>
        <v>12000</v>
      </c>
      <c r="K135" s="202">
        <f ca="1">SUM(K132:K134)</f>
        <v>12000</v>
      </c>
      <c r="L135" s="188"/>
      <c r="M135" s="188"/>
    </row>
    <row r="136" spans="3:19">
      <c r="C136" s="117" t="s">
        <v>119</v>
      </c>
      <c r="D136" s="122"/>
      <c r="E136" s="122"/>
      <c r="F136" s="123"/>
      <c r="G136" s="203" t="str">
        <f ca="1">IF(G135&lt;0,"Negative Debt","OK")</f>
        <v>OK</v>
      </c>
      <c r="H136" s="203" t="str">
        <f ca="1">IF(H135&lt;0,"Negative Debt","OK")</f>
        <v>OK</v>
      </c>
      <c r="I136" s="203" t="str">
        <f ca="1">IF(I135&lt;0,"Negative Debt","OK")</f>
        <v>OK</v>
      </c>
      <c r="J136" s="203" t="str">
        <f ca="1">IF(J135&lt;0,"Negative Debt","OK")</f>
        <v>OK</v>
      </c>
      <c r="K136" s="204" t="str">
        <f ca="1">IF(K135&lt;0,"Negative Debt","OK")</f>
        <v>OK</v>
      </c>
      <c r="L136" s="21"/>
      <c r="M136" s="188"/>
      <c r="S136" s="68"/>
    </row>
    <row r="137" spans="3:19">
      <c r="D137" s="22"/>
      <c r="E137" s="22"/>
      <c r="F137" s="120"/>
      <c r="G137" s="205"/>
      <c r="H137" s="205"/>
      <c r="I137" s="205"/>
      <c r="J137" s="205"/>
      <c r="K137" s="205"/>
      <c r="L137" s="21"/>
      <c r="M137" s="188"/>
      <c r="S137" s="68"/>
    </row>
    <row r="138" spans="3:19">
      <c r="C138" s="7" t="s">
        <v>43</v>
      </c>
      <c r="D138" s="48"/>
      <c r="E138" s="48"/>
      <c r="F138" s="48"/>
      <c r="G138" s="206"/>
      <c r="H138" s="206"/>
      <c r="I138" s="206"/>
      <c r="J138" s="206"/>
      <c r="K138" s="206"/>
      <c r="L138" s="188"/>
      <c r="M138" s="188"/>
      <c r="R138" s="99"/>
    </row>
    <row r="139" spans="3:19">
      <c r="C139" s="35" t="str">
        <f t="shared" ref="C139:K140" si="41">C14</f>
        <v xml:space="preserve">Fiscal year  </v>
      </c>
      <c r="D139" s="30">
        <f t="shared" si="41"/>
        <v>2016</v>
      </c>
      <c r="E139" s="30">
        <f t="shared" si="41"/>
        <v>2017</v>
      </c>
      <c r="F139" s="30">
        <f t="shared" si="41"/>
        <v>2018</v>
      </c>
      <c r="G139" s="191">
        <f t="shared" si="41"/>
        <v>2019</v>
      </c>
      <c r="H139" s="191">
        <f t="shared" si="41"/>
        <v>2020</v>
      </c>
      <c r="I139" s="191">
        <f t="shared" si="41"/>
        <v>2021</v>
      </c>
      <c r="J139" s="191">
        <f t="shared" si="41"/>
        <v>2022</v>
      </c>
      <c r="K139" s="191">
        <f t="shared" si="41"/>
        <v>2023</v>
      </c>
      <c r="L139" s="188"/>
      <c r="M139" s="188"/>
      <c r="R139" s="99"/>
      <c r="S139" s="68"/>
    </row>
    <row r="140" spans="3:19">
      <c r="C140" s="9" t="str">
        <f t="shared" si="41"/>
        <v>Fiscal year end date</v>
      </c>
      <c r="D140" s="32">
        <f t="shared" si="41"/>
        <v>42643</v>
      </c>
      <c r="E140" s="32">
        <f t="shared" si="41"/>
        <v>43008</v>
      </c>
      <c r="F140" s="32">
        <f t="shared" si="41"/>
        <v>43372</v>
      </c>
      <c r="G140" s="192">
        <f t="shared" si="41"/>
        <v>43738</v>
      </c>
      <c r="H140" s="192">
        <f t="shared" si="41"/>
        <v>44104</v>
      </c>
      <c r="I140" s="192">
        <f t="shared" si="41"/>
        <v>44469</v>
      </c>
      <c r="J140" s="192">
        <f t="shared" si="41"/>
        <v>44834</v>
      </c>
      <c r="K140" s="192">
        <f t="shared" si="41"/>
        <v>45199</v>
      </c>
      <c r="L140" s="188"/>
      <c r="M140" s="188"/>
      <c r="R140" s="99"/>
    </row>
    <row r="141" spans="3:19">
      <c r="C141" s="26"/>
      <c r="D141" s="34"/>
      <c r="E141" s="34"/>
      <c r="F141" s="34"/>
      <c r="G141" s="207"/>
      <c r="H141" s="207"/>
      <c r="I141" s="207"/>
      <c r="J141" s="207"/>
      <c r="K141" s="207"/>
      <c r="L141" s="188"/>
      <c r="M141" s="188"/>
      <c r="R141" s="99"/>
    </row>
    <row r="142" spans="3:19">
      <c r="C142" s="41" t="s">
        <v>120</v>
      </c>
      <c r="D142" s="34">
        <f>-(D24)</f>
        <v>1456</v>
      </c>
      <c r="E142" s="34">
        <f>-(E24)</f>
        <v>2323</v>
      </c>
      <c r="F142" s="22">
        <f>-(F24)</f>
        <v>3240</v>
      </c>
      <c r="G142" s="61">
        <f ca="1">G147+G152</f>
        <v>3223.1468651501777</v>
      </c>
      <c r="H142" s="61">
        <f ca="1">H147+H152</f>
        <v>3223.5392651501775</v>
      </c>
      <c r="I142" s="61">
        <f ca="1">I147+I152</f>
        <v>3223.5392651501775</v>
      </c>
      <c r="J142" s="61">
        <f ca="1">J147+J152</f>
        <v>3223.5392651501775</v>
      </c>
      <c r="K142" s="61">
        <f ca="1">K147+K152</f>
        <v>3223.5392651501775</v>
      </c>
      <c r="L142" s="21"/>
      <c r="M142" s="188" t="s">
        <v>178</v>
      </c>
      <c r="R142" s="68"/>
    </row>
    <row r="143" spans="3:19">
      <c r="C143" s="60"/>
      <c r="F143" s="6"/>
      <c r="G143" s="208"/>
      <c r="H143" s="208"/>
      <c r="I143" s="208"/>
      <c r="J143" s="208"/>
      <c r="K143" s="208"/>
      <c r="L143" s="21"/>
      <c r="M143" s="188"/>
      <c r="R143" s="68"/>
    </row>
    <row r="144" spans="3:19">
      <c r="C144" s="94" t="s">
        <v>68</v>
      </c>
      <c r="F144" s="6"/>
      <c r="G144" s="208"/>
      <c r="H144" s="208"/>
      <c r="I144" s="208"/>
      <c r="J144" s="208"/>
      <c r="K144" s="208"/>
      <c r="L144" s="21"/>
      <c r="M144" s="188"/>
      <c r="R144" s="68"/>
    </row>
    <row r="145" spans="3:18">
      <c r="C145" s="26" t="s">
        <v>111</v>
      </c>
      <c r="E145" s="56">
        <v>1.2E-2</v>
      </c>
      <c r="F145" s="124">
        <v>2.18E-2</v>
      </c>
      <c r="G145" s="209">
        <f>F145</f>
        <v>2.18E-2</v>
      </c>
      <c r="H145" s="209">
        <f>G145</f>
        <v>2.18E-2</v>
      </c>
      <c r="I145" s="209">
        <f>H145</f>
        <v>2.18E-2</v>
      </c>
      <c r="J145" s="209">
        <f>I145</f>
        <v>2.18E-2</v>
      </c>
      <c r="K145" s="209">
        <f>J145</f>
        <v>2.18E-2</v>
      </c>
      <c r="L145" s="21"/>
      <c r="M145" s="188" t="s">
        <v>132</v>
      </c>
    </row>
    <row r="146" spans="3:18">
      <c r="C146" s="26" t="s">
        <v>112</v>
      </c>
      <c r="D146" s="102"/>
      <c r="E146" s="102">
        <f t="shared" ref="E146:K146" si="42">E56</f>
        <v>11977</v>
      </c>
      <c r="F146" s="102">
        <f t="shared" si="42"/>
        <v>11964</v>
      </c>
      <c r="G146" s="61">
        <f t="shared" ca="1" si="42"/>
        <v>12000</v>
      </c>
      <c r="H146" s="61">
        <f t="shared" ca="1" si="42"/>
        <v>12000</v>
      </c>
      <c r="I146" s="61">
        <f t="shared" ca="1" si="42"/>
        <v>12000</v>
      </c>
      <c r="J146" s="61">
        <f t="shared" ca="1" si="42"/>
        <v>12000</v>
      </c>
      <c r="K146" s="61">
        <f t="shared" ca="1" si="42"/>
        <v>12000</v>
      </c>
      <c r="L146" s="21"/>
      <c r="M146" s="188" t="s">
        <v>181</v>
      </c>
    </row>
    <row r="147" spans="3:18">
      <c r="C147" s="163" t="s">
        <v>41</v>
      </c>
      <c r="D147" s="22"/>
      <c r="E147" s="51">
        <f>AVERAGE(D146:E146)*E145</f>
        <v>143.72399999999999</v>
      </c>
      <c r="F147" s="51">
        <f>AVERAGE(E146:F146)*F145</f>
        <v>260.95690000000002</v>
      </c>
      <c r="G147" s="164">
        <f ca="1">IF($D$7=1,AVERAGE(F146,G146)*G145,0)</f>
        <v>261.20760000000001</v>
      </c>
      <c r="H147" s="164">
        <f t="shared" ref="H147:K147" ca="1" si="43">IF($D$7=1,AVERAGE(G146,H146)*H145,0)</f>
        <v>261.60000000000002</v>
      </c>
      <c r="I147" s="164">
        <f t="shared" ca="1" si="43"/>
        <v>261.60000000000002</v>
      </c>
      <c r="J147" s="164">
        <f t="shared" ca="1" si="43"/>
        <v>261.60000000000002</v>
      </c>
      <c r="K147" s="164">
        <f t="shared" ca="1" si="43"/>
        <v>261.60000000000002</v>
      </c>
      <c r="L147" s="21"/>
      <c r="M147" s="188" t="s">
        <v>180</v>
      </c>
    </row>
    <row r="148" spans="3:18">
      <c r="C148" s="81"/>
      <c r="D148" s="34"/>
      <c r="E148" s="34"/>
      <c r="F148" s="22"/>
      <c r="G148" s="208"/>
      <c r="H148" s="208"/>
      <c r="I148" s="208"/>
      <c r="J148" s="208"/>
      <c r="K148" s="208"/>
      <c r="L148" s="21"/>
      <c r="M148" s="188"/>
    </row>
    <row r="149" spans="3:18">
      <c r="C149" s="94" t="s">
        <v>67</v>
      </c>
      <c r="D149" s="34"/>
      <c r="E149" s="34"/>
      <c r="F149" s="22"/>
      <c r="G149" s="208"/>
      <c r="H149" s="208"/>
      <c r="I149" s="208"/>
      <c r="J149" s="208"/>
      <c r="K149" s="208"/>
      <c r="L149" s="21"/>
      <c r="M149" s="188"/>
    </row>
    <row r="150" spans="3:18">
      <c r="C150" s="26" t="s">
        <v>112</v>
      </c>
      <c r="D150" s="34"/>
      <c r="E150" s="34">
        <f t="shared" ref="E150:K150" si="44">E57</f>
        <v>103703</v>
      </c>
      <c r="F150" s="22">
        <f t="shared" si="44"/>
        <v>102519</v>
      </c>
      <c r="G150" s="61">
        <f t="shared" si="44"/>
        <v>102519</v>
      </c>
      <c r="H150" s="61">
        <f t="shared" si="44"/>
        <v>102519</v>
      </c>
      <c r="I150" s="61">
        <f t="shared" si="44"/>
        <v>102519</v>
      </c>
      <c r="J150" s="61">
        <f t="shared" si="44"/>
        <v>102519</v>
      </c>
      <c r="K150" s="61">
        <f t="shared" si="44"/>
        <v>102519</v>
      </c>
      <c r="L150" s="21"/>
      <c r="M150" s="188" t="s">
        <v>183</v>
      </c>
    </row>
    <row r="151" spans="3:18">
      <c r="C151" s="26" t="s">
        <v>111</v>
      </c>
      <c r="E151" s="93">
        <f t="shared" ref="E151" si="45">E152/AVERAGE(D150:E150)</f>
        <v>2.101458974185896E-2</v>
      </c>
      <c r="F151" s="100">
        <f>F152/AVERAGE(E150:F150)</f>
        <v>2.8891612921996681E-2</v>
      </c>
      <c r="G151" s="512">
        <f>F151</f>
        <v>2.8891612921996681E-2</v>
      </c>
      <c r="H151" s="512">
        <f>G151</f>
        <v>2.8891612921996681E-2</v>
      </c>
      <c r="I151" s="512">
        <f>H151</f>
        <v>2.8891612921996681E-2</v>
      </c>
      <c r="J151" s="512">
        <f>I151</f>
        <v>2.8891612921996681E-2</v>
      </c>
      <c r="K151" s="512">
        <f>J151</f>
        <v>2.8891612921996681E-2</v>
      </c>
      <c r="L151" s="21"/>
      <c r="M151" s="188" t="s">
        <v>132</v>
      </c>
      <c r="R151" s="99"/>
    </row>
    <row r="152" spans="3:18">
      <c r="C152" s="54" t="s">
        <v>186</v>
      </c>
      <c r="D152" s="52"/>
      <c r="E152" s="52">
        <f>E142-E147</f>
        <v>2179.2759999999998</v>
      </c>
      <c r="F152" s="51">
        <f>F142-F147</f>
        <v>2979.0430999999999</v>
      </c>
      <c r="G152" s="20">
        <f>G151*AVERAGE(F150:G150)</f>
        <v>2961.9392651501776</v>
      </c>
      <c r="H152" s="20">
        <f>H151*AVERAGE(G150:H150)</f>
        <v>2961.9392651501776</v>
      </c>
      <c r="I152" s="20">
        <f>I151*AVERAGE(H150:I150)</f>
        <v>2961.9392651501776</v>
      </c>
      <c r="J152" s="20">
        <f>J151*AVERAGE(I150:J150)</f>
        <v>2961.9392651501776</v>
      </c>
      <c r="K152" s="20">
        <f>K151*AVERAGE(J150:K150)</f>
        <v>2961.9392651501776</v>
      </c>
      <c r="L152" s="21"/>
      <c r="M152" s="188" t="s">
        <v>114</v>
      </c>
    </row>
    <row r="153" spans="3:18">
      <c r="E153" s="34"/>
      <c r="F153" s="6"/>
      <c r="G153" s="208"/>
      <c r="H153" s="208"/>
      <c r="I153" s="208"/>
      <c r="J153" s="208"/>
      <c r="K153" s="208"/>
      <c r="L153" s="21"/>
      <c r="M153" s="188"/>
    </row>
    <row r="154" spans="3:18">
      <c r="C154" s="60" t="s">
        <v>42</v>
      </c>
      <c r="E154" s="34"/>
      <c r="F154" s="22"/>
      <c r="G154" s="208"/>
      <c r="H154" s="208"/>
      <c r="I154" s="208"/>
      <c r="J154" s="208"/>
      <c r="K154" s="208"/>
      <c r="L154" s="21"/>
      <c r="M154" s="188"/>
    </row>
    <row r="155" spans="3:18" ht="15" customHeight="1">
      <c r="C155" s="26" t="s">
        <v>115</v>
      </c>
      <c r="D155" s="55">
        <v>1.7299999999999999E-2</v>
      </c>
      <c r="E155" s="56">
        <v>1.9900000000000001E-2</v>
      </c>
      <c r="F155" s="124">
        <v>2.1600000000000001E-2</v>
      </c>
      <c r="G155" s="210">
        <f>F155</f>
        <v>2.1600000000000001E-2</v>
      </c>
      <c r="H155" s="210">
        <f>G155</f>
        <v>2.1600000000000001E-2</v>
      </c>
      <c r="I155" s="210">
        <f>H155</f>
        <v>2.1600000000000001E-2</v>
      </c>
      <c r="J155" s="210">
        <f>I155</f>
        <v>2.1600000000000001E-2</v>
      </c>
      <c r="K155" s="210">
        <f>J155</f>
        <v>2.1600000000000001E-2</v>
      </c>
      <c r="L155" s="21"/>
      <c r="M155" s="188" t="s">
        <v>132</v>
      </c>
    </row>
    <row r="156" spans="3:18" ht="15" customHeight="1">
      <c r="C156" s="26" t="s">
        <v>4</v>
      </c>
      <c r="D156" s="34">
        <f>D23</f>
        <v>3999</v>
      </c>
      <c r="E156" s="34">
        <f>E23</f>
        <v>5201</v>
      </c>
      <c r="F156" s="22">
        <f>F23</f>
        <v>5686</v>
      </c>
      <c r="G156" s="38">
        <f ca="1">IF($D$7=1,AVERAGE(F45,G45)*G155,0)</f>
        <v>4854.9195263044685</v>
      </c>
      <c r="H156" s="38">
        <f t="shared" ref="H156:K156" ca="1" si="46">IF($D$7=1,AVERAGE(G45,H45)*H155,0)</f>
        <v>4561.8994569280094</v>
      </c>
      <c r="I156" s="38">
        <f t="shared" ca="1" si="46"/>
        <v>4589.1249697401763</v>
      </c>
      <c r="J156" s="38">
        <f t="shared" ca="1" si="46"/>
        <v>4760.1828905108105</v>
      </c>
      <c r="K156" s="38">
        <f t="shared" ca="1" si="46"/>
        <v>5062.6675721273477</v>
      </c>
      <c r="L156" s="21"/>
      <c r="M156" s="188" t="s">
        <v>184</v>
      </c>
    </row>
    <row r="157" spans="3:18">
      <c r="C157" s="65"/>
      <c r="D157" s="100"/>
      <c r="E157" s="93"/>
      <c r="F157" s="93"/>
      <c r="G157" s="100"/>
      <c r="H157" s="100"/>
      <c r="I157" s="6"/>
      <c r="J157" s="6"/>
      <c r="K157" s="6"/>
    </row>
  </sheetData>
  <conditionalFormatting sqref="C39">
    <cfRule type="expression" dxfId="20" priority="1">
      <formula>#REF!=$C39</formula>
    </cfRule>
  </conditionalFormatting>
  <dataValidations count="2">
    <dataValidation type="list" allowBlank="1" showInputMessage="1" showErrorMessage="1" sqref="C3" xr:uid="{613FEB2C-D9D6-4967-9C86-0C65F5907CA2}">
      <formula1>"$ bns except per share, $ mm except per share,$ in thousands except per share"</formula1>
    </dataValidation>
    <dataValidation type="list" allowBlank="1" showInputMessage="1" showErrorMessage="1" sqref="D7" xr:uid="{F5944852-7D5D-4FCD-940B-40DC829179D0}">
      <formula1>"0,1"</formula1>
    </dataValidation>
  </dataValidations>
  <pageMargins left="0.7" right="0.7" top="0.75" bottom="0.75" header="0.3" footer="0.3"/>
  <pageSetup scale="3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13</vt:i4>
      </vt:variant>
    </vt:vector>
  </HeadingPairs>
  <TitlesOfParts>
    <vt:vector size="33" baseType="lpstr">
      <vt:lpstr>QCOM FSM Data Input_Empty</vt:lpstr>
      <vt:lpstr>QCOM FSM Forecasting </vt:lpstr>
      <vt:lpstr>FSM Forecasting_Empty II</vt:lpstr>
      <vt:lpstr>FSM Forecasting_Empty</vt:lpstr>
      <vt:lpstr>FSM Data Input_Done</vt:lpstr>
      <vt:lpstr>FSM Forecasting_ProgressCheck1</vt:lpstr>
      <vt:lpstr>FSM Forecasting_ProgressCheck2</vt:lpstr>
      <vt:lpstr>FSM Complete</vt:lpstr>
      <vt:lpstr>Find the errors</vt:lpstr>
      <vt:lpstr>Find the errors Complete</vt:lpstr>
      <vt:lpstr>Extras</vt:lpstr>
      <vt:lpstr>Extras Complete</vt:lpstr>
      <vt:lpstr>Rev Build Fill </vt:lpstr>
      <vt:lpstr>Rev Build Complete</vt:lpstr>
      <vt:lpstr>Rev Build</vt:lpstr>
      <vt:lpstr>FSM + Rev Scenarios</vt:lpstr>
      <vt:lpstr>FSM + Schedules Empty</vt:lpstr>
      <vt:lpstr>FSM + Schedules</vt:lpstr>
      <vt:lpstr>FSM 2019 Update Empty</vt:lpstr>
      <vt:lpstr>2019 FSM Update Complete</vt:lpstr>
      <vt:lpstr>'2019 FSM Update Complete'!Print_Area</vt:lpstr>
      <vt:lpstr>Extras!Print_Area</vt:lpstr>
      <vt:lpstr>'Extras Complete'!Print_Area</vt:lpstr>
      <vt:lpstr>'Find the errors'!Print_Area</vt:lpstr>
      <vt:lpstr>'Find the errors Complete'!Print_Area</vt:lpstr>
      <vt:lpstr>'FSM 2019 Update Empty'!Print_Area</vt:lpstr>
      <vt:lpstr>'FSM Complete'!Print_Area</vt:lpstr>
      <vt:lpstr>'FSM Forecasting_Empty'!Print_Area</vt:lpstr>
      <vt:lpstr>'FSM Forecasting_Empty II'!Print_Area</vt:lpstr>
      <vt:lpstr>'FSM Forecasting_ProgressCheck1'!Print_Area</vt:lpstr>
      <vt:lpstr>'FSM Forecasting_ProgressCheck2'!Print_Area</vt:lpstr>
      <vt:lpstr>'Rev Build Complete'!Print_Area</vt:lpstr>
      <vt:lpstr>'Rev Build Fill '!Print_Area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 Street Prep</dc:creator>
  <cp:lastModifiedBy>Massimo</cp:lastModifiedBy>
  <cp:lastPrinted>2014-05-21T15:17:24Z</cp:lastPrinted>
  <dcterms:created xsi:type="dcterms:W3CDTF">2011-11-04T21:28:06Z</dcterms:created>
  <dcterms:modified xsi:type="dcterms:W3CDTF">2022-10-08T02:54:08Z</dcterms:modified>
</cp:coreProperties>
</file>