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350B336D-0E1B-4F83-9A12-11FC1A258FA1}" xr6:coauthVersionLast="47" xr6:coauthVersionMax="47" xr10:uidLastSave="{00000000-0000-0000-0000-000000000000}"/>
  <bookViews>
    <workbookView xWindow="3120" yWindow="3120"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2" i="11" l="1"/>
  <c r="I122" i="11"/>
  <c r="H122" i="11"/>
  <c r="G122" i="11"/>
  <c r="J121" i="11"/>
  <c r="I121" i="11"/>
  <c r="H121" i="11"/>
  <c r="G121" i="11"/>
  <c r="J122" i="9"/>
  <c r="I122" i="9"/>
  <c r="H122" i="9"/>
  <c r="G122" i="9"/>
  <c r="J121" i="9"/>
  <c r="I121" i="9"/>
  <c r="H121" i="9"/>
  <c r="G121" i="9"/>
  <c r="J122" i="1"/>
  <c r="I122" i="1"/>
  <c r="H122" i="1"/>
  <c r="G122" i="1"/>
  <c r="J121" i="1"/>
  <c r="I121" i="1"/>
  <c r="H121" i="1"/>
  <c r="G121" i="1"/>
  <c r="F122" i="11"/>
  <c r="F122" i="9"/>
  <c r="F122" i="1"/>
  <c r="F121" i="11"/>
  <c r="F121" i="9"/>
  <c r="F121" i="1"/>
  <c r="J127" i="11"/>
  <c r="J129" i="11" s="1"/>
  <c r="J132" i="11" s="1"/>
  <c r="I127" i="11"/>
  <c r="I129" i="11" s="1"/>
  <c r="I132" i="11" s="1"/>
  <c r="J127" i="9"/>
  <c r="J129" i="9" s="1"/>
  <c r="J132" i="9" s="1"/>
  <c r="I127" i="9"/>
  <c r="I129" i="9" s="1"/>
  <c r="I132" i="9" s="1"/>
  <c r="J127" i="1"/>
  <c r="J129" i="1" s="1"/>
  <c r="J132" i="1" s="1"/>
  <c r="I127" i="1"/>
  <c r="I129" i="1" s="1"/>
  <c r="I132" i="1" s="1"/>
  <c r="F127" i="9"/>
  <c r="F129" i="9" s="1"/>
  <c r="F132" i="9" s="1"/>
  <c r="F127" i="1"/>
  <c r="F129" i="1" s="1"/>
  <c r="F132" i="1" s="1"/>
  <c r="J123" i="11"/>
  <c r="I123" i="11"/>
  <c r="H123" i="11"/>
  <c r="H127" i="11" s="1"/>
  <c r="H129" i="11" s="1"/>
  <c r="H132" i="11" s="1"/>
  <c r="G123" i="11"/>
  <c r="G127" i="11" s="1"/>
  <c r="G129" i="11" s="1"/>
  <c r="G132" i="11" s="1"/>
  <c r="J123" i="9"/>
  <c r="I123" i="9"/>
  <c r="H123" i="9"/>
  <c r="H127" i="9" s="1"/>
  <c r="H129" i="9" s="1"/>
  <c r="H132" i="9" s="1"/>
  <c r="G123" i="9"/>
  <c r="G127" i="9" s="1"/>
  <c r="G129" i="9" s="1"/>
  <c r="G132" i="9" s="1"/>
  <c r="J123" i="1"/>
  <c r="I123" i="1"/>
  <c r="H123" i="1"/>
  <c r="H127" i="1" s="1"/>
  <c r="H129" i="1" s="1"/>
  <c r="H132" i="1" s="1"/>
  <c r="G123" i="1"/>
  <c r="G127" i="1" s="1"/>
  <c r="G129" i="1" s="1"/>
  <c r="G132" i="1" s="1"/>
  <c r="F123" i="11"/>
  <c r="F127" i="11" s="1"/>
  <c r="F129" i="11" s="1"/>
  <c r="F132" i="11" s="1"/>
  <c r="F123" i="9"/>
  <c r="F123" i="1"/>
  <c r="J119" i="11"/>
  <c r="I119" i="11"/>
  <c r="H119" i="11"/>
  <c r="G119" i="11"/>
  <c r="J119" i="9"/>
  <c r="I119" i="9"/>
  <c r="H119" i="9"/>
  <c r="G119" i="9"/>
  <c r="J119" i="1"/>
  <c r="I119" i="1"/>
  <c r="H119" i="1"/>
  <c r="G119" i="1"/>
  <c r="F119" i="11"/>
  <c r="F119" i="9"/>
  <c r="F119" i="1"/>
  <c r="J117" i="11"/>
  <c r="I117" i="11"/>
  <c r="H117" i="11"/>
  <c r="G117" i="11"/>
  <c r="J117" i="9"/>
  <c r="I117" i="9"/>
  <c r="H117" i="9"/>
  <c r="G117" i="9"/>
  <c r="J117" i="1"/>
  <c r="I117" i="1"/>
  <c r="H117" i="1"/>
  <c r="G117" i="1"/>
  <c r="F117" i="11"/>
  <c r="F117" i="9"/>
  <c r="F117" i="1"/>
  <c r="J116" i="11"/>
  <c r="I116" i="11"/>
  <c r="H116" i="11"/>
  <c r="G116" i="11"/>
  <c r="J116" i="9"/>
  <c r="I116" i="9"/>
  <c r="H116" i="9"/>
  <c r="G116" i="9"/>
  <c r="J116" i="1"/>
  <c r="I116" i="1"/>
  <c r="H116" i="1"/>
  <c r="G116" i="1"/>
  <c r="F116" i="11"/>
  <c r="F116" i="9"/>
  <c r="F116" i="1"/>
  <c r="J115" i="11"/>
  <c r="I115" i="11"/>
  <c r="H115" i="11"/>
  <c r="G115" i="11"/>
  <c r="J115" i="9"/>
  <c r="I115" i="9"/>
  <c r="H115" i="9"/>
  <c r="G115" i="9"/>
  <c r="J115" i="1"/>
  <c r="I115" i="1"/>
  <c r="H115" i="1"/>
  <c r="G115" i="1"/>
  <c r="F115" i="11"/>
  <c r="F115" i="9"/>
  <c r="F115" i="1"/>
  <c r="J114" i="11"/>
  <c r="I114" i="11"/>
  <c r="H114" i="11"/>
  <c r="G114" i="11"/>
  <c r="J114" i="9"/>
  <c r="I114" i="9"/>
  <c r="H114" i="9"/>
  <c r="G114" i="9"/>
  <c r="J114" i="1"/>
  <c r="I114" i="1"/>
  <c r="H114" i="1"/>
  <c r="G114" i="1"/>
  <c r="F114" i="11"/>
  <c r="F114" i="9"/>
  <c r="F114" i="1"/>
  <c r="J113" i="11"/>
  <c r="I113" i="11"/>
  <c r="H113" i="11"/>
  <c r="G113" i="11"/>
  <c r="J113" i="9"/>
  <c r="I113" i="9"/>
  <c r="H113" i="9"/>
  <c r="G113" i="9"/>
  <c r="J113" i="1"/>
  <c r="I113" i="1"/>
  <c r="H113" i="1"/>
  <c r="G113" i="1"/>
  <c r="F113" i="11"/>
  <c r="F113" i="9"/>
  <c r="F113" i="1"/>
  <c r="J102" i="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D27" i="1"/>
  <c r="D21" i="1"/>
  <c r="J14" i="1"/>
  <c r="I14" i="1"/>
  <c r="J15" i="1"/>
  <c r="I15" i="1"/>
  <c r="E7" i="11"/>
  <c r="D57" i="1"/>
  <c r="E57" i="1"/>
  <c r="E92" i="1"/>
  <c r="D92" i="1"/>
  <c r="D93" i="1"/>
  <c r="E93" i="1"/>
  <c r="F101" i="1"/>
  <c r="E96" i="1"/>
  <c r="E99" i="1" s="1"/>
  <c r="K99" i="1" s="1"/>
  <c r="F99" i="1" s="1"/>
  <c r="G99" i="1" s="1"/>
  <c r="H99" i="1" l="1"/>
  <c r="G97" i="1"/>
  <c r="F97" i="1"/>
  <c r="I99" i="1" l="1"/>
  <c r="H97" i="1"/>
  <c r="G101" i="1"/>
  <c r="H101" i="1" l="1"/>
  <c r="J99" i="1"/>
  <c r="J97" i="1" s="1"/>
  <c r="I97" i="1"/>
  <c r="I101" i="1" l="1"/>
  <c r="J101" i="1" l="1"/>
  <c r="C46" i="1" l="1"/>
  <c r="D46" i="1"/>
  <c r="E46" i="1"/>
  <c r="D96" i="1"/>
  <c r="D99" i="1" s="1"/>
  <c r="E98" i="1"/>
  <c r="E80" i="1"/>
  <c r="D80" i="1"/>
  <c r="E78" i="1"/>
  <c r="D78" i="1"/>
  <c r="E77" i="1"/>
  <c r="F77" i="1" s="1"/>
  <c r="G77" i="1" s="1"/>
  <c r="H77" i="1" s="1"/>
  <c r="I77" i="1" s="1"/>
  <c r="J77" i="1" s="1"/>
  <c r="D77" i="1"/>
  <c r="F107" i="1"/>
  <c r="E59" i="1"/>
  <c r="E43" i="1"/>
  <c r="D43" i="1"/>
  <c r="C43" i="1"/>
  <c r="G107" i="1" l="1"/>
  <c r="D75" i="1"/>
  <c r="D98" i="1"/>
  <c r="H107" i="1" l="1"/>
  <c r="K93" i="1"/>
  <c r="F93" i="1" s="1"/>
  <c r="G93" i="1" s="1"/>
  <c r="H93" i="1" s="1"/>
  <c r="I93" i="1" s="1"/>
  <c r="J93" i="1" s="1"/>
  <c r="I107" i="1" l="1"/>
  <c r="J107" i="1" l="1"/>
  <c r="E83" i="1"/>
  <c r="D83" i="1"/>
  <c r="F105" i="1" l="1"/>
  <c r="G105" i="1" s="1"/>
  <c r="H105" i="1" l="1"/>
  <c r="I105" i="1" l="1"/>
  <c r="J105" i="1" l="1"/>
  <c r="B111" i="1" l="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D39" i="1"/>
  <c r="F39" i="1"/>
  <c r="C64" i="1"/>
  <c r="E79" i="1"/>
  <c r="F79" i="1" s="1"/>
  <c r="G79" i="1" s="1"/>
  <c r="H79" i="1" s="1"/>
  <c r="I79" i="1" s="1"/>
  <c r="J79" i="1" s="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F111" i="1"/>
  <c r="G40" i="1"/>
  <c r="C51" i="1"/>
  <c r="F110" i="1"/>
  <c r="G72" i="1" l="1"/>
  <c r="G87" i="1"/>
  <c r="G71" i="1"/>
  <c r="G86" i="1"/>
  <c r="I66" i="1"/>
  <c r="H39" i="1"/>
  <c r="D28" i="1"/>
  <c r="H28" i="1" s="1"/>
  <c r="D53" i="1"/>
  <c r="D33" i="1"/>
  <c r="D29" i="1"/>
  <c r="H29" i="1" s="1"/>
  <c r="D32" i="1"/>
  <c r="H32" i="1" s="1"/>
  <c r="D31" i="1"/>
  <c r="H31" i="1" s="1"/>
  <c r="D30" i="1"/>
  <c r="H30" i="1" s="1"/>
  <c r="C53" i="1"/>
  <c r="C67" i="1"/>
  <c r="E67" i="1"/>
  <c r="F67" i="1" s="1"/>
  <c r="E53" i="1"/>
  <c r="G110" i="1"/>
  <c r="G111" i="1"/>
  <c r="H40" i="1"/>
  <c r="F42" i="1"/>
  <c r="F46" i="1" s="1"/>
  <c r="H72" i="1" l="1"/>
  <c r="H87" i="1"/>
  <c r="H86" i="1"/>
  <c r="H71" i="1"/>
  <c r="H33" i="1"/>
  <c r="J29" i="1"/>
  <c r="J31" i="1"/>
  <c r="J32" i="1"/>
  <c r="J66" i="1"/>
  <c r="J28" i="1"/>
  <c r="J30" i="1"/>
  <c r="F92" i="1"/>
  <c r="F76" i="1"/>
  <c r="F74" i="1"/>
  <c r="G67" i="1"/>
  <c r="H110" i="1"/>
  <c r="I39" i="1"/>
  <c r="H111" i="1"/>
  <c r="I40" i="1"/>
  <c r="F80" i="1"/>
  <c r="F45" i="1"/>
  <c r="G42" i="1"/>
  <c r="G46" i="1" s="1"/>
  <c r="F44" i="1"/>
  <c r="I86" i="1" l="1"/>
  <c r="I71" i="1"/>
  <c r="I87" i="1"/>
  <c r="I72" i="1"/>
  <c r="J33" i="1"/>
  <c r="G92" i="1"/>
  <c r="G76" i="1"/>
  <c r="H67" i="1"/>
  <c r="F43" i="1"/>
  <c r="F58" i="1" s="1"/>
  <c r="F47" i="1"/>
  <c r="F56" i="1" s="1"/>
  <c r="G80" i="1"/>
  <c r="I111" i="1"/>
  <c r="J40" i="1"/>
  <c r="I110" i="1"/>
  <c r="J39" i="1"/>
  <c r="G44" i="1"/>
  <c r="G45" i="1"/>
  <c r="G74" i="1"/>
  <c r="H42" i="1"/>
  <c r="H46" i="1" s="1"/>
  <c r="J87" i="1" l="1"/>
  <c r="J72" i="1"/>
  <c r="J71" i="1"/>
  <c r="J86" i="1"/>
  <c r="H92" i="1"/>
  <c r="H76" i="1"/>
  <c r="F78" i="1"/>
  <c r="I67" i="1"/>
  <c r="G43" i="1"/>
  <c r="G47" i="1"/>
  <c r="G56" i="1" s="1"/>
  <c r="J110" i="1"/>
  <c r="J111" i="1"/>
  <c r="H45" i="1"/>
  <c r="I42" i="1"/>
  <c r="I46" i="1" s="1"/>
  <c r="H80" i="1"/>
  <c r="H44" i="1"/>
  <c r="H74" i="1"/>
  <c r="F83" i="1" l="1"/>
  <c r="I92" i="1"/>
  <c r="I76" i="1"/>
  <c r="J67" i="1"/>
  <c r="G58" i="1"/>
  <c r="G78" i="1"/>
  <c r="H43" i="1"/>
  <c r="H47" i="1"/>
  <c r="H56" i="1" s="1"/>
  <c r="I45" i="1"/>
  <c r="I80" i="1"/>
  <c r="I74" i="1"/>
  <c r="I44" i="1"/>
  <c r="J42" i="1"/>
  <c r="J46" i="1" s="1"/>
  <c r="J92" i="1" l="1"/>
  <c r="J76" i="1"/>
  <c r="H78" i="1"/>
  <c r="H58" i="1"/>
  <c r="G83" i="1"/>
  <c r="I43" i="1"/>
  <c r="I78" i="1" s="1"/>
  <c r="I47" i="1"/>
  <c r="I56" i="1" s="1"/>
  <c r="J80" i="1"/>
  <c r="J74" i="1"/>
  <c r="J44" i="1"/>
  <c r="J45" i="1"/>
  <c r="H83" i="1" l="1"/>
  <c r="I58" i="1"/>
  <c r="J43" i="1"/>
  <c r="J58" i="1" s="1"/>
  <c r="J47" i="1"/>
  <c r="J56" i="1" s="1"/>
  <c r="I83" i="1" l="1"/>
  <c r="J78" i="1"/>
  <c r="J83" i="1" l="1"/>
  <c r="F91" i="1" l="1"/>
  <c r="F57" i="1" s="1"/>
  <c r="G91" i="1" l="1"/>
  <c r="F89" i="1"/>
  <c r="G89" i="1" l="1"/>
  <c r="H91" i="1"/>
  <c r="J91" i="1" l="1"/>
  <c r="I91" i="1"/>
  <c r="H89" i="1"/>
  <c r="I89" i="1" l="1"/>
  <c r="F98" i="1"/>
  <c r="J89" i="1" l="1"/>
  <c r="G98" i="1"/>
  <c r="H98" i="1"/>
  <c r="I98" i="1"/>
  <c r="J98" i="1" l="1"/>
  <c r="F95" i="1"/>
  <c r="F60" i="1" l="1"/>
  <c r="G57" i="1"/>
  <c r="G60" i="1" s="1"/>
  <c r="G95" i="1"/>
  <c r="H57" i="1" l="1"/>
  <c r="I57" i="1"/>
  <c r="I60" i="1" s="1"/>
  <c r="J57" i="1"/>
  <c r="J60" i="1" s="1"/>
  <c r="H95" i="1"/>
  <c r="I95" i="1" l="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J51" i="1"/>
  <c r="G51" i="1"/>
  <c r="H51" i="1"/>
  <c r="H52" i="1" s="1"/>
  <c r="H53" i="1" s="1"/>
  <c r="I51" i="1"/>
  <c r="G52" i="1" l="1"/>
  <c r="G53" i="1" s="1"/>
  <c r="F52" i="1"/>
  <c r="F53" i="1" s="1"/>
  <c r="J52" i="1"/>
  <c r="J53" i="1" s="1"/>
  <c r="I52" i="1"/>
  <c r="I5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F90" authorId="0" shapeId="0" xr:uid="{00000000-0006-0000-0000-00001F00000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xr:uid="{00000000-0006-0000-0000-00002000000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xr:uid="{00000000-0006-0000-0000-00002100000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xr:uid="{00000000-0006-0000-0000-00002200000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xr:uid="{00000000-0006-0000-0000-00002300000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xr:uid="{00000000-0006-0000-0000-00002400000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00000000-0006-0000-0000-000025000000}">
      <text>
        <r>
          <rPr>
            <b/>
            <sz val="9"/>
            <color indexed="81"/>
            <rFont val="Tahoma"/>
            <family val="2"/>
          </rPr>
          <t>Wall Street Prep:</t>
        </r>
        <r>
          <rPr>
            <sz val="9"/>
            <color indexed="81"/>
            <rFont val="Tahoma"/>
            <family val="2"/>
          </rPr>
          <t xml:space="preserve">
CFS</t>
        </r>
      </text>
    </comment>
    <comment ref="F96" authorId="0" shapeId="0" xr:uid="{00000000-0006-0000-0000-000026000000}">
      <text>
        <r>
          <rPr>
            <b/>
            <sz val="9"/>
            <color indexed="81"/>
            <rFont val="Tahoma"/>
            <family val="2"/>
          </rPr>
          <t>Wall Street Prep:</t>
        </r>
        <r>
          <rPr>
            <sz val="9"/>
            <color indexed="81"/>
            <rFont val="Tahoma"/>
            <family val="2"/>
          </rPr>
          <t xml:space="preserve">
BMC projections per Merger Proxy, p.72</t>
        </r>
      </text>
    </comment>
    <comment ref="G96" authorId="0" shapeId="0" xr:uid="{00000000-0006-0000-0000-000027000000}">
      <text>
        <r>
          <rPr>
            <b/>
            <sz val="9"/>
            <color indexed="81"/>
            <rFont val="Tahoma"/>
            <family val="2"/>
          </rPr>
          <t>Wall Street Prep:</t>
        </r>
        <r>
          <rPr>
            <sz val="9"/>
            <color indexed="81"/>
            <rFont val="Tahoma"/>
            <family val="2"/>
          </rPr>
          <t xml:space="preserve">
BMC projections per Merger Proxy, p.72</t>
        </r>
      </text>
    </comment>
    <comment ref="H96" authorId="0" shapeId="0" xr:uid="{00000000-0006-0000-0000-000028000000}">
      <text>
        <r>
          <rPr>
            <b/>
            <sz val="9"/>
            <color indexed="81"/>
            <rFont val="Tahoma"/>
            <family val="2"/>
          </rPr>
          <t>Wall Street Prep:</t>
        </r>
        <r>
          <rPr>
            <sz val="9"/>
            <color indexed="81"/>
            <rFont val="Tahoma"/>
            <family val="2"/>
          </rPr>
          <t xml:space="preserve">
BMC projections per Merger Proxy, p.72</t>
        </r>
      </text>
    </comment>
    <comment ref="I96" authorId="0" shapeId="0" xr:uid="{00000000-0006-0000-0000-000029000000}">
      <text>
        <r>
          <rPr>
            <b/>
            <sz val="9"/>
            <color indexed="81"/>
            <rFont val="Tahoma"/>
            <family val="2"/>
          </rPr>
          <t>Wall Street Prep:</t>
        </r>
        <r>
          <rPr>
            <sz val="9"/>
            <color indexed="81"/>
            <rFont val="Tahoma"/>
            <family val="2"/>
          </rPr>
          <t xml:space="preserve">
BMC projections per Merger Proxy, p.72</t>
        </r>
      </text>
    </comment>
    <comment ref="J96" authorId="0" shapeId="0" xr:uid="{00000000-0006-0000-0000-00002A000000}">
      <text>
        <r>
          <rPr>
            <b/>
            <sz val="9"/>
            <color indexed="81"/>
            <rFont val="Tahoma"/>
            <family val="2"/>
          </rPr>
          <t>Wall Street Prep:</t>
        </r>
        <r>
          <rPr>
            <sz val="9"/>
            <color indexed="81"/>
            <rFont val="Tahoma"/>
            <family val="2"/>
          </rPr>
          <t xml:space="preserve">
BMC projections per Merger Proxy, p.72</t>
        </r>
      </text>
    </comment>
    <comment ref="F102" authorId="0" shapeId="0" xr:uid="{00000000-0006-0000-0000-00002B000000}">
      <text>
        <r>
          <rPr>
            <b/>
            <sz val="9"/>
            <color indexed="81"/>
            <rFont val="Tahoma"/>
            <family val="2"/>
          </rPr>
          <t>Wall Street Prep:</t>
        </r>
        <r>
          <rPr>
            <sz val="9"/>
            <color indexed="81"/>
            <rFont val="Tahoma"/>
            <family val="2"/>
          </rPr>
          <t xml:space="preserve">
WSP estimate</t>
        </r>
      </text>
    </comment>
    <comment ref="G102" authorId="0" shapeId="0" xr:uid="{00000000-0006-0000-0000-00002C000000}">
      <text>
        <r>
          <rPr>
            <b/>
            <sz val="9"/>
            <color indexed="81"/>
            <rFont val="Tahoma"/>
            <family val="2"/>
          </rPr>
          <t>Wall Street Prep:</t>
        </r>
        <r>
          <rPr>
            <sz val="9"/>
            <color indexed="81"/>
            <rFont val="Tahoma"/>
            <family val="2"/>
          </rPr>
          <t xml:space="preserve">
WSP estimate</t>
        </r>
      </text>
    </comment>
    <comment ref="H102" authorId="0" shapeId="0" xr:uid="{00000000-0006-0000-0000-00002D000000}">
      <text>
        <r>
          <rPr>
            <b/>
            <sz val="9"/>
            <color indexed="81"/>
            <rFont val="Tahoma"/>
            <family val="2"/>
          </rPr>
          <t>Wall Street Prep:</t>
        </r>
        <r>
          <rPr>
            <sz val="9"/>
            <color indexed="81"/>
            <rFont val="Tahoma"/>
            <family val="2"/>
          </rPr>
          <t xml:space="preserve">
WSP estimate</t>
        </r>
      </text>
    </comment>
    <comment ref="I102" authorId="0" shapeId="0" xr:uid="{00000000-0006-0000-0000-00002E000000}">
      <text>
        <r>
          <rPr>
            <b/>
            <sz val="9"/>
            <color indexed="81"/>
            <rFont val="Tahoma"/>
            <family val="2"/>
          </rPr>
          <t>Wall Street Prep:</t>
        </r>
        <r>
          <rPr>
            <sz val="9"/>
            <color indexed="81"/>
            <rFont val="Tahoma"/>
            <family val="2"/>
          </rPr>
          <t xml:space="preserve">
WSP estimate</t>
        </r>
      </text>
    </comment>
    <comment ref="J102" authorId="0" shapeId="0" xr:uid="{00000000-0006-0000-0000-00002F000000}">
      <text>
        <r>
          <rPr>
            <b/>
            <sz val="9"/>
            <color indexed="81"/>
            <rFont val="Tahoma"/>
            <family val="2"/>
          </rPr>
          <t>Wall Street Prep:</t>
        </r>
        <r>
          <rPr>
            <sz val="9"/>
            <color indexed="81"/>
            <rFont val="Tahoma"/>
            <family val="2"/>
          </rPr>
          <t xml:space="preserve">
WSP estimate</t>
        </r>
      </text>
    </comment>
    <comment ref="F103" authorId="0" shapeId="0" xr:uid="{00000000-0006-0000-0000-000030000000}">
      <text>
        <r>
          <rPr>
            <b/>
            <sz val="9"/>
            <color indexed="81"/>
            <rFont val="Tahoma"/>
            <family val="2"/>
          </rPr>
          <t>Wall Street Prep:</t>
        </r>
        <r>
          <rPr>
            <sz val="9"/>
            <color indexed="81"/>
            <rFont val="Tahoma"/>
            <family val="2"/>
          </rPr>
          <t xml:space="preserve">
BMC projections per Merger Proxy, p.72</t>
        </r>
      </text>
    </comment>
    <comment ref="G103" authorId="0" shapeId="0" xr:uid="{00000000-0006-0000-0000-000031000000}">
      <text>
        <r>
          <rPr>
            <b/>
            <sz val="9"/>
            <color indexed="81"/>
            <rFont val="Tahoma"/>
            <family val="2"/>
          </rPr>
          <t>Wall Street Prep:</t>
        </r>
        <r>
          <rPr>
            <sz val="9"/>
            <color indexed="81"/>
            <rFont val="Tahoma"/>
            <family val="2"/>
          </rPr>
          <t xml:space="preserve">
BMC projections per Merger Proxy, p.72</t>
        </r>
      </text>
    </comment>
    <comment ref="H103" authorId="0" shapeId="0" xr:uid="{00000000-0006-0000-0000-000032000000}">
      <text>
        <r>
          <rPr>
            <b/>
            <sz val="9"/>
            <color indexed="81"/>
            <rFont val="Tahoma"/>
            <family val="2"/>
          </rPr>
          <t>Wall Street Prep:</t>
        </r>
        <r>
          <rPr>
            <sz val="9"/>
            <color indexed="81"/>
            <rFont val="Tahoma"/>
            <family val="2"/>
          </rPr>
          <t xml:space="preserve">
BMC projections per Merger Proxy, p.72</t>
        </r>
      </text>
    </comment>
    <comment ref="I103" authorId="0" shapeId="0" xr:uid="{00000000-0006-0000-0000-000033000000}">
      <text>
        <r>
          <rPr>
            <b/>
            <sz val="9"/>
            <color indexed="81"/>
            <rFont val="Tahoma"/>
            <family val="2"/>
          </rPr>
          <t>Wall Street Prep:</t>
        </r>
        <r>
          <rPr>
            <sz val="9"/>
            <color indexed="81"/>
            <rFont val="Tahoma"/>
            <family val="2"/>
          </rPr>
          <t xml:space="preserve">
BMC projections per Merger Proxy, p.72</t>
        </r>
      </text>
    </comment>
    <comment ref="J103" authorId="0" shapeId="0" xr:uid="{00000000-0006-0000-0000-000034000000}">
      <text>
        <r>
          <rPr>
            <b/>
            <sz val="9"/>
            <color indexed="81"/>
            <rFont val="Tahoma"/>
            <family val="2"/>
          </rPr>
          <t>Wall Street Prep:</t>
        </r>
        <r>
          <rPr>
            <sz val="9"/>
            <color indexed="81"/>
            <rFont val="Tahoma"/>
            <family val="2"/>
          </rPr>
          <t xml:space="preserve">
BMC projections per Merger Proxy, p.72</t>
        </r>
      </text>
    </comment>
    <comment ref="D105" authorId="0" shapeId="0" xr:uid="{00000000-0006-0000-0000-000035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3600000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<sst xmlns="http://schemas.openxmlformats.org/spreadsheetml/2006/main" count="163" uniqueCount="147">
  <si>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</si>
  <si>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</si>
  <si>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</si>
  <si>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</si>
  <si>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</si>
  <si>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</si>
  <si>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</si>
  <si>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</si>
  <si>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</si>
  <si>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</si>
  <si>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</si>
  <si>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</si>
  <si>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</si>
  <si>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</si>
  <si>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</si>
  <si>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</si>
  <si>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</si>
  <si>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</si>
  <si>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</si>
  <si>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</si>
  <si>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</si>
  <si>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</si>
  <si>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</si>
  <si>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</si>
  <si>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</si>
  <si>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</si>
  <si>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</si>
  <si>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</si>
  <si>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</si>
  <si>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</si>
  <si>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</si>
  <si>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</si>
  <si>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</si>
  <si>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</si>
  <si>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</si>
  <si>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</si>
  <si>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</si>
  <si>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</si>
  <si>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</si>
  <si>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</si>
  <si>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</si>
  <si>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</si>
  <si>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</si>
  <si>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</si>
  <si>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</si>
  <si>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</si>
  <si>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</si>
  <si>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</si>
  <si>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</si>
  <si>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</si>
  <si>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</si>
  <si>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</si>
  <si>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</si>
  <si>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</si>
  <si>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</si>
  <si>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</si>
  <si>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</si>
  <si>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</si>
  <si>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</si>
  <si>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</si>
  <si>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</si>
  <si>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</si>
  <si>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</si>
  <si>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</si>
  <si>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</si>
  <si>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</si>
  <si>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</si>
  <si>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</si>
  <si>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</si>
  <si>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</si>
  <si>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</si>
  <si>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</si>
  <si>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</si>
  <si>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</si>
  <si>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Term Loan A</t>
  </si>
  <si>
    <t>Term Loan B</t>
  </si>
  <si>
    <t>Senior Note</t>
  </si>
  <si>
    <t>Sub Note</t>
  </si>
  <si>
    <t>Required debt principal payments</t>
  </si>
  <si>
    <t>Post-revolver cash flows</t>
  </si>
  <si>
    <t>Discretionary Term A paydown</t>
  </si>
  <si>
    <t>Pre-revolver cash flows</t>
  </si>
  <si>
    <t>Discretionary Term B paydown</t>
  </si>
  <si>
    <t>Preferred stock</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</si>
  <si>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</si>
  <si>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</si>
  <si>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</si>
  <si>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</si>
  <si>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</si>
  <si>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</si>
  <si>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</si>
  <si>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</si>
  <si>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</si>
  <si>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</si>
  <si>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</si>
  <si>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</si>
  <si>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Step</t>
  </si>
  <si>
    <t>Addback of PIK interest</t>
  </si>
  <si>
    <t>SOURCES OF FUNDS</t>
  </si>
  <si>
    <t>USES OF FUNDS</t>
  </si>
  <si>
    <t>Depreciation as a % of capex</t>
  </si>
  <si>
    <t>Mgmt rollover</t>
  </si>
  <si>
    <t>Yes</t>
  </si>
  <si>
    <t>Preferred dividend (cash)</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</si>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</sst>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0"/>
    <numFmt numFmtId="233" formatCode="0\ &quot;yrs&quot;"/>
    <numFmt numFmtId="234" formatCode="&quot;Tranche&quot;\ 0"/>
  </numFmts>
  <fonts count="82">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b/>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25">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37" fontId="0" fillId="0" borderId="0" xfId="0" applyNumberForma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166" fontId="6" fillId="0" borderId="0" xfId="0" applyNumberFormat="1" applyFont="1"/>
    <xf numFmtId="167" fontId="6" fillId="0" borderId="0" xfId="0" applyNumberFormat="1" applyFont="1"/>
    <xf numFmtId="168" fontId="3" fillId="0" borderId="2" xfId="0" applyNumberFormat="1" applyFont="1" applyBorder="1"/>
    <xf numFmtId="169" fontId="5" fillId="0" borderId="0" xfId="0" applyNumberFormat="1" applyFont="1"/>
    <xf numFmtId="0" fontId="0" fillId="0" borderId="0" xfId="0" applyAlignment="1">
      <alignment horizontal="left"/>
    </xf>
    <xf numFmtId="0" fontId="1" fillId="0" borderId="0" xfId="0" applyFont="1" applyAlignment="1">
      <alignment horizontal="left"/>
    </xf>
    <xf numFmtId="171" fontId="1" fillId="0" borderId="0" xfId="0" applyNumberFormat="1" applyFont="1"/>
    <xf numFmtId="37" fontId="5" fillId="0" borderId="0" xfId="0" applyNumberFormat="1" applyFont="1"/>
    <xf numFmtId="3" fontId="0" fillId="0" borderId="0" xfId="0" applyNumberFormat="1"/>
    <xf numFmtId="37" fontId="1" fillId="0" borderId="0" xfId="0" applyNumberFormat="1" applyFont="1"/>
    <xf numFmtId="0" fontId="0" fillId="0" borderId="0" xfId="0" applyAlignment="1">
      <alignment horizontal="left" indent="2"/>
    </xf>
    <xf numFmtId="173" fontId="0" fillId="0" borderId="0" xfId="0" applyNumberForma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69" fillId="0" borderId="0" xfId="0" applyNumberFormat="1" applyFont="1"/>
    <xf numFmtId="208"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1" fillId="0" borderId="2" xfId="0" applyFont="1" applyBorder="1" applyAlignment="1">
      <alignment horizontal="left"/>
    </xf>
    <xf numFmtId="208" fontId="5" fillId="0" borderId="2" xfId="0" applyNumberFormat="1" applyFont="1" applyBorder="1"/>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8" fontId="1" fillId="0" borderId="0" xfId="0" applyNumberFormat="1" applyFont="1"/>
    <xf numFmtId="37" fontId="5" fillId="0" borderId="0" xfId="0" applyNumberFormat="1" applyFont="1" applyAlignment="1">
      <alignment horizontal="right"/>
    </xf>
    <xf numFmtId="0" fontId="75" fillId="0" borderId="0" xfId="0" applyFont="1" applyAlignment="1">
      <alignment horizontal="left" indent="1"/>
    </xf>
    <xf numFmtId="173" fontId="4" fillId="0" borderId="0" xfId="0" applyNumberFormat="1" applyFont="1"/>
    <xf numFmtId="165" fontId="4" fillId="0" borderId="0" xfId="0" applyNumberFormat="1" applyFont="1"/>
    <xf numFmtId="208" fontId="7" fillId="0" borderId="0" xfId="0" applyNumberFormat="1" applyFont="1"/>
    <xf numFmtId="208" fontId="6" fillId="0" borderId="0" xfId="0" applyNumberFormat="1" applyFont="1"/>
    <xf numFmtId="208" fontId="5" fillId="0" borderId="0" xfId="0" applyNumberFormat="1" applyFont="1"/>
    <xf numFmtId="208" fontId="4" fillId="0" borderId="0" xfId="0" applyNumberFormat="1" applyFont="1"/>
    <xf numFmtId="170" fontId="5" fillId="0" borderId="0" xfId="0" applyNumberFormat="1" applyFont="1"/>
    <xf numFmtId="169" fontId="69" fillId="0" borderId="0" xfId="0" applyNumberFormat="1" applyFont="1" applyAlignment="1">
      <alignment horizontal="right"/>
    </xf>
    <xf numFmtId="165" fontId="0" fillId="0" borderId="0" xfId="0" applyNumberFormat="1"/>
    <xf numFmtId="164" fontId="7" fillId="0" borderId="0" xfId="0" applyNumberFormat="1" applyFont="1"/>
    <xf numFmtId="208" fontId="0" fillId="0" borderId="2" xfId="0" applyNumberFormat="1" applyBorder="1"/>
    <xf numFmtId="228" fontId="5" fillId="0" borderId="0" xfId="0" applyNumberFormat="1" applyFont="1" applyAlignment="1">
      <alignment horizontal="right"/>
    </xf>
    <xf numFmtId="228" fontId="0" fillId="0" borderId="0" xfId="0" applyNumberFormat="1" applyAlignment="1">
      <alignment horizontal="right"/>
    </xf>
    <xf numFmtId="208" fontId="71" fillId="0" borderId="0" xfId="0" applyNumberFormat="1" applyFont="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Alignment="1">
      <alignment horizontal="right"/>
    </xf>
    <xf numFmtId="0" fontId="77" fillId="0" borderId="0" xfId="0" applyFont="1" applyAlignment="1">
      <alignment horizontal="right"/>
    </xf>
    <xf numFmtId="232" fontId="5" fillId="0" borderId="0" xfId="0" applyNumberFormat="1" applyFont="1"/>
    <xf numFmtId="39" fontId="6" fillId="0" borderId="0" xfId="0" applyNumberFormat="1" applyFont="1" applyAlignment="1">
      <alignment horizontal="right"/>
    </xf>
    <xf numFmtId="0" fontId="74" fillId="0" borderId="0" xfId="0" applyFont="1" applyAlignment="1">
      <alignment horizontal="right"/>
    </xf>
    <xf numFmtId="234"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8" fontId="68" fillId="0" borderId="0" xfId="0" applyNumberFormat="1" applyFont="1"/>
    <xf numFmtId="208" fontId="1" fillId="0" borderId="0" xfId="0" applyNumberFormat="1" applyFont="1" applyAlignment="1">
      <alignment horizontal="right"/>
    </xf>
    <xf numFmtId="233" fontId="5" fillId="0" borderId="0" xfId="0" applyNumberFormat="1" applyFont="1"/>
    <xf numFmtId="229" fontId="79"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6" fillId="0" borderId="0" xfId="186" applyNumberFormat="1" applyFont="1" applyBorder="1" applyAlignment="1" applyProtection="1">
      <alignment horizontal="center"/>
      <protection locked="0"/>
    </xf>
    <xf numFmtId="229" fontId="76" fillId="0" borderId="0" xfId="186" applyNumberFormat="1" applyFont="1" applyFill="1" applyBorder="1" applyAlignment="1" applyProtection="1">
      <alignment horizontal="center"/>
      <protection locked="0"/>
    </xf>
    <xf numFmtId="229" fontId="80"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231" fontId="7" fillId="31" borderId="23" xfId="0" applyNumberFormat="1" applyFont="1" applyFill="1" applyBorder="1" applyAlignment="1">
      <alignment horizontal="center"/>
    </xf>
    <xf numFmtId="228" fontId="77" fillId="0" borderId="0" xfId="0" applyNumberFormat="1" applyFont="1" applyAlignment="1">
      <alignment horizontal="center"/>
    </xf>
    <xf numFmtId="228"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3" fontId="0" fillId="0" borderId="22" xfId="0" applyNumberFormat="1" applyBorder="1" applyAlignment="1">
      <alignment horizontal="center"/>
    </xf>
    <xf numFmtId="230" fontId="1" fillId="0" borderId="21" xfId="0" applyNumberFormat="1" applyFont="1" applyBorder="1" applyAlignment="1">
      <alignment horizontal="center"/>
    </xf>
    <xf numFmtId="39" fontId="7" fillId="0" borderId="0" xfId="0" applyNumberFormat="1" applyFont="1" applyAlignment="1">
      <alignment horizontal="right"/>
    </xf>
    <xf numFmtId="208" fontId="4" fillId="0" borderId="2" xfId="0" applyNumberFormat="1" applyFont="1" applyBorder="1"/>
    <xf numFmtId="228" fontId="5" fillId="0" borderId="0" xfId="0" applyNumberFormat="1" applyFont="1"/>
    <xf numFmtId="208" fontId="0" fillId="32" borderId="0" xfId="0" applyNumberFormat="1" applyFill="1"/>
    <xf numFmtId="0" fontId="81" fillId="0" borderId="0" xfId="0"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3"/>
  <sheetViews>
    <sheetView tabSelected="1" topLeftCell="A84" zoomScaleNormal="100" workbookViewId="0">
      <pane ySplit="8400" topLeftCell="A17" activePane="bottomLeft"/>
      <selection activeCell="F95" sqref="F95"/>
      <selection pane="bottomLeft" activeCell="F119" sqref="F119"/>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89</v>
      </c>
      <c r="C5" s="15"/>
      <c r="D5" s="15"/>
      <c r="F5" s="61" t="s">
        <v>90</v>
      </c>
      <c r="G5" s="15"/>
      <c r="H5" s="15"/>
      <c r="I5" s="15"/>
      <c r="J5" s="15"/>
    </row>
    <row r="6" spans="2:10">
      <c r="B6" s="54" t="s">
        <v>1</v>
      </c>
      <c r="D6" s="3" t="s">
        <v>104</v>
      </c>
    </row>
    <row r="7" spans="2:10">
      <c r="B7" s="54" t="s">
        <v>87</v>
      </c>
      <c r="D7" s="3" t="s">
        <v>104</v>
      </c>
      <c r="F7" s="21" t="s">
        <v>126</v>
      </c>
      <c r="H7" s="109">
        <v>2</v>
      </c>
      <c r="I7" s="83">
        <v>1</v>
      </c>
      <c r="J7" s="84">
        <v>2</v>
      </c>
    </row>
    <row r="8" spans="2:10">
      <c r="B8" s="54" t="s">
        <v>88</v>
      </c>
      <c r="D8" s="51">
        <v>45.42</v>
      </c>
      <c r="H8" s="110" t="str">
        <f>CHOOSE($H$7,I8,J8)</f>
        <v>Explicit offer/share</v>
      </c>
      <c r="I8" s="86" t="s">
        <v>128</v>
      </c>
      <c r="J8" s="86" t="s">
        <v>129</v>
      </c>
    </row>
    <row r="9" spans="2:10">
      <c r="B9" s="54" t="s">
        <v>125</v>
      </c>
      <c r="D9" s="5">
        <v>41400</v>
      </c>
    </row>
    <row r="10" spans="2:10">
      <c r="B10" s="54" t="s">
        <v>2</v>
      </c>
      <c r="D10" s="7" t="s">
        <v>3</v>
      </c>
      <c r="F10" s="6" t="s">
        <v>58</v>
      </c>
      <c r="H10" s="117">
        <f>$D$13</f>
        <v>882.70000000000027</v>
      </c>
      <c r="I10" s="76">
        <f>$D$13</f>
        <v>882.70000000000027</v>
      </c>
      <c r="J10" s="76">
        <f>$D$13</f>
        <v>882.70000000000027</v>
      </c>
    </row>
    <row r="11" spans="2:10">
      <c r="F11" s="6" t="s">
        <v>84</v>
      </c>
      <c r="H11" s="111">
        <f>CHOOSE($H$7,I11,J11)</f>
        <v>7.3252818058230416</v>
      </c>
      <c r="I11" s="79">
        <v>8</v>
      </c>
      <c r="J11" s="80">
        <f>J12/J10</f>
        <v>7.3252818058230416</v>
      </c>
    </row>
    <row r="12" spans="2:10">
      <c r="B12" s="13" t="s">
        <v>140</v>
      </c>
      <c r="C12" s="15"/>
      <c r="D12" s="13"/>
      <c r="F12" s="4" t="s">
        <v>46</v>
      </c>
      <c r="H12" s="112">
        <f>D13*H11</f>
        <v>6466.0262500000008</v>
      </c>
      <c r="I12" s="100">
        <f>I10*I11</f>
        <v>7061.6000000000022</v>
      </c>
      <c r="J12" s="100">
        <f>J17-J14-J15</f>
        <v>6466.0262500000008</v>
      </c>
    </row>
    <row r="13" spans="2:10">
      <c r="B13" s="54" t="s">
        <v>138</v>
      </c>
      <c r="D13" s="76">
        <f>E60</f>
        <v>882.70000000000027</v>
      </c>
      <c r="H13" s="113"/>
    </row>
    <row r="14" spans="2:10">
      <c r="B14" s="54" t="s">
        <v>146</v>
      </c>
      <c r="D14" s="66">
        <v>-1306</v>
      </c>
      <c r="F14" s="54" t="s">
        <v>123</v>
      </c>
      <c r="H14" s="114">
        <f>$D$14</f>
        <v>-1306</v>
      </c>
      <c r="I14" s="85">
        <f>$D$14</f>
        <v>-1306</v>
      </c>
      <c r="J14" s="85">
        <f>$D$14</f>
        <v>-1306</v>
      </c>
    </row>
    <row r="15" spans="2:10">
      <c r="B15" s="54" t="s">
        <v>39</v>
      </c>
      <c r="D15" s="66">
        <v>1581.9</v>
      </c>
      <c r="F15" s="54" t="s">
        <v>121</v>
      </c>
      <c r="H15" s="114">
        <f>$D$15</f>
        <v>1581.9</v>
      </c>
      <c r="I15" s="85">
        <f>$D$15</f>
        <v>1581.9</v>
      </c>
      <c r="J15" s="85">
        <f>$D$15</f>
        <v>1581.9</v>
      </c>
    </row>
    <row r="16" spans="2:10">
      <c r="B16" s="27" t="s">
        <v>139</v>
      </c>
      <c r="D16" s="66">
        <v>180</v>
      </c>
      <c r="H16" s="113"/>
    </row>
    <row r="17" spans="2:18">
      <c r="B17" s="54" t="s">
        <v>127</v>
      </c>
      <c r="D17" s="122">
        <v>7.3</v>
      </c>
      <c r="F17" s="4" t="s">
        <v>59</v>
      </c>
      <c r="H17" s="115">
        <f>H12+SUM(H14:H15)</f>
        <v>6741.9262500000004</v>
      </c>
      <c r="I17" s="100">
        <f>I12+SUM(I14:I15)</f>
        <v>7337.5000000000018</v>
      </c>
      <c r="J17" s="100">
        <f>J18*J20</f>
        <v>6741.9262500000004</v>
      </c>
    </row>
    <row r="18" spans="2:18">
      <c r="C18" s="74"/>
      <c r="F18" t="s">
        <v>18</v>
      </c>
      <c r="H18" s="116">
        <f>Shares!$E$14</f>
        <v>145.77137837837839</v>
      </c>
      <c r="I18" s="81">
        <f>Shares!$E$14</f>
        <v>145.77137837837839</v>
      </c>
      <c r="J18" s="81">
        <f>Shares!$E$14</f>
        <v>145.77137837837839</v>
      </c>
      <c r="K18" s="82"/>
      <c r="L18" s="82"/>
    </row>
    <row r="19" spans="2:18">
      <c r="B19" s="61" t="s">
        <v>99</v>
      </c>
      <c r="C19" s="15"/>
      <c r="D19" s="15"/>
      <c r="H19" s="113"/>
      <c r="K19" s="82"/>
      <c r="L19" s="82"/>
    </row>
    <row r="20" spans="2:18">
      <c r="B20" s="27" t="s">
        <v>60</v>
      </c>
      <c r="D20" s="53">
        <f>H17</f>
        <v>6741.9262500000004</v>
      </c>
      <c r="F20" s="4" t="s">
        <v>85</v>
      </c>
      <c r="H20" s="119">
        <f>H17/H18</f>
        <v>46.25</v>
      </c>
      <c r="I20" s="88">
        <f>I17/I18</f>
        <v>50.335670017155714</v>
      </c>
      <c r="J20" s="120">
        <v>46.25</v>
      </c>
      <c r="K20" s="82"/>
      <c r="L20" s="82"/>
    </row>
    <row r="21" spans="2:18">
      <c r="B21" s="27" t="s">
        <v>62</v>
      </c>
      <c r="D21" s="53">
        <f>-(D14)</f>
        <v>1306</v>
      </c>
      <c r="F21" s="63" t="s">
        <v>86</v>
      </c>
      <c r="H21" s="118">
        <f>H20/$D$8-1</f>
        <v>1.8273888154997753E-2</v>
      </c>
      <c r="I21" s="82">
        <f>I20/$D$8-1</f>
        <v>0.10822699289202364</v>
      </c>
      <c r="J21" s="82">
        <f>J20/$D$8-1</f>
        <v>1.8273888154997753E-2</v>
      </c>
      <c r="K21" s="82"/>
      <c r="L21" s="82"/>
    </row>
    <row r="22" spans="2:18">
      <c r="B22" s="27" t="s">
        <v>145</v>
      </c>
      <c r="D22" s="121">
        <f>H36+H33</f>
        <v>204.52769000000004</v>
      </c>
      <c r="H22" s="63"/>
      <c r="J22" s="42"/>
      <c r="K22" s="82"/>
      <c r="L22" s="82"/>
    </row>
    <row r="23" spans="2:18">
      <c r="B23" s="24" t="s">
        <v>64</v>
      </c>
      <c r="D23" s="65">
        <f>SUM(D20:D22)</f>
        <v>8252.4539400000012</v>
      </c>
      <c r="H23" s="63"/>
      <c r="J23" s="42"/>
      <c r="K23" s="82"/>
      <c r="L23" s="82"/>
    </row>
    <row r="24" spans="2:18">
      <c r="C24" s="74"/>
      <c r="H24" s="63"/>
      <c r="J24" s="42"/>
      <c r="K24" s="82"/>
      <c r="L24" s="82"/>
    </row>
    <row r="25" spans="2:18">
      <c r="B25" s="61" t="s">
        <v>98</v>
      </c>
      <c r="C25" s="15"/>
      <c r="D25" s="15"/>
      <c r="F25" s="13" t="s">
        <v>141</v>
      </c>
      <c r="G25" s="15"/>
      <c r="H25" s="15"/>
      <c r="I25" s="15"/>
      <c r="J25" s="15"/>
    </row>
    <row r="26" spans="2:18" ht="16.5">
      <c r="C26" s="64" t="s">
        <v>93</v>
      </c>
      <c r="D26" s="64" t="s">
        <v>94</v>
      </c>
      <c r="G26" s="89" t="s">
        <v>135</v>
      </c>
      <c r="H26" s="89" t="s">
        <v>143</v>
      </c>
      <c r="I26" s="89" t="s">
        <v>134</v>
      </c>
      <c r="J26" s="89" t="s">
        <v>136</v>
      </c>
    </row>
    <row r="27" spans="2:18">
      <c r="B27" s="54" t="s">
        <v>61</v>
      </c>
      <c r="C27" s="102">
        <f>D27/$D$13</f>
        <v>1.5881953098447941</v>
      </c>
      <c r="D27" s="53">
        <f>MAX(0,D15-D16)</f>
        <v>1401.9</v>
      </c>
      <c r="F27" s="21" t="s">
        <v>133</v>
      </c>
    </row>
    <row r="28" spans="2:18">
      <c r="B28" s="54" t="s">
        <v>28</v>
      </c>
      <c r="C28" s="103">
        <v>0</v>
      </c>
      <c r="D28" s="53">
        <f t="shared" ref="D28:D34" si="0">$D$13*C28</f>
        <v>0</v>
      </c>
      <c r="F28" s="27" t="str">
        <f>B28</f>
        <v>Revolver</v>
      </c>
      <c r="G28" s="34">
        <v>0.01</v>
      </c>
      <c r="H28" s="53">
        <f>D28*G28</f>
        <v>0</v>
      </c>
      <c r="I28" s="101">
        <v>5</v>
      </c>
      <c r="J28" s="85">
        <f>IFERROR(G28*D28/I28, "NM")</f>
        <v>0</v>
      </c>
    </row>
    <row r="29" spans="2:18">
      <c r="B29" s="27" t="s">
        <v>74</v>
      </c>
      <c r="C29" s="104">
        <v>3.27</v>
      </c>
      <c r="D29" s="53">
        <f t="shared" si="0"/>
        <v>2886.429000000001</v>
      </c>
      <c r="F29" s="27" t="str">
        <f>B29</f>
        <v>Term Loan A</v>
      </c>
      <c r="G29" s="34">
        <v>1.4999999999999999E-2</v>
      </c>
      <c r="H29" s="53">
        <f>D29*G29</f>
        <v>43.296435000000017</v>
      </c>
      <c r="I29" s="101">
        <v>7</v>
      </c>
      <c r="J29" s="85">
        <f>IFERROR(G29*D29/I29, "NM")</f>
        <v>6.1852050000000025</v>
      </c>
    </row>
    <row r="30" spans="2:18">
      <c r="B30" s="27" t="s">
        <v>75</v>
      </c>
      <c r="C30" s="104">
        <v>0.76</v>
      </c>
      <c r="D30" s="53">
        <f t="shared" si="0"/>
        <v>670.8520000000002</v>
      </c>
      <c r="F30" s="27" t="str">
        <f>B30</f>
        <v>Term Loan B</v>
      </c>
      <c r="G30" s="34">
        <v>1.4999999999999999E-2</v>
      </c>
      <c r="H30" s="53">
        <f>D30*G30</f>
        <v>10.062780000000002</v>
      </c>
      <c r="I30" s="101">
        <v>7</v>
      </c>
      <c r="J30" s="85">
        <f>IFERROR(G30*D30/I30, "NM")</f>
        <v>1.4375400000000003</v>
      </c>
      <c r="P30" s="24"/>
      <c r="R30" s="65"/>
    </row>
    <row r="31" spans="2:18">
      <c r="B31" s="27" t="s">
        <v>76</v>
      </c>
      <c r="C31" s="104">
        <v>1.85</v>
      </c>
      <c r="D31" s="53">
        <f t="shared" si="0"/>
        <v>1632.9950000000006</v>
      </c>
      <c r="F31" s="27" t="str">
        <f>B31</f>
        <v>Senior Note</v>
      </c>
      <c r="G31" s="34">
        <v>0.01</v>
      </c>
      <c r="H31" s="53">
        <f>D31*G31</f>
        <v>16.329950000000007</v>
      </c>
      <c r="I31" s="101">
        <v>8</v>
      </c>
      <c r="J31" s="85">
        <f>IFERROR(G31*D31/I31, "NM")</f>
        <v>2.0412437500000009</v>
      </c>
      <c r="P31" s="24"/>
      <c r="R31" s="65"/>
    </row>
    <row r="32" spans="2:18">
      <c r="B32" s="27" t="s">
        <v>77</v>
      </c>
      <c r="C32" s="104">
        <v>0</v>
      </c>
      <c r="D32" s="53">
        <f t="shared" si="0"/>
        <v>0</v>
      </c>
      <c r="F32" s="27" t="str">
        <f>B32</f>
        <v>Sub Note</v>
      </c>
      <c r="G32" s="34">
        <v>0</v>
      </c>
      <c r="H32" s="78">
        <f>D32*G32</f>
        <v>0</v>
      </c>
      <c r="I32" s="101">
        <v>0</v>
      </c>
      <c r="J32" s="107" t="str">
        <f>IFERROR(G32*D32/I32, "NM")</f>
        <v>NM</v>
      </c>
      <c r="P32" s="24"/>
      <c r="R32" s="65"/>
    </row>
    <row r="33" spans="1:18">
      <c r="B33" s="27" t="s">
        <v>83</v>
      </c>
      <c r="C33" s="104">
        <v>0</v>
      </c>
      <c r="D33" s="53">
        <f t="shared" si="0"/>
        <v>0</v>
      </c>
      <c r="F33" s="108" t="s">
        <v>133</v>
      </c>
      <c r="H33" s="65">
        <f>SUM(H28:H32)</f>
        <v>69.689165000000031</v>
      </c>
      <c r="I33" s="43"/>
      <c r="J33" s="53">
        <f>SUM(J28:J32)</f>
        <v>9.6639887500000032</v>
      </c>
      <c r="P33" s="24"/>
      <c r="R33" s="65"/>
    </row>
    <row r="34" spans="1:18">
      <c r="B34" s="27" t="s">
        <v>101</v>
      </c>
      <c r="C34" s="105">
        <v>0</v>
      </c>
      <c r="D34" s="53">
        <f t="shared" si="0"/>
        <v>0</v>
      </c>
      <c r="H34" s="65"/>
      <c r="P34" s="24"/>
      <c r="R34" s="65"/>
    </row>
    <row r="35" spans="1:18" ht="16.5">
      <c r="B35" s="27" t="s">
        <v>63</v>
      </c>
      <c r="C35" s="102">
        <f>D35/$D$13</f>
        <v>1.8809085079868568</v>
      </c>
      <c r="D35" s="78">
        <f>D23-SUM(D27:D34)</f>
        <v>1660.277939999999</v>
      </c>
      <c r="F35" s="27"/>
      <c r="G35" s="89" t="s">
        <v>142</v>
      </c>
      <c r="H35" s="89" t="s">
        <v>143</v>
      </c>
      <c r="P35" s="24"/>
      <c r="R35" s="65"/>
    </row>
    <row r="36" spans="1:18">
      <c r="B36" s="36" t="s">
        <v>95</v>
      </c>
      <c r="C36" s="106">
        <f>SUM(C27:C35)</f>
        <v>9.3491038178316508</v>
      </c>
      <c r="D36" s="65">
        <f>SUM(D27:D35)</f>
        <v>8252.4539400000012</v>
      </c>
      <c r="F36" s="108" t="s">
        <v>144</v>
      </c>
      <c r="G36" s="74">
        <v>0.02</v>
      </c>
      <c r="H36" s="65">
        <f>G36*H17</f>
        <v>134.838525</v>
      </c>
    </row>
    <row r="38" spans="1:18">
      <c r="A38" t="s">
        <v>45</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72">
        <v>2065.3000000000002</v>
      </c>
      <c r="D42" s="72">
        <v>2172</v>
      </c>
      <c r="E42" s="72">
        <v>2201.4</v>
      </c>
      <c r="F42" s="73">
        <f>E42*(1+F63)</f>
        <v>2278.4490000000001</v>
      </c>
      <c r="G42" s="73">
        <f>F42*(1+G63)</f>
        <v>2403.7636950000001</v>
      </c>
      <c r="H42" s="73">
        <f>G42*(1+H63)</f>
        <v>2547.9895167000004</v>
      </c>
      <c r="I42" s="73">
        <f>H42*(1+I63)</f>
        <v>2675.3889925350004</v>
      </c>
      <c r="J42" s="73">
        <f>I42*(1+J63)</f>
        <v>2803.8076641766806</v>
      </c>
    </row>
    <row r="43" spans="1:18">
      <c r="B43" t="s">
        <v>8</v>
      </c>
      <c r="C43" s="72">
        <f>-(129.8+169.4+186)</f>
        <v>-485.20000000000005</v>
      </c>
      <c r="D43" s="72">
        <f>-(158.4+198.5+212)</f>
        <v>-568.9</v>
      </c>
      <c r="E43" s="72">
        <f>-(159.6+208.4+224)</f>
        <v>-592</v>
      </c>
      <c r="F43" s="73">
        <f>F44-F42</f>
        <v>-581.59219970234994</v>
      </c>
      <c r="G43" s="73">
        <f>G44-G42</f>
        <v>-601.56095221097917</v>
      </c>
      <c r="H43" s="73">
        <f>H44-H42</f>
        <v>-624.91466176013796</v>
      </c>
      <c r="I43" s="73">
        <f>I44-I42</f>
        <v>-642.78344988546974</v>
      </c>
      <c r="J43" s="73">
        <f>J44-J42</f>
        <v>-659.61801715908905</v>
      </c>
    </row>
    <row r="44" spans="1:18">
      <c r="B44" s="24" t="s">
        <v>9</v>
      </c>
      <c r="C44" s="71">
        <f>SUM(C42:C43)</f>
        <v>1580.1000000000001</v>
      </c>
      <c r="D44" s="71">
        <f>SUM(D42:D43)</f>
        <v>1603.1</v>
      </c>
      <c r="E44" s="71">
        <f>SUM(E42:E43)</f>
        <v>1609.4</v>
      </c>
      <c r="F44" s="71">
        <f>F42*F64</f>
        <v>1696.8568002976501</v>
      </c>
      <c r="G44" s="71">
        <f>G42*G64</f>
        <v>1802.2027427890209</v>
      </c>
      <c r="H44" s="71">
        <f>H42*H64</f>
        <v>1923.0748549398625</v>
      </c>
      <c r="I44" s="71">
        <f>I42*I64</f>
        <v>2032.6055426495307</v>
      </c>
      <c r="J44" s="71">
        <f>J42*J64</f>
        <v>2144.1896470175916</v>
      </c>
    </row>
    <row r="45" spans="1:18">
      <c r="B45" t="s">
        <v>10</v>
      </c>
      <c r="C45" s="72">
        <v>-181.6</v>
      </c>
      <c r="D45" s="72">
        <v>-165.2</v>
      </c>
      <c r="E45" s="72">
        <v>-174.6</v>
      </c>
      <c r="F45" s="73">
        <f>-(F65*F42)</f>
        <v>-184.78313334862591</v>
      </c>
      <c r="G45" s="73">
        <f>-(G65*G42)</f>
        <v>-194.94620568280035</v>
      </c>
      <c r="H45" s="73">
        <f>-(H65*H42)</f>
        <v>-206.64297802376839</v>
      </c>
      <c r="I45" s="73">
        <f>-(I65*I42)</f>
        <v>-216.97512692495681</v>
      </c>
      <c r="J45" s="73">
        <f>-(J65*J42)</f>
        <v>-227.38993301735476</v>
      </c>
    </row>
    <row r="46" spans="1:18">
      <c r="B46" t="s">
        <v>11</v>
      </c>
      <c r="C46" s="72">
        <f>-(611.4+220.7+33.6)</f>
        <v>-865.69999999999993</v>
      </c>
      <c r="D46" s="72">
        <f>-(634+217.9+42.1)</f>
        <v>-894</v>
      </c>
      <c r="E46" s="72">
        <f>-(686.9+238.7+43.8)</f>
        <v>-969.39999999999986</v>
      </c>
      <c r="F46" s="73">
        <f>-F66*F42</f>
        <v>-965.39603068528015</v>
      </c>
      <c r="G46" s="73">
        <f>-G66*G42</f>
        <v>-994.45517542297057</v>
      </c>
      <c r="H46" s="73">
        <f>-H66*H42</f>
        <v>-1028.6425907813489</v>
      </c>
      <c r="I46" s="73">
        <f>-I66*I42</f>
        <v>-1053.3208303950664</v>
      </c>
      <c r="J46" s="73">
        <f>-J66*J42</f>
        <v>-1075.8421536122628</v>
      </c>
    </row>
    <row r="47" spans="1:18">
      <c r="B47" s="24" t="s">
        <v>12</v>
      </c>
      <c r="C47" s="71">
        <f t="shared" ref="C47:J47" si="1">SUM(C44:C46)</f>
        <v>532.8000000000003</v>
      </c>
      <c r="D47" s="71">
        <f t="shared" si="1"/>
        <v>543.89999999999986</v>
      </c>
      <c r="E47" s="71">
        <f t="shared" si="1"/>
        <v>465.40000000000032</v>
      </c>
      <c r="F47" s="71">
        <f t="shared" si="1"/>
        <v>546.67763626374415</v>
      </c>
      <c r="G47" s="71">
        <f t="shared" si="1"/>
        <v>612.80136168324998</v>
      </c>
      <c r="H47" s="71">
        <f t="shared" si="1"/>
        <v>687.78928613474523</v>
      </c>
      <c r="I47" s="71">
        <f t="shared" si="1"/>
        <v>762.3095853295074</v>
      </c>
      <c r="J47" s="71">
        <f t="shared" si="1"/>
        <v>840.95756038797413</v>
      </c>
      <c r="K47" s="25"/>
    </row>
    <row r="48" spans="1:18">
      <c r="B48" t="s">
        <v>13</v>
      </c>
      <c r="C48" s="72">
        <v>15</v>
      </c>
      <c r="D48" s="72">
        <v>10.6</v>
      </c>
      <c r="E48" s="72">
        <v>8.3000000000000007</v>
      </c>
      <c r="F48" s="53"/>
      <c r="G48" s="53"/>
      <c r="H48" s="53"/>
      <c r="I48" s="53"/>
      <c r="J48" s="53"/>
    </row>
    <row r="49" spans="2:11">
      <c r="B49" t="s">
        <v>14</v>
      </c>
      <c r="C49" s="72">
        <v>-19.8</v>
      </c>
      <c r="D49" s="72">
        <v>-23.3</v>
      </c>
      <c r="E49" s="72">
        <v>-47.8</v>
      </c>
      <c r="F49" s="53"/>
      <c r="G49" s="53"/>
      <c r="H49" s="53"/>
      <c r="I49" s="53"/>
      <c r="J49" s="53"/>
    </row>
    <row r="50" spans="2:11">
      <c r="B50" t="s">
        <v>105</v>
      </c>
      <c r="C50" s="72">
        <v>3.3</v>
      </c>
      <c r="D50" s="72">
        <v>-1.2</v>
      </c>
      <c r="E50" s="72">
        <v>2</v>
      </c>
      <c r="F50" s="53">
        <v>0</v>
      </c>
      <c r="G50" s="53">
        <v>0</v>
      </c>
      <c r="H50" s="53">
        <v>0</v>
      </c>
      <c r="I50" s="53">
        <v>0</v>
      </c>
      <c r="J50" s="53">
        <v>0</v>
      </c>
    </row>
    <row r="51" spans="2:11">
      <c r="B51" s="24" t="s">
        <v>15</v>
      </c>
      <c r="C51" s="71">
        <f t="shared" ref="C51:J51" si="2">SUM(C47:C50)</f>
        <v>531.3000000000003</v>
      </c>
      <c r="D51" s="71">
        <f t="shared" si="2"/>
        <v>529.99999999999989</v>
      </c>
      <c r="E51" s="71">
        <f t="shared" si="2"/>
        <v>427.90000000000032</v>
      </c>
      <c r="F51" s="71">
        <f>SUM(F47:F50)</f>
        <v>546.67763626374415</v>
      </c>
      <c r="G51" s="71">
        <f t="shared" si="2"/>
        <v>612.80136168324998</v>
      </c>
      <c r="H51" s="71">
        <f t="shared" si="2"/>
        <v>687.78928613474523</v>
      </c>
      <c r="I51" s="71">
        <f t="shared" si="2"/>
        <v>762.3095853295074</v>
      </c>
      <c r="J51" s="71">
        <f t="shared" si="2"/>
        <v>840.95756038797413</v>
      </c>
    </row>
    <row r="52" spans="2:11">
      <c r="B52" t="s">
        <v>16</v>
      </c>
      <c r="C52" s="72">
        <v>-75.099999999999994</v>
      </c>
      <c r="D52" s="72">
        <v>-129</v>
      </c>
      <c r="E52" s="72">
        <v>-96.9</v>
      </c>
      <c r="F52" s="73">
        <f>-F67*F51</f>
        <v>-123.79776338854118</v>
      </c>
      <c r="G52" s="73">
        <f>-G67*G51</f>
        <v>-138.77179702525564</v>
      </c>
      <c r="H52" s="73">
        <f>-H67*H51</f>
        <v>-155.7531708961364</v>
      </c>
      <c r="I52" s="73">
        <f>-I67*I51</f>
        <v>-172.62864879277686</v>
      </c>
      <c r="J52" s="73">
        <f>-J67*J51</f>
        <v>-190.43885861555185</v>
      </c>
    </row>
    <row r="53" spans="2:11">
      <c r="B53" s="24" t="s">
        <v>17</v>
      </c>
      <c r="C53" s="71">
        <f t="shared" ref="C53:J53" si="3">SUM(C51:C52)</f>
        <v>456.20000000000027</v>
      </c>
      <c r="D53" s="71">
        <f t="shared" si="3"/>
        <v>400.99999999999989</v>
      </c>
      <c r="E53" s="71">
        <f t="shared" si="3"/>
        <v>331.00000000000034</v>
      </c>
      <c r="F53" s="71">
        <f t="shared" si="3"/>
        <v>422.87987287520298</v>
      </c>
      <c r="G53" s="71">
        <f t="shared" si="3"/>
        <v>474.02956465799434</v>
      </c>
      <c r="H53" s="71">
        <f t="shared" si="3"/>
        <v>532.03611523860877</v>
      </c>
      <c r="I53" s="71">
        <f t="shared" si="3"/>
        <v>589.68093653673054</v>
      </c>
      <c r="J53" s="71">
        <f t="shared" si="3"/>
        <v>650.51870177242222</v>
      </c>
    </row>
    <row r="54" spans="2:11">
      <c r="C54" s="25"/>
      <c r="D54" s="25"/>
      <c r="E54" s="25"/>
      <c r="F54" s="25"/>
      <c r="G54" s="25"/>
      <c r="H54" s="25"/>
      <c r="I54" s="25"/>
      <c r="J54" s="25"/>
    </row>
    <row r="55" spans="2:11">
      <c r="B55" s="26" t="s">
        <v>110</v>
      </c>
      <c r="C55" s="25"/>
      <c r="D55" s="25"/>
      <c r="E55" s="25"/>
      <c r="F55" s="25"/>
      <c r="G55" s="25"/>
      <c r="H55" s="25"/>
      <c r="I55" s="25"/>
      <c r="J55" s="25"/>
    </row>
    <row r="56" spans="2:11">
      <c r="B56" s="36" t="s">
        <v>109</v>
      </c>
      <c r="C56" s="53">
        <f t="shared" ref="C56:J56" si="4">C47</f>
        <v>532.8000000000003</v>
      </c>
      <c r="D56" s="53">
        <f t="shared" si="4"/>
        <v>543.89999999999986</v>
      </c>
      <c r="E56" s="53">
        <f t="shared" si="4"/>
        <v>465.40000000000032</v>
      </c>
      <c r="F56" s="53">
        <f t="shared" si="4"/>
        <v>546.67763626374415</v>
      </c>
      <c r="G56" s="53">
        <f t="shared" si="4"/>
        <v>612.80136168324998</v>
      </c>
      <c r="H56" s="53">
        <f t="shared" si="4"/>
        <v>687.78928613474523</v>
      </c>
      <c r="I56" s="53">
        <f t="shared" si="4"/>
        <v>762.3095853295074</v>
      </c>
      <c r="J56" s="53">
        <f t="shared" si="4"/>
        <v>840.95756038797413</v>
      </c>
    </row>
    <row r="57" spans="2:11">
      <c r="B57" s="27" t="s">
        <v>34</v>
      </c>
      <c r="C57" s="72">
        <v>190</v>
      </c>
      <c r="D57" s="72">
        <f>224.6</f>
        <v>224.6</v>
      </c>
      <c r="E57" s="72">
        <f>229</f>
        <v>229</v>
      </c>
      <c r="F57" s="53">
        <f>-(F97+F91+F103)</f>
        <v>223.94686822877298</v>
      </c>
      <c r="G57" s="53">
        <f>-(G97+G91+G103)</f>
        <v>220.60103174603177</v>
      </c>
      <c r="H57" s="53">
        <f>-(H97+H91+H103)</f>
        <v>222.40078105316201</v>
      </c>
      <c r="I57" s="53">
        <f>-(I97+I91+I103)</f>
        <v>224.19373141849334</v>
      </c>
      <c r="J57" s="53">
        <f>-(J97+J91+J103)</f>
        <v>223.00000000000003</v>
      </c>
    </row>
    <row r="58" spans="2:11">
      <c r="B58" s="27" t="s">
        <v>26</v>
      </c>
      <c r="C58" s="72">
        <v>106.5</v>
      </c>
      <c r="D58" s="72">
        <v>127.2</v>
      </c>
      <c r="E58" s="72">
        <v>147.4</v>
      </c>
      <c r="F58" s="53">
        <f>-(F68*SUM(F43,F45,F46))</f>
        <v>161.0547368274718</v>
      </c>
      <c r="G58" s="53">
        <f>-(G68*SUM(G43,G45,G46))</f>
        <v>162.08209116516588</v>
      </c>
      <c r="H58" s="53">
        <f>-(H68*SUM(H43,H45,H46))</f>
        <v>163.69762028974245</v>
      </c>
      <c r="I58" s="53">
        <f>-(I68*SUM(I43,I45,I46))</f>
        <v>163.56828931606964</v>
      </c>
      <c r="J58" s="53">
        <f>-(J68*SUM(J43,J45,J46))</f>
        <v>162.91655861446264</v>
      </c>
    </row>
    <row r="59" spans="2:11">
      <c r="B59" s="27" t="s">
        <v>106</v>
      </c>
      <c r="C59" s="72">
        <v>14.3</v>
      </c>
      <c r="D59" s="72">
        <v>10.8</v>
      </c>
      <c r="E59" s="72">
        <f>36+4.9</f>
        <v>40.9</v>
      </c>
      <c r="F59" s="72">
        <v>16</v>
      </c>
      <c r="G59" s="72">
        <v>5</v>
      </c>
      <c r="H59" s="72">
        <v>5</v>
      </c>
      <c r="I59" s="72">
        <v>0</v>
      </c>
      <c r="J59" s="72">
        <v>0</v>
      </c>
    </row>
    <row r="60" spans="2:11">
      <c r="B60" s="36" t="s">
        <v>27</v>
      </c>
      <c r="C60" s="71">
        <f t="shared" ref="C60:J60" si="5">SUM(C56:C59)</f>
        <v>843.60000000000025</v>
      </c>
      <c r="D60" s="71">
        <f t="shared" si="5"/>
        <v>906.49999999999989</v>
      </c>
      <c r="E60" s="71">
        <f t="shared" si="5"/>
        <v>882.70000000000027</v>
      </c>
      <c r="F60" s="71">
        <f t="shared" si="5"/>
        <v>947.67924131998893</v>
      </c>
      <c r="G60" s="71">
        <f t="shared" si="5"/>
        <v>1000.4844845944476</v>
      </c>
      <c r="H60" s="71">
        <f t="shared" si="5"/>
        <v>1078.8876874776497</v>
      </c>
      <c r="I60" s="71">
        <f t="shared" si="5"/>
        <v>1150.0716060640705</v>
      </c>
      <c r="J60" s="71">
        <f t="shared" si="5"/>
        <v>1226.8741190024368</v>
      </c>
    </row>
    <row r="61" spans="2:11">
      <c r="B61" s="29"/>
      <c r="C61" s="30"/>
      <c r="D61" s="30"/>
      <c r="E61" s="30"/>
      <c r="F61" s="30"/>
      <c r="G61" s="30"/>
      <c r="H61" s="30"/>
      <c r="I61" s="30"/>
      <c r="J61" s="30"/>
    </row>
    <row r="62" spans="2:11">
      <c r="B62" s="26" t="s">
        <v>19</v>
      </c>
      <c r="F62" s="53" t="s">
        <v>124</v>
      </c>
      <c r="K62" s="49" t="s">
        <v>96</v>
      </c>
    </row>
    <row r="63" spans="2:11">
      <c r="B63" s="35" t="s">
        <v>20</v>
      </c>
      <c r="C63" s="28" t="s">
        <v>21</v>
      </c>
      <c r="D63" s="9">
        <f>D42/C42-1</f>
        <v>5.1663196630029384E-2</v>
      </c>
      <c r="E63" s="9">
        <f>E42/D42-1</f>
        <v>1.3535911602210016E-2</v>
      </c>
      <c r="F63" s="34">
        <v>3.5000000000000003E-2</v>
      </c>
      <c r="G63" s="34">
        <v>5.5E-2</v>
      </c>
      <c r="H63" s="34">
        <v>0.06</v>
      </c>
      <c r="I63" s="34">
        <v>0.05</v>
      </c>
      <c r="J63" s="34">
        <v>4.8000000000000001E-2</v>
      </c>
      <c r="K63" s="34"/>
    </row>
    <row r="64" spans="2:11">
      <c r="B64" s="35" t="s">
        <v>22</v>
      </c>
      <c r="C64" s="9">
        <f>C44/C42</f>
        <v>0.76507044981358641</v>
      </c>
      <c r="D64" s="9">
        <f>D44/D42</f>
        <v>0.7380755064456721</v>
      </c>
      <c r="E64" s="9">
        <f>E44/E42</f>
        <v>0.73108022167711462</v>
      </c>
      <c r="F64" s="9">
        <f>AVERAGE(C64:E64)</f>
        <v>0.74474205931212423</v>
      </c>
      <c r="G64" s="9">
        <f t="shared" ref="G64:J68" si="6">F64+$K64</f>
        <v>0.74974205931212423</v>
      </c>
      <c r="H64" s="9">
        <f t="shared" si="6"/>
        <v>0.75474205931212424</v>
      </c>
      <c r="I64" s="9">
        <f t="shared" si="6"/>
        <v>0.75974205931212424</v>
      </c>
      <c r="J64" s="9">
        <f t="shared" si="6"/>
        <v>0.76474205931212424</v>
      </c>
      <c r="K64" s="34">
        <v>5.0000000000000001E-3</v>
      </c>
    </row>
    <row r="65" spans="2:11">
      <c r="B65" s="35" t="s">
        <v>23</v>
      </c>
      <c r="C65" s="9">
        <f t="shared" ref="C65:E66" si="7">-C45/C$42</f>
        <v>8.7929114414370776E-2</v>
      </c>
      <c r="D65" s="9">
        <f t="shared" si="7"/>
        <v>7.605893186003683E-2</v>
      </c>
      <c r="E65" s="9">
        <f t="shared" si="7"/>
        <v>7.9313164349959109E-2</v>
      </c>
      <c r="F65" s="9">
        <f>AVERAGE(C65:E65)</f>
        <v>8.1100403541455576E-2</v>
      </c>
      <c r="G65" s="9">
        <f t="shared" si="6"/>
        <v>8.1100403541455576E-2</v>
      </c>
      <c r="H65" s="9">
        <f t="shared" si="6"/>
        <v>8.1100403541455576E-2</v>
      </c>
      <c r="I65" s="9">
        <f t="shared" si="6"/>
        <v>8.1100403541455576E-2</v>
      </c>
      <c r="J65" s="9">
        <f t="shared" si="6"/>
        <v>8.1100403541455576E-2</v>
      </c>
      <c r="K65" s="34">
        <v>0</v>
      </c>
    </row>
    <row r="66" spans="2:11">
      <c r="B66" s="35" t="s">
        <v>24</v>
      </c>
      <c r="C66" s="9">
        <f t="shared" si="7"/>
        <v>0.41916428606013645</v>
      </c>
      <c r="D66" s="9">
        <f t="shared" si="7"/>
        <v>0.41160220994475138</v>
      </c>
      <c r="E66" s="9">
        <f t="shared" si="7"/>
        <v>0.44035613700372483</v>
      </c>
      <c r="F66" s="9">
        <f>AVERAGE(C66:E66)</f>
        <v>0.42370754433620422</v>
      </c>
      <c r="G66" s="9">
        <f t="shared" si="6"/>
        <v>0.41370754433620421</v>
      </c>
      <c r="H66" s="9">
        <f t="shared" si="6"/>
        <v>0.4037075443362042</v>
      </c>
      <c r="I66" s="9">
        <f t="shared" si="6"/>
        <v>0.3937075443362042</v>
      </c>
      <c r="J66" s="9">
        <f t="shared" si="6"/>
        <v>0.38370754433620419</v>
      </c>
      <c r="K66" s="34">
        <v>-0.01</v>
      </c>
    </row>
    <row r="67" spans="2:11">
      <c r="B67" s="35" t="s">
        <v>25</v>
      </c>
      <c r="C67" s="9">
        <f>-C52/C51</f>
        <v>0.14135140222096734</v>
      </c>
      <c r="D67" s="9">
        <f>-D52/D51</f>
        <v>0.2433962264150944</v>
      </c>
      <c r="E67" s="9">
        <f>-E52/E51</f>
        <v>0.2264547791540078</v>
      </c>
      <c r="F67" s="34">
        <f>E67</f>
        <v>0.2264547791540078</v>
      </c>
      <c r="G67" s="9">
        <f t="shared" si="6"/>
        <v>0.2264547791540078</v>
      </c>
      <c r="H67" s="9">
        <f t="shared" si="6"/>
        <v>0.2264547791540078</v>
      </c>
      <c r="I67" s="9">
        <f t="shared" si="6"/>
        <v>0.2264547791540078</v>
      </c>
      <c r="J67" s="9">
        <f t="shared" si="6"/>
        <v>0.2264547791540078</v>
      </c>
      <c r="K67" s="34">
        <v>0</v>
      </c>
    </row>
    <row r="68" spans="2:11">
      <c r="B68" s="35" t="s">
        <v>32</v>
      </c>
      <c r="C68" s="8">
        <f>-(C58/SUM(C43,C45,C46))</f>
        <v>6.949429037520391E-2</v>
      </c>
      <c r="D68" s="8">
        <f>-(D58/SUM(D43,D45,D46))</f>
        <v>7.8127879122904004E-2</v>
      </c>
      <c r="E68" s="8">
        <f>-(E58/SUM(E43,E45,E46))</f>
        <v>8.4907834101382487E-2</v>
      </c>
      <c r="F68" s="34">
        <v>9.2999999999999999E-2</v>
      </c>
      <c r="G68" s="9">
        <f t="shared" si="6"/>
        <v>9.0499999999999997E-2</v>
      </c>
      <c r="H68" s="9">
        <f t="shared" si="6"/>
        <v>8.7999999999999995E-2</v>
      </c>
      <c r="I68" s="9">
        <f t="shared" si="6"/>
        <v>8.5499999999999993E-2</v>
      </c>
      <c r="J68" s="9">
        <f t="shared" si="6"/>
        <v>8.299999999999999E-2</v>
      </c>
      <c r="K68" s="34">
        <v>-2.5000000000000001E-3</v>
      </c>
    </row>
    <row r="69" spans="2:11">
      <c r="B69" s="29"/>
      <c r="C69" s="30"/>
      <c r="D69" s="30"/>
      <c r="E69" s="30"/>
      <c r="F69" s="30"/>
      <c r="G69" s="30"/>
      <c r="H69" s="30"/>
      <c r="I69" s="30"/>
      <c r="J69" s="30"/>
    </row>
    <row r="70" spans="2:11">
      <c r="B70" s="59" t="s">
        <v>29</v>
      </c>
      <c r="C70" s="98"/>
      <c r="D70" s="98"/>
      <c r="E70" s="98"/>
      <c r="F70" s="98"/>
      <c r="G70" s="98"/>
      <c r="H70" s="98"/>
      <c r="I70" s="98"/>
      <c r="J70" s="98"/>
    </row>
    <row r="71" spans="2:11">
      <c r="B71" t="s">
        <v>5</v>
      </c>
      <c r="C71" s="30"/>
      <c r="D71" s="16">
        <f>D$39</f>
        <v>2012</v>
      </c>
      <c r="E71" s="16">
        <f t="shared" ref="E71:J71" si="8">E$39</f>
        <v>2013</v>
      </c>
      <c r="F71" s="17">
        <f t="shared" si="8"/>
        <v>2014</v>
      </c>
      <c r="G71" s="17">
        <f t="shared" si="8"/>
        <v>2015</v>
      </c>
      <c r="H71" s="17">
        <f t="shared" si="8"/>
        <v>2016</v>
      </c>
      <c r="I71" s="17">
        <f t="shared" si="8"/>
        <v>2017</v>
      </c>
      <c r="J71" s="17">
        <f t="shared" si="8"/>
        <v>2018</v>
      </c>
    </row>
    <row r="72" spans="2:11">
      <c r="B72" s="18" t="s">
        <v>6</v>
      </c>
      <c r="C72" s="98"/>
      <c r="D72" s="20">
        <f>D$40</f>
        <v>40999</v>
      </c>
      <c r="E72" s="20">
        <f t="shared" ref="E72:J72" si="9">E$40</f>
        <v>41364</v>
      </c>
      <c r="F72" s="20">
        <f t="shared" si="9"/>
        <v>41729</v>
      </c>
      <c r="G72" s="20">
        <f t="shared" si="9"/>
        <v>42094</v>
      </c>
      <c r="H72" s="20">
        <f t="shared" si="9"/>
        <v>42460</v>
      </c>
      <c r="I72" s="20">
        <f t="shared" si="9"/>
        <v>42825</v>
      </c>
      <c r="J72" s="20">
        <f t="shared" si="9"/>
        <v>43190</v>
      </c>
    </row>
    <row r="73" spans="2:11">
      <c r="B73" s="21"/>
      <c r="C73" s="30"/>
      <c r="D73" s="30"/>
      <c r="E73" s="30"/>
      <c r="F73" s="30"/>
      <c r="G73" s="30"/>
      <c r="H73" s="30"/>
      <c r="I73" s="30"/>
      <c r="J73" s="30"/>
    </row>
    <row r="74" spans="2:11">
      <c r="B74" s="29" t="s">
        <v>67</v>
      </c>
      <c r="C74" s="37"/>
      <c r="D74" s="70">
        <f>296.7+108+80.1</f>
        <v>484.79999999999995</v>
      </c>
      <c r="E74" s="70">
        <f>265.5+110.4+67.8</f>
        <v>443.7</v>
      </c>
      <c r="F74" s="65">
        <f>IF(F75,F75*F42,E74*(1+F63))</f>
        <v>459.22949999999997</v>
      </c>
      <c r="G74" s="65">
        <f>IF(G75,G75*G42,F74*(1+G63))</f>
        <v>484.4871225</v>
      </c>
      <c r="H74" s="65">
        <f>IF(H75,H75*H42,G74*(1+H63))</f>
        <v>513.55634985000006</v>
      </c>
      <c r="I74" s="65">
        <f>IF(I75,I75*I42,H74*(1+I63))</f>
        <v>539.23416734250009</v>
      </c>
      <c r="J74" s="65">
        <f>IF(J75,J75*J42,I74*(1+J63))</f>
        <v>565.11740737494006</v>
      </c>
    </row>
    <row r="75" spans="2:11">
      <c r="B75" s="41" t="s">
        <v>30</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9" t="s">
        <v>107</v>
      </c>
      <c r="C76" s="37"/>
      <c r="D76" s="70">
        <v>195.1</v>
      </c>
      <c r="E76" s="70">
        <v>213.1</v>
      </c>
      <c r="F76" s="65">
        <f>IF(F77,F77*F42,E76*(1+F63))</f>
        <v>220.55850000000001</v>
      </c>
      <c r="G76" s="65">
        <f>IF(G77,G77*G42,F76*(1+G63))</f>
        <v>232.68921750000001</v>
      </c>
      <c r="H76" s="65">
        <f>IF(H77,H77*H42,G76*(1+H63))</f>
        <v>246.65057055000003</v>
      </c>
      <c r="I76" s="65">
        <f>IF(I77,I77*I42,H76*(1+I63))</f>
        <v>258.98309907750001</v>
      </c>
      <c r="J76" s="65">
        <f>IF(J77,J77*J42,I76*(1+J63))</f>
        <v>271.41428783322004</v>
      </c>
    </row>
    <row r="77" spans="2:11">
      <c r="B77" s="41" t="s">
        <v>108</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9" t="s">
        <v>66</v>
      </c>
      <c r="C78" s="37"/>
      <c r="D78" s="70">
        <f>31.5+1.2</f>
        <v>32.700000000000003</v>
      </c>
      <c r="E78" s="70">
        <f>31.6+10.5</f>
        <v>42.1</v>
      </c>
      <c r="F78" s="65">
        <f>IF(F79,-(F79*F43),E78*F43/E43)</f>
        <v>41.35985068829212</v>
      </c>
      <c r="G78" s="65">
        <f>IF(G79,-(G79*G43),F78*G43/F43)</f>
        <v>42.77992582446322</v>
      </c>
      <c r="H78" s="65">
        <f>IF(H79,-(H79*H43),G78*H43/G43)</f>
        <v>44.440721723144954</v>
      </c>
      <c r="I78" s="65">
        <f>IF(I79,-(I79*I43),H78*I43/H43)</f>
        <v>45.711458175976823</v>
      </c>
      <c r="J78" s="65">
        <f>IF(J79,-(J79*J43),I78*J43/I43)</f>
        <v>46.908646152698736</v>
      </c>
    </row>
    <row r="79" spans="2:11">
      <c r="B79" s="41" t="s">
        <v>31</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9" t="s">
        <v>65</v>
      </c>
      <c r="C80" s="57"/>
      <c r="D80" s="70">
        <f>319.4+1059.5+934.4</f>
        <v>2313.3000000000002</v>
      </c>
      <c r="E80" s="70">
        <f>326.4+1038.6+936.7</f>
        <v>2301.6999999999998</v>
      </c>
      <c r="F80" s="65">
        <f>IF(F81,F81*F42,E80*(1+F63))</f>
        <v>2382.2594999999997</v>
      </c>
      <c r="G80" s="65">
        <f>IF(G81,G81*G42,F80*(1+G63))</f>
        <v>2513.2837724999995</v>
      </c>
      <c r="H80" s="65">
        <f>IF(H81,H81*H42,G80*(1+H63))</f>
        <v>2664.0807988500001</v>
      </c>
      <c r="I80" s="65">
        <f>IF(I81,I81*I42,H80*(1+I63))</f>
        <v>2797.2848387925001</v>
      </c>
      <c r="J80" s="65">
        <f>IF(J81,J81*J42,I80*(1+J63))</f>
        <v>2931.5545110545399</v>
      </c>
    </row>
    <row r="81" spans="2:11">
      <c r="B81" s="41" t="s">
        <v>73</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41"/>
      <c r="C82" s="8"/>
      <c r="D82" s="8"/>
      <c r="E82" s="9"/>
      <c r="F82" s="34"/>
      <c r="G82" s="34"/>
      <c r="H82" s="34"/>
      <c r="I82" s="34"/>
      <c r="J82" s="34"/>
    </row>
    <row r="83" spans="2:11">
      <c r="B83" s="43" t="s">
        <v>91</v>
      </c>
      <c r="C83" s="21"/>
      <c r="D83" s="99">
        <f t="shared" ref="D83:J83" si="10">D74+D76+-D78-D80</f>
        <v>-1666.1000000000004</v>
      </c>
      <c r="E83" s="99">
        <f t="shared" si="10"/>
        <v>-1687</v>
      </c>
      <c r="F83" s="99">
        <f t="shared" si="10"/>
        <v>-1743.8313506882919</v>
      </c>
      <c r="G83" s="99">
        <f t="shared" si="10"/>
        <v>-1838.8873583244626</v>
      </c>
      <c r="H83" s="99">
        <f t="shared" si="10"/>
        <v>-1948.314600173145</v>
      </c>
      <c r="I83" s="99">
        <f t="shared" si="10"/>
        <v>-2044.7790305484768</v>
      </c>
      <c r="J83" s="99">
        <f t="shared" si="10"/>
        <v>-2141.9314619990787</v>
      </c>
    </row>
    <row r="84" spans="2:11">
      <c r="D84" s="38"/>
      <c r="E84" s="38"/>
      <c r="F84" s="25"/>
      <c r="G84" s="25"/>
      <c r="H84" s="25"/>
      <c r="I84" s="25"/>
      <c r="J84" s="25"/>
    </row>
    <row r="85" spans="2:11">
      <c r="B85" s="59" t="s">
        <v>116</v>
      </c>
      <c r="C85" s="60"/>
      <c r="D85" s="60"/>
      <c r="E85" s="60"/>
      <c r="F85" s="55"/>
      <c r="G85" s="55"/>
      <c r="H85" s="55"/>
      <c r="I85" s="55"/>
      <c r="J85" s="55"/>
    </row>
    <row r="86" spans="2:11">
      <c r="B86" t="s">
        <v>5</v>
      </c>
      <c r="C86" s="30"/>
      <c r="D86" s="16">
        <f>D$39</f>
        <v>2012</v>
      </c>
      <c r="E86" s="16">
        <f t="shared" ref="E86:J86" si="11">E$39</f>
        <v>2013</v>
      </c>
      <c r="F86" s="17">
        <f t="shared" si="11"/>
        <v>2014</v>
      </c>
      <c r="G86" s="17">
        <f t="shared" si="11"/>
        <v>2015</v>
      </c>
      <c r="H86" s="17">
        <f t="shared" si="11"/>
        <v>2016</v>
      </c>
      <c r="I86" s="17">
        <f t="shared" si="11"/>
        <v>2017</v>
      </c>
      <c r="J86" s="17">
        <f t="shared" si="11"/>
        <v>2018</v>
      </c>
    </row>
    <row r="87" spans="2:11">
      <c r="B87" s="18" t="s">
        <v>6</v>
      </c>
      <c r="C87" s="98"/>
      <c r="D87" s="20">
        <f>D$40</f>
        <v>40999</v>
      </c>
      <c r="E87" s="20">
        <f t="shared" ref="E87:J87" si="12">E$40</f>
        <v>41364</v>
      </c>
      <c r="F87" s="20">
        <f t="shared" si="12"/>
        <v>41729</v>
      </c>
      <c r="G87" s="20">
        <f t="shared" si="12"/>
        <v>42094</v>
      </c>
      <c r="H87" s="20">
        <f t="shared" si="12"/>
        <v>42460</v>
      </c>
      <c r="I87" s="20">
        <f t="shared" si="12"/>
        <v>42825</v>
      </c>
      <c r="J87" s="20">
        <f t="shared" si="12"/>
        <v>43190</v>
      </c>
    </row>
    <row r="88" spans="2:11">
      <c r="B88" s="58"/>
    </row>
    <row r="89" spans="2:11">
      <c r="B89" s="29" t="s">
        <v>70</v>
      </c>
      <c r="C89" s="24"/>
      <c r="D89" s="70">
        <v>87.8</v>
      </c>
      <c r="E89" s="70">
        <v>85.2</v>
      </c>
      <c r="F89" s="65">
        <f>E89+SUM(F90:F91)</f>
        <v>73.144489795918361</v>
      </c>
      <c r="G89" s="65">
        <f>F89+SUM(G90:G91)</f>
        <v>63.407346938775504</v>
      </c>
      <c r="H89" s="65">
        <f>G89+SUM(H90:H91)</f>
        <v>56.452244897959183</v>
      </c>
      <c r="I89" s="65">
        <f>H89+SUM(I90:I91)</f>
        <v>53.090612244897962</v>
      </c>
      <c r="J89" s="65">
        <f>I89+SUM(J90:J91)</f>
        <v>53.090612244897962</v>
      </c>
      <c r="K89" s="49"/>
    </row>
    <row r="90" spans="2:11">
      <c r="B90" s="56" t="s">
        <v>36</v>
      </c>
      <c r="C90" s="72">
        <v>22</v>
      </c>
      <c r="D90" s="72">
        <v>26.5</v>
      </c>
      <c r="E90" s="72">
        <v>24.5</v>
      </c>
      <c r="F90" s="72">
        <v>26</v>
      </c>
      <c r="G90" s="72">
        <v>28</v>
      </c>
      <c r="H90" s="72">
        <v>30</v>
      </c>
      <c r="I90" s="72">
        <v>29</v>
      </c>
      <c r="J90" s="72">
        <v>31</v>
      </c>
    </row>
    <row r="91" spans="2:11">
      <c r="B91" s="56" t="s">
        <v>69</v>
      </c>
      <c r="C91" s="72">
        <v>-39.1</v>
      </c>
      <c r="D91" s="72">
        <v>-37.799999999999997</v>
      </c>
      <c r="E91" s="72">
        <v>-38.700000000000003</v>
      </c>
      <c r="F91" s="73">
        <f>-(F93*F90)</f>
        <v>-38.055510204081635</v>
      </c>
      <c r="G91" s="73">
        <f>-(G93*G90)</f>
        <v>-37.737142857142857</v>
      </c>
      <c r="H91" s="73">
        <f>-(H93*H90)</f>
        <v>-36.955102040816321</v>
      </c>
      <c r="I91" s="73">
        <f>-(I93*I90)</f>
        <v>-32.361632653061221</v>
      </c>
      <c r="J91" s="73">
        <f>-(J93*J90)</f>
        <v>-30.999999999999993</v>
      </c>
      <c r="K91" s="49" t="s">
        <v>114</v>
      </c>
    </row>
    <row r="92" spans="2:11">
      <c r="B92" s="58" t="s">
        <v>117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75" t="s">
        <v>102</v>
      </c>
    </row>
    <row r="93" spans="2:11">
      <c r="B93" s="58" t="s">
        <v>100</v>
      </c>
      <c r="C93" s="45">
        <f>-(C91/C90)</f>
        <v>1.7772727272727273</v>
      </c>
      <c r="D93" s="45">
        <f>-(D91/D90)</f>
        <v>1.4264150943396225</v>
      </c>
      <c r="E93" s="45">
        <f>-(E91/E90)</f>
        <v>1.5795918367346939</v>
      </c>
      <c r="F93" s="45">
        <f>E93+$K$93</f>
        <v>1.4636734693877551</v>
      </c>
      <c r="G93" s="45">
        <f>F93+$K$93</f>
        <v>1.3477551020408163</v>
      </c>
      <c r="H93" s="45">
        <f>G93+$K$93</f>
        <v>1.2318367346938774</v>
      </c>
      <c r="I93" s="45">
        <f>H93+$K$93</f>
        <v>1.1159183673469386</v>
      </c>
      <c r="J93" s="45">
        <f>I93+$K$93</f>
        <v>0.99999999999999978</v>
      </c>
      <c r="K93" s="68">
        <f>IF(K92="Yes",(1-E93)/COLUMNS(F93:J93),0)</f>
        <v>-0.11591836734693879</v>
      </c>
    </row>
    <row r="94" spans="2:11">
      <c r="B94" s="58"/>
      <c r="C94" s="45"/>
      <c r="D94" s="45"/>
      <c r="E94" s="45"/>
      <c r="F94" s="52"/>
      <c r="G94" s="52"/>
      <c r="H94" s="52"/>
      <c r="I94" s="52"/>
      <c r="J94" s="52"/>
    </row>
    <row r="95" spans="2:11">
      <c r="B95" s="29" t="s">
        <v>130</v>
      </c>
      <c r="C95" s="40"/>
      <c r="D95" s="70">
        <v>244.7</v>
      </c>
      <c r="E95" s="70">
        <v>271.39999999999998</v>
      </c>
      <c r="F95" s="65">
        <f>E95+SUM(F96:F97)</f>
        <v>286.50864197530859</v>
      </c>
      <c r="G95" s="65">
        <f>F95+SUM(G96:G97)</f>
        <v>297.64475308641971</v>
      </c>
      <c r="H95" s="65">
        <f>G95+SUM(H96:H97)</f>
        <v>305.19907407407402</v>
      </c>
      <c r="I95" s="65">
        <f>H95+SUM(I96:I97)</f>
        <v>309.36697530864188</v>
      </c>
      <c r="J95" s="65">
        <f>I95+SUM(J96:J97)</f>
        <v>309.36697530864188</v>
      </c>
    </row>
    <row r="96" spans="2:11">
      <c r="B96" s="56" t="s">
        <v>111</v>
      </c>
      <c r="C96" s="72">
        <v>115.8</v>
      </c>
      <c r="D96" s="72">
        <f>132.5</f>
        <v>132.5</v>
      </c>
      <c r="E96" s="72">
        <f>129.6</f>
        <v>129.6</v>
      </c>
      <c r="F96" s="72">
        <v>116</v>
      </c>
      <c r="G96" s="72">
        <v>114</v>
      </c>
      <c r="H96" s="72">
        <v>116</v>
      </c>
      <c r="I96" s="72">
        <v>128</v>
      </c>
      <c r="J96" s="72">
        <v>135</v>
      </c>
    </row>
    <row r="97" spans="2:11">
      <c r="B97" s="56" t="s">
        <v>68</v>
      </c>
      <c r="C97" s="72">
        <v>-75.7</v>
      </c>
      <c r="D97" s="72">
        <v>-93.6</v>
      </c>
      <c r="E97" s="72">
        <v>-108.5</v>
      </c>
      <c r="F97" s="73">
        <f>-(F99*F96)</f>
        <v>-100.89135802469136</v>
      </c>
      <c r="G97" s="73">
        <f t="shared" ref="G97:J97" si="14">-(G99*G96)</f>
        <v>-102.86388888888889</v>
      </c>
      <c r="H97" s="73">
        <f t="shared" si="14"/>
        <v>-108.44567901234569</v>
      </c>
      <c r="I97" s="73">
        <f t="shared" si="14"/>
        <v>-123.83209876543212</v>
      </c>
      <c r="J97" s="73">
        <f t="shared" si="14"/>
        <v>-135.00000000000003</v>
      </c>
      <c r="K97" s="49" t="s">
        <v>114</v>
      </c>
    </row>
    <row r="98" spans="2:11">
      <c r="B98" s="58" t="s">
        <v>112</v>
      </c>
      <c r="C98" s="9">
        <f t="shared" ref="C98:J98" si="15">C96/C42</f>
        <v>5.6069336173921458E-2</v>
      </c>
      <c r="D98" s="9">
        <f t="shared" si="15"/>
        <v>6.1003683241252299E-2</v>
      </c>
      <c r="E98" s="9">
        <f t="shared" si="15"/>
        <v>5.8871627146361398E-2</v>
      </c>
      <c r="F98" s="9">
        <f t="shared" si="15"/>
        <v>5.0911826422272342E-2</v>
      </c>
      <c r="G98" s="9">
        <f t="shared" si="15"/>
        <v>4.7425626835586265E-2</v>
      </c>
      <c r="H98" s="9">
        <f t="shared" si="15"/>
        <v>4.5526089977888165E-2</v>
      </c>
      <c r="I98" s="9">
        <f t="shared" si="15"/>
        <v>4.7843509993182966E-2</v>
      </c>
      <c r="J98" s="9">
        <f t="shared" si="15"/>
        <v>4.8148809108716752E-2</v>
      </c>
      <c r="K98" s="75" t="s">
        <v>102</v>
      </c>
    </row>
    <row r="99" spans="2:11">
      <c r="B99" s="58" t="s">
        <v>113</v>
      </c>
      <c r="C99" s="45">
        <f>-(C97/C96)</f>
        <v>0.65371329879101903</v>
      </c>
      <c r="D99" s="45">
        <f>-(D97/D96)</f>
        <v>0.70641509433962257</v>
      </c>
      <c r="E99" s="45">
        <f>-(E97/E96)</f>
        <v>0.83719135802469136</v>
      </c>
      <c r="F99" s="45">
        <f>E99+$K$99</f>
        <v>0.86975308641975313</v>
      </c>
      <c r="G99" s="45">
        <f>F99+$K$99</f>
        <v>0.9023148148148149</v>
      </c>
      <c r="H99" s="45">
        <f>G99+$K$99</f>
        <v>0.93487654320987668</v>
      </c>
      <c r="I99" s="45">
        <f>H99+$K$99</f>
        <v>0.96743827160493845</v>
      </c>
      <c r="J99" s="45">
        <f>I99+$K$99</f>
        <v>1.0000000000000002</v>
      </c>
      <c r="K99" s="68">
        <f>IF(K98="Yes",(1-E99)/COLUMNS(F99:J99),0)</f>
        <v>3.2561728395061731E-2</v>
      </c>
    </row>
    <row r="100" spans="2:11">
      <c r="B100" s="58"/>
      <c r="C100" s="45"/>
      <c r="D100" s="45"/>
      <c r="E100" s="45"/>
      <c r="F100" s="52"/>
      <c r="G100" s="52"/>
      <c r="H100" s="52"/>
      <c r="I100" s="52"/>
      <c r="J100" s="52"/>
    </row>
    <row r="101" spans="2:11">
      <c r="B101" s="29" t="s">
        <v>115</v>
      </c>
      <c r="D101" s="70">
        <v>257.5</v>
      </c>
      <c r="E101" s="70">
        <v>189.8</v>
      </c>
      <c r="F101" s="65">
        <f>E101+SUM(F102:F103)</f>
        <v>189.8</v>
      </c>
      <c r="G101" s="65">
        <f>F101+SUM(G102:G103)</f>
        <v>189.8</v>
      </c>
      <c r="H101" s="65">
        <f>G101+SUM(H102:H103)</f>
        <v>189.8</v>
      </c>
      <c r="I101" s="65">
        <f>H101+SUM(I102:I103)</f>
        <v>189.8</v>
      </c>
      <c r="J101" s="65">
        <f>I101+SUM(J102:J103)</f>
        <v>189.8</v>
      </c>
    </row>
    <row r="102" spans="2:11">
      <c r="B102" s="56" t="s">
        <v>111</v>
      </c>
      <c r="C102" s="87">
        <v>0</v>
      </c>
      <c r="D102" s="72">
        <v>0</v>
      </c>
      <c r="E102" s="72">
        <v>0</v>
      </c>
      <c r="F102" s="72">
        <f>-F103</f>
        <v>85</v>
      </c>
      <c r="G102" s="72">
        <f t="shared" ref="G102:J102" si="16">-G103</f>
        <v>80</v>
      </c>
      <c r="H102" s="72">
        <f t="shared" si="16"/>
        <v>77</v>
      </c>
      <c r="I102" s="72">
        <f t="shared" si="16"/>
        <v>68</v>
      </c>
      <c r="J102" s="72">
        <f t="shared" si="16"/>
        <v>57</v>
      </c>
    </row>
    <row r="103" spans="2:11">
      <c r="B103" s="56" t="s">
        <v>68</v>
      </c>
      <c r="C103" s="72">
        <v>-79.099999999999994</v>
      </c>
      <c r="D103" s="72">
        <v>-97.7</v>
      </c>
      <c r="E103" s="72">
        <v>-86.9</v>
      </c>
      <c r="F103" s="72">
        <v>-85</v>
      </c>
      <c r="G103" s="72">
        <v>-80</v>
      </c>
      <c r="H103" s="72">
        <v>-77</v>
      </c>
      <c r="I103" s="72">
        <v>-68</v>
      </c>
      <c r="J103" s="72">
        <v>-57</v>
      </c>
    </row>
    <row r="104" spans="2:11">
      <c r="B104" s="27"/>
      <c r="C104" s="53"/>
      <c r="D104" s="53"/>
      <c r="E104" s="53"/>
      <c r="F104" s="42"/>
      <c r="G104" s="42"/>
      <c r="H104" s="42"/>
      <c r="I104" s="42"/>
      <c r="J104" s="42"/>
    </row>
    <row r="105" spans="2:11">
      <c r="B105" s="29" t="s">
        <v>131</v>
      </c>
      <c r="D105" s="70">
        <f>240.2+1700.1</f>
        <v>1940.3</v>
      </c>
      <c r="E105" s="70">
        <f>229.3+1705.9</f>
        <v>1935.2</v>
      </c>
      <c r="F105" s="65">
        <f>E105</f>
        <v>1935.2</v>
      </c>
      <c r="G105" s="65">
        <f>F105</f>
        <v>1935.2</v>
      </c>
      <c r="H105" s="65">
        <f>G105</f>
        <v>1935.2</v>
      </c>
      <c r="I105" s="65">
        <f>H105</f>
        <v>1935.2</v>
      </c>
      <c r="J105" s="65">
        <f>I105</f>
        <v>1935.2</v>
      </c>
    </row>
    <row r="106" spans="2:11">
      <c r="B106" s="29"/>
      <c r="D106" s="70"/>
      <c r="E106" s="70"/>
      <c r="F106" s="65"/>
      <c r="G106" s="65"/>
      <c r="H106" s="65"/>
      <c r="I106" s="65"/>
      <c r="J106" s="65"/>
    </row>
    <row r="107" spans="2:11">
      <c r="B107" s="29" t="s">
        <v>72</v>
      </c>
      <c r="D107" s="70">
        <v>232.4</v>
      </c>
      <c r="E107" s="70">
        <v>252</v>
      </c>
      <c r="F107" s="65">
        <f>E107</f>
        <v>252</v>
      </c>
      <c r="G107" s="65">
        <f>F107</f>
        <v>252</v>
      </c>
      <c r="H107" s="65">
        <f t="shared" ref="H107" si="17">G107</f>
        <v>252</v>
      </c>
      <c r="I107" s="65">
        <f t="shared" ref="I107" si="18">H107</f>
        <v>252</v>
      </c>
      <c r="J107" s="65">
        <f t="shared" ref="J107" si="19">I107</f>
        <v>252</v>
      </c>
    </row>
    <row r="108" spans="2:11">
      <c r="B108" s="27"/>
      <c r="C108" s="38"/>
      <c r="D108" s="38"/>
      <c r="E108" s="38"/>
      <c r="F108" s="25"/>
      <c r="G108" s="25"/>
      <c r="H108" s="25"/>
      <c r="I108" s="25"/>
      <c r="J108" s="25"/>
    </row>
    <row r="109" spans="2:11">
      <c r="B109" s="13" t="s">
        <v>33</v>
      </c>
      <c r="C109" s="20"/>
      <c r="D109" s="20"/>
      <c r="E109" s="20"/>
      <c r="F109" s="20"/>
      <c r="G109" s="20"/>
      <c r="H109" s="20"/>
      <c r="I109" s="20"/>
      <c r="J109" s="20"/>
    </row>
    <row r="110" spans="2:11">
      <c r="B110" s="12" t="str">
        <f>B39</f>
        <v xml:space="preserve">Fiscal year  </v>
      </c>
      <c r="C110" s="31"/>
      <c r="D110" s="31"/>
      <c r="E110" s="31"/>
      <c r="F110" s="32">
        <f t="shared" ref="F110:J111" si="20">F39</f>
        <v>2014</v>
      </c>
      <c r="G110" s="32">
        <f t="shared" si="20"/>
        <v>2015</v>
      </c>
      <c r="H110" s="32">
        <f t="shared" si="20"/>
        <v>2016</v>
      </c>
      <c r="I110" s="32">
        <f t="shared" si="20"/>
        <v>2017</v>
      </c>
      <c r="J110" s="32">
        <f t="shared" si="20"/>
        <v>2018</v>
      </c>
    </row>
    <row r="111" spans="2:11">
      <c r="B111" s="15" t="str">
        <f>B40</f>
        <v>Fiscal year end date</v>
      </c>
      <c r="C111" s="33"/>
      <c r="D111" s="33"/>
      <c r="E111" s="33"/>
      <c r="F111" s="33">
        <f t="shared" si="20"/>
        <v>41729</v>
      </c>
      <c r="G111" s="33">
        <f t="shared" si="20"/>
        <v>42094</v>
      </c>
      <c r="H111" s="33">
        <f t="shared" si="20"/>
        <v>42460</v>
      </c>
      <c r="I111" s="33">
        <f t="shared" si="20"/>
        <v>42825</v>
      </c>
      <c r="J111" s="33">
        <f t="shared" si="20"/>
        <v>43190</v>
      </c>
    </row>
    <row r="113" spans="2:10">
      <c r="B113" t="s">
        <v>17</v>
      </c>
      <c r="C113" s="39"/>
      <c r="D113" s="39"/>
      <c r="E113" s="39"/>
      <c r="F113" s="53">
        <f>F53</f>
        <v>422.87987287520298</v>
      </c>
      <c r="G113" s="53">
        <f t="shared" ref="G113:J113" si="21">G53</f>
        <v>474.02956465799434</v>
      </c>
      <c r="H113" s="53">
        <f t="shared" si="21"/>
        <v>532.03611523860877</v>
      </c>
      <c r="I113" s="53">
        <f t="shared" si="21"/>
        <v>589.68093653673054</v>
      </c>
      <c r="J113" s="53">
        <f t="shared" si="21"/>
        <v>650.51870177242222</v>
      </c>
    </row>
    <row r="114" spans="2:10">
      <c r="B114" t="s">
        <v>34</v>
      </c>
      <c r="C114" s="39"/>
      <c r="D114" s="39"/>
      <c r="E114" s="39"/>
      <c r="F114" s="53">
        <f>F57</f>
        <v>223.94686822877298</v>
      </c>
      <c r="G114" s="53">
        <f t="shared" ref="G114:J114" si="22">G57</f>
        <v>220.60103174603177</v>
      </c>
      <c r="H114" s="53">
        <f t="shared" si="22"/>
        <v>222.40078105316201</v>
      </c>
      <c r="I114" s="53">
        <f t="shared" si="22"/>
        <v>224.19373141849334</v>
      </c>
      <c r="J114" s="53">
        <f t="shared" si="22"/>
        <v>223.00000000000003</v>
      </c>
    </row>
    <row r="115" spans="2:10">
      <c r="B115" t="s">
        <v>26</v>
      </c>
      <c r="C115" s="39"/>
      <c r="D115" s="39"/>
      <c r="E115" s="39"/>
      <c r="F115" s="53">
        <f>F58</f>
        <v>161.0547368274718</v>
      </c>
      <c r="G115" s="53">
        <f t="shared" ref="G115:J115" si="23">G58</f>
        <v>162.08209116516588</v>
      </c>
      <c r="H115" s="53">
        <f t="shared" si="23"/>
        <v>163.69762028974245</v>
      </c>
      <c r="I115" s="53">
        <f t="shared" si="23"/>
        <v>163.56828931606964</v>
      </c>
      <c r="J115" s="53">
        <f t="shared" si="23"/>
        <v>162.91655861446264</v>
      </c>
    </row>
    <row r="116" spans="2:10">
      <c r="B116" t="s">
        <v>71</v>
      </c>
      <c r="C116" s="25"/>
      <c r="D116" s="25"/>
      <c r="E116" s="25"/>
      <c r="F116" s="53">
        <f>E83-F83</f>
        <v>56.831350688291877</v>
      </c>
      <c r="G116" s="53">
        <f t="shared" ref="G116:J116" si="24">F83-G83</f>
        <v>95.056007636170762</v>
      </c>
      <c r="H116" s="53">
        <f t="shared" si="24"/>
        <v>109.42724184868234</v>
      </c>
      <c r="I116" s="53">
        <f t="shared" si="24"/>
        <v>96.464430375331858</v>
      </c>
      <c r="J116" s="53">
        <f t="shared" si="24"/>
        <v>97.152431450601853</v>
      </c>
    </row>
    <row r="117" spans="2:10">
      <c r="B117" t="s">
        <v>92</v>
      </c>
      <c r="C117" s="25"/>
      <c r="D117" s="25"/>
      <c r="E117" s="25"/>
      <c r="F117" s="53">
        <f>E105-F105+F107-E107</f>
        <v>0</v>
      </c>
      <c r="G117" s="53">
        <f t="shared" ref="G117:J117" si="25">F105-G105+G107-F107</f>
        <v>0</v>
      </c>
      <c r="H117" s="53">
        <f t="shared" si="25"/>
        <v>0</v>
      </c>
      <c r="I117" s="53">
        <f t="shared" si="25"/>
        <v>0</v>
      </c>
      <c r="J117" s="53">
        <f t="shared" si="25"/>
        <v>0</v>
      </c>
    </row>
    <row r="118" spans="2:10">
      <c r="B118" t="s">
        <v>97</v>
      </c>
      <c r="C118" s="25"/>
      <c r="D118" s="25"/>
      <c r="E118" s="25"/>
      <c r="F118" s="123"/>
      <c r="G118" s="123"/>
      <c r="H118" s="123"/>
      <c r="I118" s="123"/>
      <c r="J118" s="123"/>
    </row>
    <row r="119" spans="2:10">
      <c r="B119" s="24" t="s">
        <v>35</v>
      </c>
      <c r="F119" s="65">
        <f>SUM(F113:F118)</f>
        <v>864.71282861973964</v>
      </c>
      <c r="G119" s="65">
        <f t="shared" ref="G119:J119" si="26">SUM(G113:G118)</f>
        <v>951.76869520536275</v>
      </c>
      <c r="H119" s="65">
        <f t="shared" si="26"/>
        <v>1027.5617584301956</v>
      </c>
      <c r="I119" s="65">
        <f t="shared" si="26"/>
        <v>1073.9073876466255</v>
      </c>
      <c r="J119" s="65">
        <f t="shared" si="26"/>
        <v>1133.5876918374868</v>
      </c>
    </row>
    <row r="121" spans="2:10">
      <c r="B121" t="s">
        <v>36</v>
      </c>
      <c r="F121" s="53">
        <f>-F90</f>
        <v>-26</v>
      </c>
      <c r="G121" s="53">
        <f t="shared" ref="G121:J121" si="27">-G90</f>
        <v>-28</v>
      </c>
      <c r="H121" s="53">
        <f t="shared" si="27"/>
        <v>-30</v>
      </c>
      <c r="I121" s="53">
        <f t="shared" si="27"/>
        <v>-29</v>
      </c>
      <c r="J121" s="53">
        <f t="shared" si="27"/>
        <v>-31</v>
      </c>
    </row>
    <row r="122" spans="2:10">
      <c r="B122" t="s">
        <v>132</v>
      </c>
      <c r="F122" s="53">
        <f>-(F96+F102)</f>
        <v>-201</v>
      </c>
      <c r="G122" s="53">
        <f t="shared" ref="G122:J122" si="28">-(G96+G102)</f>
        <v>-194</v>
      </c>
      <c r="H122" s="53">
        <f t="shared" si="28"/>
        <v>-193</v>
      </c>
      <c r="I122" s="53">
        <f t="shared" si="28"/>
        <v>-196</v>
      </c>
      <c r="J122" s="53">
        <f t="shared" si="28"/>
        <v>-192</v>
      </c>
    </row>
    <row r="123" spans="2:10">
      <c r="B123" s="24" t="s">
        <v>37</v>
      </c>
      <c r="F123" s="65">
        <f>SUM(F121:F122)</f>
        <v>-227</v>
      </c>
      <c r="G123" s="65">
        <f t="shared" ref="G123:J123" si="29">SUM(G121:G122)</f>
        <v>-222</v>
      </c>
      <c r="H123" s="65">
        <f t="shared" si="29"/>
        <v>-223</v>
      </c>
      <c r="I123" s="65">
        <f t="shared" si="29"/>
        <v>-225</v>
      </c>
      <c r="J123" s="65">
        <f t="shared" si="29"/>
        <v>-223</v>
      </c>
    </row>
    <row r="125" spans="2:10">
      <c r="B125" t="s">
        <v>78</v>
      </c>
      <c r="F125" s="123"/>
      <c r="G125" s="123"/>
      <c r="H125" s="123"/>
      <c r="I125" s="123"/>
      <c r="J125" s="123"/>
    </row>
    <row r="126" spans="2:10">
      <c r="B126" t="s">
        <v>103</v>
      </c>
      <c r="F126" s="123"/>
      <c r="G126" s="123"/>
      <c r="H126" s="123"/>
      <c r="I126" s="123"/>
      <c r="J126" s="123"/>
    </row>
    <row r="127" spans="2:10">
      <c r="B127" s="67" t="s">
        <v>81</v>
      </c>
      <c r="C127" s="24"/>
      <c r="D127" s="24"/>
      <c r="E127" s="24"/>
      <c r="F127" s="65">
        <f>F119+F123+SUM(F125:F126)</f>
        <v>637.71282861973964</v>
      </c>
      <c r="G127" s="65">
        <f t="shared" ref="G127:J127" si="30">G119+G123+SUM(G125:G126)</f>
        <v>729.76869520536275</v>
      </c>
      <c r="H127" s="65">
        <f t="shared" si="30"/>
        <v>804.5617584301956</v>
      </c>
      <c r="I127" s="65">
        <f t="shared" si="30"/>
        <v>848.90738764662547</v>
      </c>
      <c r="J127" s="65">
        <f t="shared" si="30"/>
        <v>910.58769183748677</v>
      </c>
    </row>
    <row r="128" spans="2:10">
      <c r="B128" t="s">
        <v>28</v>
      </c>
      <c r="F128" s="123"/>
      <c r="G128" s="123"/>
      <c r="H128" s="123"/>
      <c r="I128" s="123"/>
      <c r="J128" s="123"/>
    </row>
    <row r="129" spans="2:10">
      <c r="B129" s="67" t="s">
        <v>79</v>
      </c>
      <c r="C129" s="24"/>
      <c r="D129" s="24"/>
      <c r="E129" s="24"/>
      <c r="F129" s="65">
        <f>F127+F128</f>
        <v>637.71282861973964</v>
      </c>
      <c r="G129" s="65">
        <f t="shared" ref="G129:J129" si="31">G127+G128</f>
        <v>729.76869520536275</v>
      </c>
      <c r="H129" s="65">
        <f t="shared" si="31"/>
        <v>804.5617584301956</v>
      </c>
      <c r="I129" s="65">
        <f t="shared" si="31"/>
        <v>848.90738764662547</v>
      </c>
      <c r="J129" s="65">
        <f t="shared" si="31"/>
        <v>910.58769183748677</v>
      </c>
    </row>
    <row r="130" spans="2:10">
      <c r="B130" s="35" t="s">
        <v>80</v>
      </c>
      <c r="F130" s="123"/>
      <c r="G130" s="123"/>
      <c r="H130" s="123"/>
      <c r="I130" s="123"/>
      <c r="J130" s="123"/>
    </row>
    <row r="131" spans="2:10">
      <c r="B131" s="35" t="s">
        <v>82</v>
      </c>
      <c r="F131" s="123"/>
      <c r="G131" s="123"/>
      <c r="H131" s="123"/>
      <c r="I131" s="123"/>
      <c r="J131" s="123"/>
    </row>
    <row r="132" spans="2:10">
      <c r="B132" s="24" t="s">
        <v>38</v>
      </c>
      <c r="F132" s="65">
        <f>SUM(F129:F131)</f>
        <v>637.71282861973964</v>
      </c>
      <c r="G132" s="65">
        <f t="shared" ref="G132:J132" si="32">SUM(G129:G131)</f>
        <v>729.76869520536275</v>
      </c>
      <c r="H132" s="65">
        <f t="shared" si="32"/>
        <v>804.5617584301956</v>
      </c>
      <c r="I132" s="65">
        <f t="shared" si="32"/>
        <v>848.90738764662547</v>
      </c>
      <c r="J132" s="65">
        <f t="shared" si="32"/>
        <v>910.58769183748677</v>
      </c>
    </row>
    <row r="133" spans="2:10">
      <c r="B133" s="24"/>
      <c r="F133" s="40"/>
      <c r="G133" s="40"/>
      <c r="H133" s="40"/>
      <c r="I133" s="40"/>
      <c r="J133" s="40"/>
    </row>
  </sheetData>
  <dataValidations disablePrompts="1" count="5">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4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2"/>
  <sheetViews>
    <sheetView tabSelected="1" zoomScaleNormal="100" workbookViewId="0">
      <selection activeCell="F119" sqref="F119"/>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95" t="str">
        <f>LBO!B3</f>
        <v>$ mm except per share</v>
      </c>
    </row>
    <row r="4" spans="2:5">
      <c r="B4" s="27"/>
    </row>
    <row r="5" spans="2:5">
      <c r="B5" s="27" t="s">
        <v>118</v>
      </c>
      <c r="E5" s="77">
        <v>46.25</v>
      </c>
    </row>
    <row r="6" spans="2:5">
      <c r="B6" s="97" t="str">
        <f>IF(E6&lt;&gt;E5,"Please ensure offer price matches offer price in model.","")</f>
        <v/>
      </c>
      <c r="E6" s="96">
        <f>LBO!H20</f>
        <v>46.25</v>
      </c>
    </row>
    <row r="7" spans="2:5">
      <c r="B7" s="54" t="s">
        <v>122</v>
      </c>
      <c r="E7" s="50">
        <f>143.973</f>
        <v>143.97300000000001</v>
      </c>
    </row>
    <row r="8" spans="2:5">
      <c r="B8" s="27" t="s">
        <v>48</v>
      </c>
      <c r="E8" s="69">
        <f>E28</f>
        <v>10.7</v>
      </c>
    </row>
    <row r="9" spans="2:5">
      <c r="B9" s="27" t="s">
        <v>40</v>
      </c>
      <c r="E9" s="76">
        <f>SUMPRODUCT(D18:D27,E18:E27)</f>
        <v>411.70000000000005</v>
      </c>
    </row>
    <row r="10" spans="2:5">
      <c r="B10" s="27" t="s">
        <v>41</v>
      </c>
      <c r="E10" s="76">
        <f>E9/E5</f>
        <v>8.9016216216216222</v>
      </c>
    </row>
    <row r="11" spans="2:5">
      <c r="B11" s="27" t="s">
        <v>42</v>
      </c>
      <c r="E11" s="76">
        <f>E8-E10</f>
        <v>1.7983783783783771</v>
      </c>
    </row>
    <row r="12" spans="2:5">
      <c r="B12" s="27" t="s">
        <v>43</v>
      </c>
      <c r="E12" s="50">
        <v>0</v>
      </c>
    </row>
    <row r="13" spans="2:5">
      <c r="B13" s="27"/>
      <c r="E13" s="50"/>
    </row>
    <row r="14" spans="2:5">
      <c r="B14" s="36" t="s">
        <v>44</v>
      </c>
      <c r="D14" s="53"/>
      <c r="E14" s="76">
        <f>E7+E11+E12</f>
        <v>145.77137837837839</v>
      </c>
    </row>
    <row r="15" spans="2:5">
      <c r="B15" s="36"/>
      <c r="D15" s="53"/>
      <c r="E15" s="76"/>
    </row>
    <row r="16" spans="2:5">
      <c r="B16" s="59" t="s">
        <v>137</v>
      </c>
      <c r="C16" s="15"/>
      <c r="D16" s="78"/>
      <c r="E16" s="48"/>
    </row>
    <row r="17" spans="2:5">
      <c r="C17" s="62" t="s">
        <v>119</v>
      </c>
      <c r="D17" s="62" t="s">
        <v>47</v>
      </c>
      <c r="E17" s="62" t="s">
        <v>120</v>
      </c>
    </row>
    <row r="18" spans="2:5">
      <c r="B18" s="90">
        <v>1</v>
      </c>
      <c r="C18" s="91">
        <v>0.2</v>
      </c>
      <c r="D18" s="91">
        <v>15</v>
      </c>
      <c r="E18" s="92">
        <f t="shared" ref="E18:E27" si="0">IF(D18&lt;$E$5,C18,0)</f>
        <v>0.2</v>
      </c>
    </row>
    <row r="19" spans="2:5">
      <c r="B19" s="90">
        <f>B18+1</f>
        <v>2</v>
      </c>
      <c r="C19" s="91">
        <v>0.7</v>
      </c>
      <c r="D19" s="91">
        <v>18</v>
      </c>
      <c r="E19" s="92">
        <f t="shared" si="0"/>
        <v>0.7</v>
      </c>
    </row>
    <row r="20" spans="2:5">
      <c r="B20" s="90">
        <f t="shared" ref="B20:B24" si="1">B19+1</f>
        <v>3</v>
      </c>
      <c r="C20" s="91">
        <v>0.1</v>
      </c>
      <c r="D20" s="91">
        <v>22</v>
      </c>
      <c r="E20" s="92">
        <f t="shared" si="0"/>
        <v>0.1</v>
      </c>
    </row>
    <row r="21" spans="2:5">
      <c r="B21" s="90">
        <f t="shared" si="1"/>
        <v>4</v>
      </c>
      <c r="C21" s="91">
        <v>0.3</v>
      </c>
      <c r="D21" s="91">
        <v>28</v>
      </c>
      <c r="E21" s="92">
        <f t="shared" si="0"/>
        <v>0.3</v>
      </c>
    </row>
    <row r="22" spans="2:5">
      <c r="B22" s="90">
        <f t="shared" si="1"/>
        <v>5</v>
      </c>
      <c r="C22" s="91">
        <v>0.3</v>
      </c>
      <c r="D22" s="91">
        <v>32</v>
      </c>
      <c r="E22" s="92">
        <f t="shared" si="0"/>
        <v>0.3</v>
      </c>
    </row>
    <row r="23" spans="2:5">
      <c r="B23" s="90">
        <f t="shared" si="1"/>
        <v>6</v>
      </c>
      <c r="C23" s="91">
        <v>0.4</v>
      </c>
      <c r="D23" s="91">
        <v>36</v>
      </c>
      <c r="E23" s="92">
        <f t="shared" si="0"/>
        <v>0.4</v>
      </c>
    </row>
    <row r="24" spans="2:5">
      <c r="B24" s="90">
        <f t="shared" si="1"/>
        <v>7</v>
      </c>
      <c r="C24" s="91">
        <v>1.3</v>
      </c>
      <c r="D24" s="91">
        <v>39</v>
      </c>
      <c r="E24" s="92">
        <f t="shared" si="0"/>
        <v>1.3</v>
      </c>
    </row>
    <row r="25" spans="2:5">
      <c r="B25" s="90">
        <f t="shared" ref="B25:B26" si="2">B24+1</f>
        <v>8</v>
      </c>
      <c r="C25" s="91">
        <v>7.4</v>
      </c>
      <c r="D25" s="91">
        <v>42</v>
      </c>
      <c r="E25" s="92">
        <f t="shared" si="0"/>
        <v>7.4</v>
      </c>
    </row>
    <row r="26" spans="2:5">
      <c r="B26" s="90">
        <f t="shared" si="2"/>
        <v>9</v>
      </c>
      <c r="C26" s="91"/>
      <c r="D26" s="91"/>
      <c r="E26" s="92">
        <f t="shared" si="0"/>
        <v>0</v>
      </c>
    </row>
    <row r="27" spans="2:5">
      <c r="B27" s="90">
        <f t="shared" ref="B27" si="3">B26+1</f>
        <v>10</v>
      </c>
      <c r="C27" s="91"/>
      <c r="D27" s="91"/>
      <c r="E27" s="93">
        <f t="shared" si="0"/>
        <v>0</v>
      </c>
    </row>
    <row r="28" spans="2:5">
      <c r="E28" s="94">
        <f>SUM(E18:E27)</f>
        <v>10.7</v>
      </c>
    </row>
    <row r="113" spans="6:10">
      <c r="F113">
        <f>F53</f>
        <v>0</v>
      </c>
      <c r="G113">
        <f t="shared" ref="G113:J113" si="4">G53</f>
        <v>0</v>
      </c>
      <c r="H113">
        <f t="shared" si="4"/>
        <v>0</v>
      </c>
      <c r="I113">
        <f t="shared" si="4"/>
        <v>0</v>
      </c>
      <c r="J113">
        <f t="shared" si="4"/>
        <v>0</v>
      </c>
    </row>
    <row r="114" spans="6:10">
      <c r="F114">
        <f>F57</f>
        <v>0</v>
      </c>
      <c r="G114">
        <f t="shared" ref="G114:J114" si="5">G57</f>
        <v>0</v>
      </c>
      <c r="H114">
        <f t="shared" si="5"/>
        <v>0</v>
      </c>
      <c r="I114">
        <f t="shared" si="5"/>
        <v>0</v>
      </c>
      <c r="J114">
        <f t="shared" si="5"/>
        <v>0</v>
      </c>
    </row>
    <row r="115" spans="6:10">
      <c r="F115">
        <f>F58</f>
        <v>0</v>
      </c>
      <c r="G115">
        <f t="shared" ref="G115:J115" si="6">G58</f>
        <v>0</v>
      </c>
      <c r="H115">
        <f t="shared" si="6"/>
        <v>0</v>
      </c>
      <c r="I115">
        <f t="shared" si="6"/>
        <v>0</v>
      </c>
      <c r="J115">
        <f t="shared" si="6"/>
        <v>0</v>
      </c>
    </row>
    <row r="116" spans="6:10">
      <c r="F116">
        <f>E83-F83</f>
        <v>0</v>
      </c>
      <c r="G116">
        <f t="shared" ref="G116:J116" si="7">F83-G83</f>
        <v>0</v>
      </c>
      <c r="H116">
        <f t="shared" si="7"/>
        <v>0</v>
      </c>
      <c r="I116">
        <f t="shared" si="7"/>
        <v>0</v>
      </c>
      <c r="J116">
        <f t="shared" si="7"/>
        <v>0</v>
      </c>
    </row>
    <row r="117" spans="6:10">
      <c r="F117">
        <f>E105-F105+F107-E107</f>
        <v>0</v>
      </c>
      <c r="G117">
        <f t="shared" ref="G117:J117" si="8">F105-G105+G107-F107</f>
        <v>0</v>
      </c>
      <c r="H117">
        <f t="shared" si="8"/>
        <v>0</v>
      </c>
      <c r="I117">
        <f t="shared" si="8"/>
        <v>0</v>
      </c>
      <c r="J117">
        <f t="shared" si="8"/>
        <v>0</v>
      </c>
    </row>
    <row r="119" spans="6:10">
      <c r="F119" s="124">
        <f>SUM(F113:F118)</f>
        <v>0</v>
      </c>
      <c r="G119" s="124">
        <f t="shared" ref="G119:J119" si="9">SUM(G113:G118)</f>
        <v>0</v>
      </c>
      <c r="H119" s="124">
        <f t="shared" si="9"/>
        <v>0</v>
      </c>
      <c r="I119" s="124">
        <f t="shared" si="9"/>
        <v>0</v>
      </c>
      <c r="J119" s="124">
        <f t="shared" si="9"/>
        <v>0</v>
      </c>
    </row>
    <row r="121" spans="6:10">
      <c r="F121">
        <f>-F90</f>
        <v>0</v>
      </c>
      <c r="G121">
        <f t="shared" ref="G121:J121" si="10">-G90</f>
        <v>0</v>
      </c>
      <c r="H121">
        <f t="shared" si="10"/>
        <v>0</v>
      </c>
      <c r="I121">
        <f t="shared" si="10"/>
        <v>0</v>
      </c>
      <c r="J121">
        <f t="shared" si="10"/>
        <v>0</v>
      </c>
    </row>
    <row r="122" spans="6:10">
      <c r="F122">
        <f>-(F96+F102)</f>
        <v>0</v>
      </c>
      <c r="G122">
        <f t="shared" ref="G122:J122" si="11">-(G96+G102)</f>
        <v>0</v>
      </c>
      <c r="H122">
        <f t="shared" si="11"/>
        <v>0</v>
      </c>
      <c r="I122">
        <f t="shared" si="11"/>
        <v>0</v>
      </c>
      <c r="J122">
        <f t="shared" si="11"/>
        <v>0</v>
      </c>
    </row>
    <row r="123" spans="6:10">
      <c r="F123" s="124">
        <f>SUM(F121:F122)</f>
        <v>0</v>
      </c>
      <c r="G123" s="124">
        <f t="shared" ref="G123:J123" si="12">SUM(G121:G122)</f>
        <v>0</v>
      </c>
      <c r="H123" s="124">
        <f t="shared" si="12"/>
        <v>0</v>
      </c>
      <c r="I123" s="124">
        <f t="shared" si="12"/>
        <v>0</v>
      </c>
      <c r="J123" s="124">
        <f t="shared" si="12"/>
        <v>0</v>
      </c>
    </row>
    <row r="127" spans="6:10">
      <c r="F127" s="124">
        <f>F119+F123+SUM(F125:F126)</f>
        <v>0</v>
      </c>
      <c r="G127" s="124">
        <f t="shared" ref="G127:J127" si="13">G119+G123+SUM(G125:G126)</f>
        <v>0</v>
      </c>
      <c r="H127" s="124">
        <f t="shared" si="13"/>
        <v>0</v>
      </c>
      <c r="I127" s="124">
        <f t="shared" si="13"/>
        <v>0</v>
      </c>
      <c r="J127" s="124">
        <f t="shared" si="13"/>
        <v>0</v>
      </c>
    </row>
    <row r="129" spans="6:10">
      <c r="F129" s="124">
        <f>F127+F128</f>
        <v>0</v>
      </c>
      <c r="G129" s="124">
        <f t="shared" ref="G129:J129" si="14">G127+G128</f>
        <v>0</v>
      </c>
      <c r="H129" s="124">
        <f t="shared" si="14"/>
        <v>0</v>
      </c>
      <c r="I129" s="124">
        <f t="shared" si="14"/>
        <v>0</v>
      </c>
      <c r="J129" s="124">
        <f t="shared" si="14"/>
        <v>0</v>
      </c>
    </row>
    <row r="132" spans="6:10">
      <c r="F132" s="124">
        <f>SUM(F129:F131)</f>
        <v>0</v>
      </c>
      <c r="G132" s="124">
        <f t="shared" ref="G132:J132" si="15">SUM(G129:G131)</f>
        <v>0</v>
      </c>
      <c r="H132" s="124">
        <f t="shared" si="15"/>
        <v>0</v>
      </c>
      <c r="I132" s="124">
        <f t="shared" si="15"/>
        <v>0</v>
      </c>
      <c r="J132" s="124">
        <f t="shared" si="15"/>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68"/>
  <sheetViews>
    <sheetView tabSelected="1" zoomScaleNormal="100" workbookViewId="0">
      <selection activeCell="F119" sqref="F119"/>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7" t="s">
        <v>51</v>
      </c>
      <c r="B2" s="46"/>
      <c r="C2" s="46"/>
      <c r="D2" s="46"/>
      <c r="E2" s="46"/>
      <c r="F2" s="46"/>
    </row>
    <row r="4" spans="1:6">
      <c r="A4" t="s">
        <v>52</v>
      </c>
      <c r="E4" s="24">
        <f>MAX(E8:E268)</f>
        <v>46.33</v>
      </c>
    </row>
    <row r="5" spans="1:6">
      <c r="A5" t="s">
        <v>53</v>
      </c>
      <c r="E5" s="24">
        <f>MIN(E8:E268)</f>
        <v>37.51</v>
      </c>
    </row>
    <row r="7" spans="1:6">
      <c r="A7" t="s">
        <v>54</v>
      </c>
      <c r="B7" t="s">
        <v>55</v>
      </c>
      <c r="C7" t="s">
        <v>49</v>
      </c>
      <c r="D7" t="s">
        <v>50</v>
      </c>
      <c r="E7" s="24" t="s">
        <v>56</v>
      </c>
      <c r="F7" t="s">
        <v>57</v>
      </c>
    </row>
    <row r="8" spans="1:6">
      <c r="A8" s="44">
        <v>41400</v>
      </c>
      <c r="B8">
        <v>45.5</v>
      </c>
      <c r="C8">
        <v>45.71</v>
      </c>
      <c r="D8">
        <v>45.07</v>
      </c>
      <c r="E8" s="24">
        <v>45.42</v>
      </c>
      <c r="F8">
        <v>34229100</v>
      </c>
    </row>
    <row r="9" spans="1:6">
      <c r="A9" s="44">
        <v>41397</v>
      </c>
      <c r="B9">
        <v>45.67</v>
      </c>
      <c r="C9">
        <v>45.77</v>
      </c>
      <c r="D9">
        <v>45.35</v>
      </c>
      <c r="E9" s="24">
        <v>45.42</v>
      </c>
      <c r="F9">
        <v>2058200</v>
      </c>
    </row>
    <row r="10" spans="1:6">
      <c r="A10" s="44">
        <v>41396</v>
      </c>
      <c r="B10">
        <v>45.45</v>
      </c>
      <c r="C10">
        <v>45.49</v>
      </c>
      <c r="D10">
        <v>44.97</v>
      </c>
      <c r="E10" s="24">
        <v>45.24</v>
      </c>
      <c r="F10">
        <v>3022300</v>
      </c>
    </row>
    <row r="11" spans="1:6">
      <c r="A11" s="44">
        <v>41395</v>
      </c>
      <c r="B11">
        <v>45.84</v>
      </c>
      <c r="C11">
        <v>45.96</v>
      </c>
      <c r="D11">
        <v>45.25</v>
      </c>
      <c r="E11" s="24">
        <v>45.39</v>
      </c>
      <c r="F11">
        <v>2306800</v>
      </c>
    </row>
    <row r="12" spans="1:6">
      <c r="A12" s="44">
        <v>41394</v>
      </c>
      <c r="B12">
        <v>45.34</v>
      </c>
      <c r="C12">
        <v>45.52</v>
      </c>
      <c r="D12">
        <v>45.17</v>
      </c>
      <c r="E12" s="24">
        <v>45.48</v>
      </c>
      <c r="F12">
        <v>2096700</v>
      </c>
    </row>
    <row r="13" spans="1:6">
      <c r="A13" s="44">
        <v>41393</v>
      </c>
      <c r="B13">
        <v>45.5</v>
      </c>
      <c r="C13">
        <v>45.7</v>
      </c>
      <c r="D13">
        <v>45.28</v>
      </c>
      <c r="E13" s="24">
        <v>45.43</v>
      </c>
      <c r="F13">
        <v>2294400</v>
      </c>
    </row>
    <row r="14" spans="1:6">
      <c r="A14" s="44">
        <v>41390</v>
      </c>
      <c r="B14">
        <v>45.68</v>
      </c>
      <c r="C14">
        <v>45.86</v>
      </c>
      <c r="D14">
        <v>45.53</v>
      </c>
      <c r="E14" s="24">
        <v>45.6</v>
      </c>
      <c r="F14">
        <v>1694700</v>
      </c>
    </row>
    <row r="15" spans="1:6">
      <c r="A15" s="44">
        <v>41389</v>
      </c>
      <c r="B15">
        <v>45.07</v>
      </c>
      <c r="C15">
        <v>45.83</v>
      </c>
      <c r="D15">
        <v>44.87</v>
      </c>
      <c r="E15" s="24">
        <v>45.69</v>
      </c>
      <c r="F15">
        <v>2360900</v>
      </c>
    </row>
    <row r="16" spans="1:6">
      <c r="A16" s="44">
        <v>41388</v>
      </c>
      <c r="B16">
        <v>45</v>
      </c>
      <c r="C16">
        <v>45.62</v>
      </c>
      <c r="D16">
        <v>44.22</v>
      </c>
      <c r="E16" s="24">
        <v>44.9</v>
      </c>
      <c r="F16">
        <v>6814000</v>
      </c>
    </row>
    <row r="17" spans="1:6">
      <c r="A17" s="44">
        <v>41387</v>
      </c>
      <c r="B17">
        <v>44.05</v>
      </c>
      <c r="C17">
        <v>44.29</v>
      </c>
      <c r="D17">
        <v>43.66</v>
      </c>
      <c r="E17" s="24">
        <v>44.13</v>
      </c>
      <c r="F17">
        <v>2856300</v>
      </c>
    </row>
    <row r="18" spans="1:6">
      <c r="A18" s="44">
        <v>41386</v>
      </c>
      <c r="B18">
        <v>44.08</v>
      </c>
      <c r="C18">
        <v>44.09</v>
      </c>
      <c r="D18">
        <v>43.41</v>
      </c>
      <c r="E18" s="24">
        <v>43.88</v>
      </c>
      <c r="F18">
        <v>1078900</v>
      </c>
    </row>
    <row r="19" spans="1:6">
      <c r="A19" s="44">
        <v>41383</v>
      </c>
      <c r="B19">
        <v>43.56</v>
      </c>
      <c r="C19">
        <v>44.08</v>
      </c>
      <c r="D19">
        <v>43.3</v>
      </c>
      <c r="E19" s="24">
        <v>43.86</v>
      </c>
      <c r="F19">
        <v>1367800</v>
      </c>
    </row>
    <row r="20" spans="1:6">
      <c r="A20" s="44">
        <v>41382</v>
      </c>
      <c r="B20">
        <v>44.21</v>
      </c>
      <c r="C20">
        <v>44.25</v>
      </c>
      <c r="D20">
        <v>43.44</v>
      </c>
      <c r="E20" s="24">
        <v>43.75</v>
      </c>
      <c r="F20">
        <v>1451300</v>
      </c>
    </row>
    <row r="21" spans="1:6">
      <c r="A21" s="44">
        <v>41381</v>
      </c>
      <c r="B21">
        <v>44.51</v>
      </c>
      <c r="C21">
        <v>44.68</v>
      </c>
      <c r="D21">
        <v>43.54</v>
      </c>
      <c r="E21" s="24">
        <v>44.03</v>
      </c>
      <c r="F21">
        <v>2156400</v>
      </c>
    </row>
    <row r="22" spans="1:6">
      <c r="A22" s="44">
        <v>41380</v>
      </c>
      <c r="B22">
        <v>44.59</v>
      </c>
      <c r="C22">
        <v>45.03</v>
      </c>
      <c r="D22">
        <v>44.5</v>
      </c>
      <c r="E22" s="24">
        <v>44.88</v>
      </c>
      <c r="F22">
        <v>1223400</v>
      </c>
    </row>
    <row r="23" spans="1:6">
      <c r="A23" s="44">
        <v>41379</v>
      </c>
      <c r="B23">
        <v>44.9</v>
      </c>
      <c r="C23">
        <v>45</v>
      </c>
      <c r="D23">
        <v>44.32</v>
      </c>
      <c r="E23" s="24">
        <v>44.32</v>
      </c>
      <c r="F23">
        <v>1273900</v>
      </c>
    </row>
    <row r="24" spans="1:6">
      <c r="A24" s="44">
        <v>41376</v>
      </c>
      <c r="B24">
        <v>45.02</v>
      </c>
      <c r="C24">
        <v>45.02</v>
      </c>
      <c r="D24">
        <v>44.65</v>
      </c>
      <c r="E24" s="24">
        <v>44.93</v>
      </c>
      <c r="F24">
        <v>1566600</v>
      </c>
    </row>
    <row r="25" spans="1:6">
      <c r="A25" s="44">
        <v>41375</v>
      </c>
      <c r="B25">
        <v>44.72</v>
      </c>
      <c r="C25">
        <v>45.65</v>
      </c>
      <c r="D25">
        <v>44.53</v>
      </c>
      <c r="E25" s="24">
        <v>45.02</v>
      </c>
      <c r="F25">
        <v>4248900</v>
      </c>
    </row>
    <row r="26" spans="1:6">
      <c r="A26" s="44">
        <v>41374</v>
      </c>
      <c r="B26">
        <v>44.45</v>
      </c>
      <c r="C26">
        <v>44.93</v>
      </c>
      <c r="D26">
        <v>44.37</v>
      </c>
      <c r="E26" s="24">
        <v>44.75</v>
      </c>
      <c r="F26">
        <v>2023200</v>
      </c>
    </row>
    <row r="27" spans="1:6">
      <c r="A27" s="44">
        <v>41373</v>
      </c>
      <c r="B27">
        <v>44.5</v>
      </c>
      <c r="C27">
        <v>44.62</v>
      </c>
      <c r="D27">
        <v>43.98</v>
      </c>
      <c r="E27" s="24">
        <v>44.34</v>
      </c>
      <c r="F27">
        <v>1952800</v>
      </c>
    </row>
    <row r="28" spans="1:6">
      <c r="A28" s="44">
        <v>41372</v>
      </c>
      <c r="B28">
        <v>45.05</v>
      </c>
      <c r="C28">
        <v>45.1</v>
      </c>
      <c r="D28">
        <v>44.42</v>
      </c>
      <c r="E28" s="24">
        <v>44.45</v>
      </c>
      <c r="F28">
        <v>1625500</v>
      </c>
    </row>
    <row r="29" spans="1:6">
      <c r="A29" s="44">
        <v>41369</v>
      </c>
      <c r="B29">
        <v>44.55</v>
      </c>
      <c r="C29">
        <v>45.28</v>
      </c>
      <c r="D29">
        <v>44.03</v>
      </c>
      <c r="E29" s="24">
        <v>45.11</v>
      </c>
      <c r="F29">
        <v>1635700</v>
      </c>
    </row>
    <row r="30" spans="1:6">
      <c r="A30" s="44">
        <v>41368</v>
      </c>
      <c r="B30">
        <v>45.42</v>
      </c>
      <c r="C30">
        <v>45.59</v>
      </c>
      <c r="D30">
        <v>44.93</v>
      </c>
      <c r="E30" s="24">
        <v>45.14</v>
      </c>
      <c r="F30">
        <v>1004100</v>
      </c>
    </row>
    <row r="31" spans="1:6">
      <c r="A31" s="44">
        <v>41367</v>
      </c>
      <c r="B31">
        <v>46.09</v>
      </c>
      <c r="C31">
        <v>46.3</v>
      </c>
      <c r="D31">
        <v>45.07</v>
      </c>
      <c r="E31" s="24">
        <v>45.44</v>
      </c>
      <c r="F31">
        <v>1471300</v>
      </c>
    </row>
    <row r="32" spans="1:6">
      <c r="A32" s="44">
        <v>41366</v>
      </c>
      <c r="B32">
        <v>46.19</v>
      </c>
      <c r="C32">
        <v>46.49</v>
      </c>
      <c r="D32">
        <v>46.03</v>
      </c>
      <c r="E32" s="24">
        <v>46.06</v>
      </c>
      <c r="F32">
        <v>1169600</v>
      </c>
    </row>
    <row r="33" spans="1:6">
      <c r="A33" s="44">
        <v>41365</v>
      </c>
      <c r="B33">
        <v>46.29</v>
      </c>
      <c r="C33">
        <v>46.5</v>
      </c>
      <c r="D33">
        <v>45.87</v>
      </c>
      <c r="E33" s="24">
        <v>46.02</v>
      </c>
      <c r="F33">
        <v>1124600</v>
      </c>
    </row>
    <row r="34" spans="1:6">
      <c r="A34" s="44">
        <v>41362</v>
      </c>
      <c r="B34">
        <v>46.33</v>
      </c>
      <c r="C34">
        <v>46.33</v>
      </c>
      <c r="D34">
        <v>46.33</v>
      </c>
      <c r="E34" s="24">
        <v>46.33</v>
      </c>
      <c r="F34">
        <v>0</v>
      </c>
    </row>
    <row r="35" spans="1:6">
      <c r="A35" s="44">
        <v>41361</v>
      </c>
      <c r="B35">
        <v>45.61</v>
      </c>
      <c r="C35">
        <v>46.48</v>
      </c>
      <c r="D35">
        <v>45.61</v>
      </c>
      <c r="E35" s="24">
        <v>46.33</v>
      </c>
      <c r="F35">
        <v>1145800</v>
      </c>
    </row>
    <row r="36" spans="1:6">
      <c r="A36" s="44">
        <v>41360</v>
      </c>
      <c r="B36">
        <v>45.63</v>
      </c>
      <c r="C36">
        <v>45.92</v>
      </c>
      <c r="D36">
        <v>45.25</v>
      </c>
      <c r="E36" s="24">
        <v>45.73</v>
      </c>
      <c r="F36">
        <v>1127000</v>
      </c>
    </row>
    <row r="37" spans="1:6">
      <c r="A37" s="44">
        <v>41359</v>
      </c>
      <c r="B37">
        <v>45.86</v>
      </c>
      <c r="C37">
        <v>46.18</v>
      </c>
      <c r="D37">
        <v>45.66</v>
      </c>
      <c r="E37" s="24">
        <v>45.78</v>
      </c>
      <c r="F37">
        <v>1283100</v>
      </c>
    </row>
    <row r="38" spans="1:6">
      <c r="A38" s="44">
        <v>41358</v>
      </c>
      <c r="B38">
        <v>45.95</v>
      </c>
      <c r="C38">
        <v>46.05</v>
      </c>
      <c r="D38">
        <v>45.49</v>
      </c>
      <c r="E38" s="24">
        <v>45.7</v>
      </c>
      <c r="F38">
        <v>1757200</v>
      </c>
    </row>
    <row r="39" spans="1:6">
      <c r="A39" s="44">
        <v>41355</v>
      </c>
      <c r="B39">
        <v>45.49</v>
      </c>
      <c r="C39">
        <v>45.93</v>
      </c>
      <c r="D39">
        <v>45.39</v>
      </c>
      <c r="E39" s="24">
        <v>45.74</v>
      </c>
      <c r="F39">
        <v>2110000</v>
      </c>
    </row>
    <row r="40" spans="1:6">
      <c r="A40" s="44">
        <v>41354</v>
      </c>
      <c r="B40">
        <v>43.61</v>
      </c>
      <c r="C40">
        <v>47.98</v>
      </c>
      <c r="D40">
        <v>43.5</v>
      </c>
      <c r="E40" s="24">
        <v>45.48</v>
      </c>
      <c r="F40">
        <v>6592300</v>
      </c>
    </row>
    <row r="41" spans="1:6">
      <c r="A41" s="44">
        <v>41353</v>
      </c>
      <c r="B41">
        <v>44.03</v>
      </c>
      <c r="C41">
        <v>44.45</v>
      </c>
      <c r="D41">
        <v>43.83</v>
      </c>
      <c r="E41" s="24">
        <v>43.99</v>
      </c>
      <c r="F41">
        <v>914200</v>
      </c>
    </row>
    <row r="42" spans="1:6">
      <c r="A42" s="44">
        <v>41352</v>
      </c>
      <c r="B42">
        <v>44.09</v>
      </c>
      <c r="C42">
        <v>44.16</v>
      </c>
      <c r="D42">
        <v>43.4</v>
      </c>
      <c r="E42" s="24">
        <v>43.68</v>
      </c>
      <c r="F42">
        <v>1214500</v>
      </c>
    </row>
    <row r="43" spans="1:6">
      <c r="A43" s="44">
        <v>41351</v>
      </c>
      <c r="B43">
        <v>43.65</v>
      </c>
      <c r="C43">
        <v>44.4</v>
      </c>
      <c r="D43">
        <v>43.56</v>
      </c>
      <c r="E43" s="24">
        <v>43.98</v>
      </c>
      <c r="F43">
        <v>1173700</v>
      </c>
    </row>
    <row r="44" spans="1:6">
      <c r="A44" s="44">
        <v>41348</v>
      </c>
      <c r="B44">
        <v>44.12</v>
      </c>
      <c r="C44">
        <v>44.69</v>
      </c>
      <c r="D44">
        <v>44.09</v>
      </c>
      <c r="E44" s="24">
        <v>44.12</v>
      </c>
      <c r="F44">
        <v>2730000</v>
      </c>
    </row>
    <row r="45" spans="1:6">
      <c r="A45" s="44">
        <v>41347</v>
      </c>
      <c r="B45">
        <v>43.88</v>
      </c>
      <c r="C45">
        <v>44.5</v>
      </c>
      <c r="D45">
        <v>43.83</v>
      </c>
      <c r="E45" s="24">
        <v>44.29</v>
      </c>
      <c r="F45">
        <v>2030500</v>
      </c>
    </row>
    <row r="46" spans="1:6">
      <c r="A46" s="44">
        <v>41346</v>
      </c>
      <c r="B46">
        <v>43.72</v>
      </c>
      <c r="C46">
        <v>44.12</v>
      </c>
      <c r="D46">
        <v>43.62</v>
      </c>
      <c r="E46" s="24">
        <v>43.66</v>
      </c>
      <c r="F46">
        <v>1725200</v>
      </c>
    </row>
    <row r="47" spans="1:6">
      <c r="A47" s="44">
        <v>41345</v>
      </c>
      <c r="B47">
        <v>43</v>
      </c>
      <c r="C47">
        <v>43.77</v>
      </c>
      <c r="D47">
        <v>43</v>
      </c>
      <c r="E47" s="24">
        <v>43.72</v>
      </c>
      <c r="F47">
        <v>1969000</v>
      </c>
    </row>
    <row r="48" spans="1:6">
      <c r="A48" s="44">
        <v>41344</v>
      </c>
      <c r="B48">
        <v>42.88</v>
      </c>
      <c r="C48">
        <v>43.48</v>
      </c>
      <c r="D48">
        <v>42.81</v>
      </c>
      <c r="E48" s="24">
        <v>43.4</v>
      </c>
      <c r="F48">
        <v>1858400</v>
      </c>
    </row>
    <row r="49" spans="1:6">
      <c r="A49" s="44">
        <v>41341</v>
      </c>
      <c r="B49">
        <v>42.46</v>
      </c>
      <c r="C49">
        <v>43.13</v>
      </c>
      <c r="D49">
        <v>42.35</v>
      </c>
      <c r="E49" s="24">
        <v>42.91</v>
      </c>
      <c r="F49">
        <v>1595900</v>
      </c>
    </row>
    <row r="50" spans="1:6">
      <c r="A50" s="44">
        <v>41340</v>
      </c>
      <c r="B50">
        <v>42.2</v>
      </c>
      <c r="C50">
        <v>42.55</v>
      </c>
      <c r="D50">
        <v>42.18</v>
      </c>
      <c r="E50" s="24">
        <v>42.33</v>
      </c>
      <c r="F50">
        <v>844600</v>
      </c>
    </row>
    <row r="51" spans="1:6">
      <c r="A51" s="44">
        <v>41339</v>
      </c>
      <c r="B51">
        <v>42.34</v>
      </c>
      <c r="C51">
        <v>42.63</v>
      </c>
      <c r="D51">
        <v>42.18</v>
      </c>
      <c r="E51" s="24">
        <v>42.22</v>
      </c>
      <c r="F51">
        <v>1318300</v>
      </c>
    </row>
    <row r="52" spans="1:6">
      <c r="A52" s="44">
        <v>41338</v>
      </c>
      <c r="B52">
        <v>41.41</v>
      </c>
      <c r="C52">
        <v>42.77</v>
      </c>
      <c r="D52">
        <v>41.37</v>
      </c>
      <c r="E52" s="24">
        <v>42.32</v>
      </c>
      <c r="F52">
        <v>2841500</v>
      </c>
    </row>
    <row r="53" spans="1:6">
      <c r="A53" s="44">
        <v>41337</v>
      </c>
      <c r="B53">
        <v>40.35</v>
      </c>
      <c r="C53">
        <v>40.880000000000003</v>
      </c>
      <c r="D53">
        <v>40.35</v>
      </c>
      <c r="E53" s="24">
        <v>40.799999999999997</v>
      </c>
      <c r="F53">
        <v>1428200</v>
      </c>
    </row>
    <row r="54" spans="1:6">
      <c r="A54" s="44">
        <v>41334</v>
      </c>
      <c r="B54">
        <v>39.83</v>
      </c>
      <c r="C54">
        <v>40.69</v>
      </c>
      <c r="D54">
        <v>39.46</v>
      </c>
      <c r="E54" s="24">
        <v>40.43</v>
      </c>
      <c r="F54">
        <v>1672500</v>
      </c>
    </row>
    <row r="55" spans="1:6">
      <c r="A55" s="44">
        <v>41333</v>
      </c>
      <c r="B55">
        <v>40.17</v>
      </c>
      <c r="C55">
        <v>40.619999999999997</v>
      </c>
      <c r="D55">
        <v>40.049999999999997</v>
      </c>
      <c r="E55" s="24">
        <v>40.11</v>
      </c>
      <c r="F55">
        <v>2814900</v>
      </c>
    </row>
    <row r="56" spans="1:6">
      <c r="A56" s="44">
        <v>41332</v>
      </c>
      <c r="B56">
        <v>40.01</v>
      </c>
      <c r="C56">
        <v>40.53</v>
      </c>
      <c r="D56">
        <v>39.880000000000003</v>
      </c>
      <c r="E56" s="24">
        <v>40.06</v>
      </c>
      <c r="F56">
        <v>1715200</v>
      </c>
    </row>
    <row r="57" spans="1:6">
      <c r="A57" s="44">
        <v>41331</v>
      </c>
      <c r="B57">
        <v>40.200000000000003</v>
      </c>
      <c r="C57">
        <v>40.270000000000003</v>
      </c>
      <c r="D57">
        <v>39.549999999999997</v>
      </c>
      <c r="E57" s="24">
        <v>40.03</v>
      </c>
      <c r="F57">
        <v>1904600</v>
      </c>
    </row>
    <row r="58" spans="1:6">
      <c r="A58" s="44">
        <v>41330</v>
      </c>
      <c r="B58">
        <v>40.61</v>
      </c>
      <c r="C58">
        <v>40.9</v>
      </c>
      <c r="D58">
        <v>40.06</v>
      </c>
      <c r="E58" s="24">
        <v>40.1</v>
      </c>
      <c r="F58">
        <v>1926800</v>
      </c>
    </row>
    <row r="59" spans="1:6">
      <c r="A59" s="44">
        <v>41327</v>
      </c>
      <c r="B59">
        <v>40.619999999999997</v>
      </c>
      <c r="C59">
        <v>40.74</v>
      </c>
      <c r="D59">
        <v>40.4</v>
      </c>
      <c r="E59" s="24">
        <v>40.54</v>
      </c>
      <c r="F59">
        <v>1363200</v>
      </c>
    </row>
    <row r="60" spans="1:6">
      <c r="A60" s="44">
        <v>41326</v>
      </c>
      <c r="B60">
        <v>41.09</v>
      </c>
      <c r="C60">
        <v>41.2</v>
      </c>
      <c r="D60">
        <v>40.15</v>
      </c>
      <c r="E60" s="24">
        <v>40.46</v>
      </c>
      <c r="F60">
        <v>1580100</v>
      </c>
    </row>
    <row r="61" spans="1:6">
      <c r="A61" s="44">
        <v>41325</v>
      </c>
      <c r="B61">
        <v>41.62</v>
      </c>
      <c r="C61">
        <v>42.13</v>
      </c>
      <c r="D61">
        <v>41.1</v>
      </c>
      <c r="E61" s="24">
        <v>41.11</v>
      </c>
      <c r="F61">
        <v>1591200</v>
      </c>
    </row>
    <row r="62" spans="1:6">
      <c r="A62" s="44">
        <v>41324</v>
      </c>
      <c r="B62">
        <v>41.42</v>
      </c>
      <c r="C62">
        <v>41.79</v>
      </c>
      <c r="D62">
        <v>41.2</v>
      </c>
      <c r="E62" s="24">
        <v>41.59</v>
      </c>
      <c r="F62">
        <v>1148200</v>
      </c>
    </row>
    <row r="63" spans="1:6">
      <c r="A63" s="44">
        <v>41323</v>
      </c>
      <c r="B63">
        <v>41.37</v>
      </c>
      <c r="C63">
        <v>41.37</v>
      </c>
      <c r="D63">
        <v>41.37</v>
      </c>
      <c r="E63" s="24">
        <v>41.37</v>
      </c>
      <c r="F63">
        <v>0</v>
      </c>
    </row>
    <row r="64" spans="1:6">
      <c r="A64" s="44">
        <v>41320</v>
      </c>
      <c r="B64">
        <v>41.29</v>
      </c>
      <c r="C64">
        <v>41.82</v>
      </c>
      <c r="D64">
        <v>41.27</v>
      </c>
      <c r="E64" s="24">
        <v>41.37</v>
      </c>
      <c r="F64">
        <v>1437300</v>
      </c>
    </row>
    <row r="65" spans="1:6">
      <c r="A65" s="44">
        <v>41319</v>
      </c>
      <c r="B65">
        <v>41</v>
      </c>
      <c r="C65">
        <v>41.57</v>
      </c>
      <c r="D65">
        <v>40.92</v>
      </c>
      <c r="E65" s="24">
        <v>41.46</v>
      </c>
      <c r="F65">
        <v>1182500</v>
      </c>
    </row>
    <row r="66" spans="1:6">
      <c r="A66" s="44">
        <v>41318</v>
      </c>
      <c r="B66">
        <v>41.28</v>
      </c>
      <c r="C66">
        <v>41.43</v>
      </c>
      <c r="D66">
        <v>40.97</v>
      </c>
      <c r="E66" s="24">
        <v>41.09</v>
      </c>
      <c r="F66">
        <v>1813600</v>
      </c>
    </row>
    <row r="67" spans="1:6">
      <c r="A67" s="44">
        <v>41317</v>
      </c>
      <c r="B67">
        <v>41.4</v>
      </c>
      <c r="C67">
        <v>41.59</v>
      </c>
      <c r="D67">
        <v>41.17</v>
      </c>
      <c r="E67" s="24">
        <v>41.24</v>
      </c>
      <c r="F67">
        <v>1378100</v>
      </c>
    </row>
    <row r="68" spans="1:6">
      <c r="A68" s="44">
        <v>41316</v>
      </c>
      <c r="B68">
        <v>41.8</v>
      </c>
      <c r="C68">
        <v>41.86</v>
      </c>
      <c r="D68">
        <v>40.94</v>
      </c>
      <c r="E68" s="24">
        <v>41.4</v>
      </c>
      <c r="F68">
        <v>2472600</v>
      </c>
    </row>
    <row r="69" spans="1:6">
      <c r="A69" s="44">
        <v>41313</v>
      </c>
      <c r="B69">
        <v>42</v>
      </c>
      <c r="C69">
        <v>42.46</v>
      </c>
      <c r="D69">
        <v>41.56</v>
      </c>
      <c r="E69" s="24">
        <v>41.86</v>
      </c>
      <c r="F69">
        <v>1231600</v>
      </c>
    </row>
    <row r="70" spans="1:6">
      <c r="A70" s="44">
        <v>41312</v>
      </c>
      <c r="B70">
        <v>41.6</v>
      </c>
      <c r="C70">
        <v>41.98</v>
      </c>
      <c r="D70">
        <v>41.49</v>
      </c>
      <c r="E70" s="24">
        <v>41.95</v>
      </c>
      <c r="F70">
        <v>1919200</v>
      </c>
    </row>
    <row r="71" spans="1:6">
      <c r="A71" s="44">
        <v>41311</v>
      </c>
      <c r="B71">
        <v>41.91</v>
      </c>
      <c r="C71">
        <v>42.17</v>
      </c>
      <c r="D71">
        <v>41.6</v>
      </c>
      <c r="E71" s="24">
        <v>41.85</v>
      </c>
      <c r="F71">
        <v>2420600</v>
      </c>
    </row>
    <row r="72" spans="1:6">
      <c r="A72" s="44">
        <v>41310</v>
      </c>
      <c r="B72">
        <v>41.84</v>
      </c>
      <c r="C72">
        <v>42.25</v>
      </c>
      <c r="D72">
        <v>41.59</v>
      </c>
      <c r="E72" s="24">
        <v>42.1</v>
      </c>
      <c r="F72">
        <v>1671600</v>
      </c>
    </row>
    <row r="73" spans="1:6">
      <c r="A73" s="44">
        <v>41309</v>
      </c>
      <c r="B73">
        <v>41.81</v>
      </c>
      <c r="C73">
        <v>42.21</v>
      </c>
      <c r="D73">
        <v>41.55</v>
      </c>
      <c r="E73" s="24">
        <v>41.56</v>
      </c>
      <c r="F73">
        <v>1851700</v>
      </c>
    </row>
    <row r="74" spans="1:6">
      <c r="A74" s="44">
        <v>41306</v>
      </c>
      <c r="B74">
        <v>41.97</v>
      </c>
      <c r="C74">
        <v>42.44</v>
      </c>
      <c r="D74">
        <v>41.63</v>
      </c>
      <c r="E74" s="24">
        <v>42.17</v>
      </c>
      <c r="F74">
        <v>1643200</v>
      </c>
    </row>
    <row r="75" spans="1:6">
      <c r="A75" s="44">
        <v>41305</v>
      </c>
      <c r="B75">
        <v>41.34</v>
      </c>
      <c r="C75">
        <v>41.95</v>
      </c>
      <c r="D75">
        <v>41.34</v>
      </c>
      <c r="E75" s="24">
        <v>41.55</v>
      </c>
      <c r="F75">
        <v>1523700</v>
      </c>
    </row>
    <row r="76" spans="1:6">
      <c r="A76" s="44">
        <v>41304</v>
      </c>
      <c r="B76">
        <v>41.65</v>
      </c>
      <c r="C76">
        <v>41.85</v>
      </c>
      <c r="D76">
        <v>41.22</v>
      </c>
      <c r="E76" s="24">
        <v>41.47</v>
      </c>
      <c r="F76">
        <v>2894600</v>
      </c>
    </row>
    <row r="77" spans="1:6">
      <c r="A77" s="44">
        <v>41303</v>
      </c>
      <c r="B77">
        <v>40</v>
      </c>
      <c r="C77">
        <v>41.71</v>
      </c>
      <c r="D77">
        <v>40</v>
      </c>
      <c r="E77" s="24">
        <v>41.71</v>
      </c>
      <c r="F77">
        <v>4776700</v>
      </c>
    </row>
    <row r="78" spans="1:6">
      <c r="A78" s="44">
        <v>41302</v>
      </c>
      <c r="B78">
        <v>44.8</v>
      </c>
      <c r="C78">
        <v>44.99</v>
      </c>
      <c r="D78">
        <v>44.42</v>
      </c>
      <c r="E78" s="24">
        <v>44.48</v>
      </c>
      <c r="F78">
        <v>1739200</v>
      </c>
    </row>
    <row r="79" spans="1:6">
      <c r="A79" s="44">
        <v>41299</v>
      </c>
      <c r="B79">
        <v>44.25</v>
      </c>
      <c r="C79">
        <v>44.82</v>
      </c>
      <c r="D79">
        <v>44.1</v>
      </c>
      <c r="E79" s="24">
        <v>44.5</v>
      </c>
      <c r="F79">
        <v>1062100</v>
      </c>
    </row>
    <row r="80" spans="1:6">
      <c r="A80" s="44">
        <v>41298</v>
      </c>
      <c r="B80">
        <v>43.86</v>
      </c>
      <c r="C80">
        <v>44.53</v>
      </c>
      <c r="D80">
        <v>43.85</v>
      </c>
      <c r="E80" s="24">
        <v>44.05</v>
      </c>
      <c r="F80">
        <v>993700</v>
      </c>
    </row>
    <row r="81" spans="1:6">
      <c r="A81" s="44">
        <v>41297</v>
      </c>
      <c r="B81">
        <v>43.73</v>
      </c>
      <c r="C81">
        <v>44.22</v>
      </c>
      <c r="D81">
        <v>43.54</v>
      </c>
      <c r="E81" s="24">
        <v>43.91</v>
      </c>
      <c r="F81">
        <v>1443000</v>
      </c>
    </row>
    <row r="82" spans="1:6">
      <c r="A82" s="44">
        <v>41296</v>
      </c>
      <c r="B82">
        <v>43.7</v>
      </c>
      <c r="C82">
        <v>43.83</v>
      </c>
      <c r="D82">
        <v>43.22</v>
      </c>
      <c r="E82" s="24">
        <v>43.36</v>
      </c>
      <c r="F82">
        <v>1117200</v>
      </c>
    </row>
    <row r="83" spans="1:6">
      <c r="A83" s="44">
        <v>41295</v>
      </c>
      <c r="B83">
        <v>43.81</v>
      </c>
      <c r="C83">
        <v>43.81</v>
      </c>
      <c r="D83">
        <v>43.81</v>
      </c>
      <c r="E83" s="24">
        <v>43.81</v>
      </c>
      <c r="F83">
        <v>0</v>
      </c>
    </row>
    <row r="84" spans="1:6">
      <c r="A84" s="44">
        <v>41292</v>
      </c>
      <c r="B84">
        <v>42.87</v>
      </c>
      <c r="C84">
        <v>43.82</v>
      </c>
      <c r="D84">
        <v>42.87</v>
      </c>
      <c r="E84" s="24">
        <v>43.81</v>
      </c>
      <c r="F84">
        <v>2141600</v>
      </c>
    </row>
    <row r="85" spans="1:6">
      <c r="A85" s="44">
        <v>41291</v>
      </c>
      <c r="B85">
        <v>42.82</v>
      </c>
      <c r="C85">
        <v>42.95</v>
      </c>
      <c r="D85">
        <v>42.65</v>
      </c>
      <c r="E85" s="24">
        <v>42.76</v>
      </c>
      <c r="F85">
        <v>995600</v>
      </c>
    </row>
    <row r="86" spans="1:6">
      <c r="A86" s="44">
        <v>41290</v>
      </c>
      <c r="B86">
        <v>42.61</v>
      </c>
      <c r="C86">
        <v>42.83</v>
      </c>
      <c r="D86">
        <v>42.17</v>
      </c>
      <c r="E86" s="24">
        <v>42.62</v>
      </c>
      <c r="F86">
        <v>1140500</v>
      </c>
    </row>
    <row r="87" spans="1:6">
      <c r="A87" s="44">
        <v>41289</v>
      </c>
      <c r="B87">
        <v>42.25</v>
      </c>
      <c r="C87">
        <v>42.82</v>
      </c>
      <c r="D87">
        <v>42.2</v>
      </c>
      <c r="E87" s="24">
        <v>42.65</v>
      </c>
      <c r="F87">
        <v>1545100</v>
      </c>
    </row>
    <row r="88" spans="1:6">
      <c r="A88" s="44">
        <v>41288</v>
      </c>
      <c r="B88">
        <v>42.49</v>
      </c>
      <c r="C88">
        <v>42.86</v>
      </c>
      <c r="D88">
        <v>42.28</v>
      </c>
      <c r="E88" s="24">
        <v>42.64</v>
      </c>
      <c r="F88">
        <v>957400</v>
      </c>
    </row>
    <row r="89" spans="1:6">
      <c r="A89" s="44">
        <v>41285</v>
      </c>
      <c r="B89">
        <v>42.25</v>
      </c>
      <c r="C89">
        <v>42.76</v>
      </c>
      <c r="D89">
        <v>42.13</v>
      </c>
      <c r="E89" s="24">
        <v>42.68</v>
      </c>
      <c r="F89">
        <v>1276800</v>
      </c>
    </row>
    <row r="90" spans="1:6">
      <c r="A90" s="44">
        <v>41284</v>
      </c>
      <c r="B90">
        <v>42.02</v>
      </c>
      <c r="C90">
        <v>42.41</v>
      </c>
      <c r="D90">
        <v>41.88</v>
      </c>
      <c r="E90" s="24">
        <v>42.23</v>
      </c>
      <c r="F90">
        <v>1810400</v>
      </c>
    </row>
    <row r="91" spans="1:6">
      <c r="A91" s="44">
        <v>41283</v>
      </c>
      <c r="B91">
        <v>41.05</v>
      </c>
      <c r="C91">
        <v>41.95</v>
      </c>
      <c r="D91">
        <v>41.01</v>
      </c>
      <c r="E91" s="24">
        <v>41.82</v>
      </c>
      <c r="F91">
        <v>1743400</v>
      </c>
    </row>
    <row r="92" spans="1:6">
      <c r="A92" s="44">
        <v>41282</v>
      </c>
      <c r="B92">
        <v>40.24</v>
      </c>
      <c r="C92">
        <v>41.08</v>
      </c>
      <c r="D92">
        <v>40.17</v>
      </c>
      <c r="E92" s="24">
        <v>40.92</v>
      </c>
      <c r="F92">
        <v>1186000</v>
      </c>
    </row>
    <row r="93" spans="1:6">
      <c r="A93" s="44">
        <v>41281</v>
      </c>
      <c r="B93">
        <v>40.700000000000003</v>
      </c>
      <c r="C93">
        <v>40.9</v>
      </c>
      <c r="D93">
        <v>40.28</v>
      </c>
      <c r="E93" s="24">
        <v>40.42</v>
      </c>
      <c r="F93">
        <v>916100</v>
      </c>
    </row>
    <row r="94" spans="1:6">
      <c r="A94" s="44">
        <v>41278</v>
      </c>
      <c r="B94">
        <v>40.92</v>
      </c>
      <c r="C94">
        <v>41.17</v>
      </c>
      <c r="D94">
        <v>40.72</v>
      </c>
      <c r="E94" s="24">
        <v>40.93</v>
      </c>
      <c r="F94">
        <v>818000</v>
      </c>
    </row>
    <row r="95" spans="1:6">
      <c r="A95" s="44">
        <v>41277</v>
      </c>
      <c r="B95">
        <v>41.04</v>
      </c>
      <c r="C95">
        <v>41.23</v>
      </c>
      <c r="D95">
        <v>40.68</v>
      </c>
      <c r="E95" s="24">
        <v>40.76</v>
      </c>
      <c r="F95">
        <v>976000</v>
      </c>
    </row>
    <row r="96" spans="1:6">
      <c r="A96" s="44">
        <v>41276</v>
      </c>
      <c r="B96">
        <v>40.28</v>
      </c>
      <c r="C96">
        <v>41.09</v>
      </c>
      <c r="D96">
        <v>40.21</v>
      </c>
      <c r="E96" s="24">
        <v>41.09</v>
      </c>
      <c r="F96">
        <v>2498700</v>
      </c>
    </row>
    <row r="97" spans="1:6">
      <c r="A97" s="44">
        <v>41275</v>
      </c>
      <c r="B97">
        <v>39.619999999999997</v>
      </c>
      <c r="C97">
        <v>39.619999999999997</v>
      </c>
      <c r="D97">
        <v>39.619999999999997</v>
      </c>
      <c r="E97" s="24">
        <v>39.619999999999997</v>
      </c>
      <c r="F97">
        <v>0</v>
      </c>
    </row>
    <row r="98" spans="1:6">
      <c r="A98" s="44">
        <v>41274</v>
      </c>
      <c r="B98">
        <v>39.56</v>
      </c>
      <c r="C98">
        <v>39.75</v>
      </c>
      <c r="D98">
        <v>39.31</v>
      </c>
      <c r="E98" s="24">
        <v>39.619999999999997</v>
      </c>
      <c r="F98">
        <v>1433100</v>
      </c>
    </row>
    <row r="99" spans="1:6">
      <c r="A99" s="44">
        <v>41271</v>
      </c>
      <c r="B99">
        <v>39.72</v>
      </c>
      <c r="C99">
        <v>39.880000000000003</v>
      </c>
      <c r="D99">
        <v>39.450000000000003</v>
      </c>
      <c r="E99" s="24">
        <v>39.56</v>
      </c>
      <c r="F99">
        <v>799400</v>
      </c>
    </row>
    <row r="100" spans="1:6">
      <c r="A100" s="44">
        <v>41270</v>
      </c>
      <c r="B100">
        <v>40.35</v>
      </c>
      <c r="C100">
        <v>40.39</v>
      </c>
      <c r="D100">
        <v>39.409999999999997</v>
      </c>
      <c r="E100" s="24">
        <v>39.880000000000003</v>
      </c>
      <c r="F100">
        <v>1381500</v>
      </c>
    </row>
    <row r="101" spans="1:6">
      <c r="A101" s="44">
        <v>41269</v>
      </c>
      <c r="B101">
        <v>40.74</v>
      </c>
      <c r="C101">
        <v>40.97</v>
      </c>
      <c r="D101">
        <v>40.29</v>
      </c>
      <c r="E101" s="24">
        <v>40.39</v>
      </c>
      <c r="F101">
        <v>982900</v>
      </c>
    </row>
    <row r="102" spans="1:6">
      <c r="A102" s="44">
        <v>41268</v>
      </c>
      <c r="B102">
        <v>40.869999999999997</v>
      </c>
      <c r="C102">
        <v>40.869999999999997</v>
      </c>
      <c r="D102">
        <v>40.869999999999997</v>
      </c>
      <c r="E102" s="24">
        <v>40.869999999999997</v>
      </c>
      <c r="F102">
        <v>0</v>
      </c>
    </row>
    <row r="103" spans="1:6">
      <c r="A103" s="44">
        <v>41267</v>
      </c>
      <c r="B103">
        <v>40.83</v>
      </c>
      <c r="C103">
        <v>41.04</v>
      </c>
      <c r="D103">
        <v>40.450000000000003</v>
      </c>
      <c r="E103" s="24">
        <v>40.869999999999997</v>
      </c>
      <c r="F103">
        <v>446900</v>
      </c>
    </row>
    <row r="104" spans="1:6">
      <c r="A104" s="44">
        <v>41264</v>
      </c>
      <c r="B104">
        <v>40.86</v>
      </c>
      <c r="C104">
        <v>41.1</v>
      </c>
      <c r="D104">
        <v>40.29</v>
      </c>
      <c r="E104" s="24">
        <v>40.71</v>
      </c>
      <c r="F104">
        <v>2968100</v>
      </c>
    </row>
    <row r="105" spans="1:6">
      <c r="A105" s="44">
        <v>41263</v>
      </c>
      <c r="B105">
        <v>41.98</v>
      </c>
      <c r="C105">
        <v>42.04</v>
      </c>
      <c r="D105">
        <v>41.79</v>
      </c>
      <c r="E105" s="24">
        <v>41.94</v>
      </c>
      <c r="F105">
        <v>1632100</v>
      </c>
    </row>
    <row r="106" spans="1:6">
      <c r="A106" s="44">
        <v>41262</v>
      </c>
      <c r="B106">
        <v>41.79</v>
      </c>
      <c r="C106">
        <v>42.3</v>
      </c>
      <c r="D106">
        <v>41.69</v>
      </c>
      <c r="E106" s="24">
        <v>41.91</v>
      </c>
      <c r="F106">
        <v>2858900</v>
      </c>
    </row>
    <row r="107" spans="1:6">
      <c r="A107" s="44">
        <v>41261</v>
      </c>
      <c r="B107">
        <v>41.11</v>
      </c>
      <c r="C107">
        <v>41.69</v>
      </c>
      <c r="D107">
        <v>40.82</v>
      </c>
      <c r="E107" s="24">
        <v>41.67</v>
      </c>
      <c r="F107">
        <v>2153400</v>
      </c>
    </row>
    <row r="108" spans="1:6">
      <c r="A108" s="44">
        <v>41260</v>
      </c>
      <c r="B108">
        <v>40.159999999999997</v>
      </c>
      <c r="C108">
        <v>41.1</v>
      </c>
      <c r="D108">
        <v>39.99</v>
      </c>
      <c r="E108" s="24">
        <v>41.08</v>
      </c>
      <c r="F108">
        <v>2233600</v>
      </c>
    </row>
    <row r="109" spans="1:6">
      <c r="A109" s="44">
        <v>41257</v>
      </c>
      <c r="B109">
        <v>39.729999999999997</v>
      </c>
      <c r="C109">
        <v>40.32</v>
      </c>
      <c r="D109">
        <v>39.61</v>
      </c>
      <c r="E109" s="24">
        <v>40.18</v>
      </c>
      <c r="F109">
        <v>995400</v>
      </c>
    </row>
    <row r="110" spans="1:6">
      <c r="A110" s="44">
        <v>41256</v>
      </c>
      <c r="B110">
        <v>40.68</v>
      </c>
      <c r="C110">
        <v>40.98</v>
      </c>
      <c r="D110">
        <v>39.799999999999997</v>
      </c>
      <c r="E110" s="24">
        <v>39.89</v>
      </c>
      <c r="F110">
        <v>1573100</v>
      </c>
    </row>
    <row r="111" spans="1:6">
      <c r="A111" s="44">
        <v>41255</v>
      </c>
      <c r="B111">
        <v>41.59</v>
      </c>
      <c r="C111">
        <v>41.6</v>
      </c>
      <c r="D111">
        <v>40.67</v>
      </c>
      <c r="E111" s="24">
        <v>40.799999999999997</v>
      </c>
      <c r="F111">
        <v>2112200</v>
      </c>
    </row>
    <row r="112" spans="1:6">
      <c r="A112" s="44">
        <v>41254</v>
      </c>
      <c r="B112">
        <v>41.3</v>
      </c>
      <c r="C112">
        <v>41.59</v>
      </c>
      <c r="D112">
        <v>40.950000000000003</v>
      </c>
      <c r="E112" s="24">
        <v>41.53</v>
      </c>
      <c r="F112">
        <v>1884300</v>
      </c>
    </row>
    <row r="113" spans="1:10">
      <c r="A113" s="44">
        <v>41253</v>
      </c>
      <c r="B113">
        <v>40.51</v>
      </c>
      <c r="C113">
        <v>41.42</v>
      </c>
      <c r="D113">
        <v>40.51</v>
      </c>
      <c r="E113" s="24">
        <v>41.42</v>
      </c>
      <c r="F113">
        <f>F53</f>
        <v>1428200</v>
      </c>
      <c r="G113">
        <f t="shared" ref="G113:J113" si="0">G53</f>
        <v>0</v>
      </c>
      <c r="H113">
        <f t="shared" si="0"/>
        <v>0</v>
      </c>
      <c r="I113">
        <f t="shared" si="0"/>
        <v>0</v>
      </c>
      <c r="J113">
        <f t="shared" si="0"/>
        <v>0</v>
      </c>
    </row>
    <row r="114" spans="1:10">
      <c r="A114" s="44">
        <v>41250</v>
      </c>
      <c r="B114">
        <v>41.01</v>
      </c>
      <c r="C114">
        <v>41.05</v>
      </c>
      <c r="D114">
        <v>40.69</v>
      </c>
      <c r="E114" s="24">
        <v>40.81</v>
      </c>
      <c r="F114">
        <f>F57</f>
        <v>1904600</v>
      </c>
      <c r="G114">
        <f t="shared" ref="G114:J114" si="1">G57</f>
        <v>0</v>
      </c>
      <c r="H114">
        <f t="shared" si="1"/>
        <v>0</v>
      </c>
      <c r="I114">
        <f t="shared" si="1"/>
        <v>0</v>
      </c>
      <c r="J114">
        <f t="shared" si="1"/>
        <v>0</v>
      </c>
    </row>
    <row r="115" spans="1:10">
      <c r="A115" s="44">
        <v>41249</v>
      </c>
      <c r="B115">
        <v>40.22</v>
      </c>
      <c r="C115">
        <v>40.74</v>
      </c>
      <c r="D115">
        <v>40.03</v>
      </c>
      <c r="E115" s="24">
        <v>40.729999999999997</v>
      </c>
      <c r="F115">
        <f>F58</f>
        <v>1926800</v>
      </c>
      <c r="G115">
        <f t="shared" ref="G115:J115" si="2">G58</f>
        <v>0</v>
      </c>
      <c r="H115">
        <f t="shared" si="2"/>
        <v>0</v>
      </c>
      <c r="I115">
        <f t="shared" si="2"/>
        <v>0</v>
      </c>
      <c r="J115">
        <f t="shared" si="2"/>
        <v>0</v>
      </c>
    </row>
    <row r="116" spans="1:10">
      <c r="A116" s="44">
        <v>41248</v>
      </c>
      <c r="B116">
        <v>40.28</v>
      </c>
      <c r="C116">
        <v>40.380000000000003</v>
      </c>
      <c r="D116">
        <v>39.869999999999997</v>
      </c>
      <c r="E116" s="24">
        <v>40.200000000000003</v>
      </c>
      <c r="F116">
        <f>E83-F83</f>
        <v>43.81</v>
      </c>
      <c r="G116">
        <f t="shared" ref="G116:J116" si="3">F83-G83</f>
        <v>0</v>
      </c>
      <c r="H116">
        <f t="shared" si="3"/>
        <v>0</v>
      </c>
      <c r="I116">
        <f t="shared" si="3"/>
        <v>0</v>
      </c>
      <c r="J116">
        <f t="shared" si="3"/>
        <v>0</v>
      </c>
    </row>
    <row r="117" spans="1:10">
      <c r="A117" s="44">
        <v>41247</v>
      </c>
      <c r="B117">
        <v>40.6</v>
      </c>
      <c r="C117">
        <v>40.74</v>
      </c>
      <c r="D117">
        <v>40.22</v>
      </c>
      <c r="E117" s="24">
        <v>40.42</v>
      </c>
      <c r="F117">
        <f>E105-F105+F107-E107</f>
        <v>521300.26999999996</v>
      </c>
      <c r="G117">
        <f t="shared" ref="G117:J117" si="4">F105-G105+G107-F107</f>
        <v>-521300</v>
      </c>
      <c r="H117">
        <f t="shared" si="4"/>
        <v>0</v>
      </c>
      <c r="I117">
        <f t="shared" si="4"/>
        <v>0</v>
      </c>
      <c r="J117">
        <f t="shared" si="4"/>
        <v>0</v>
      </c>
    </row>
    <row r="118" spans="1:10">
      <c r="A118" s="44">
        <v>41246</v>
      </c>
      <c r="B118">
        <v>41.08</v>
      </c>
      <c r="C118">
        <v>41.1</v>
      </c>
      <c r="D118">
        <v>40.54</v>
      </c>
      <c r="E118" s="24">
        <v>40.54</v>
      </c>
      <c r="F118">
        <v>861200</v>
      </c>
    </row>
    <row r="119" spans="1:10">
      <c r="A119" s="44">
        <v>41243</v>
      </c>
      <c r="B119">
        <v>40.950000000000003</v>
      </c>
      <c r="C119">
        <v>41.03</v>
      </c>
      <c r="D119">
        <v>40.72</v>
      </c>
      <c r="E119" s="24">
        <v>40.96</v>
      </c>
      <c r="F119" s="124">
        <f>SUM(F113:F118)</f>
        <v>6642144.0799999991</v>
      </c>
      <c r="G119" s="124">
        <f t="shared" ref="G119:J119" si="5">SUM(G113:G118)</f>
        <v>-521300</v>
      </c>
      <c r="H119" s="124">
        <f t="shared" si="5"/>
        <v>0</v>
      </c>
      <c r="I119" s="124">
        <f t="shared" si="5"/>
        <v>0</v>
      </c>
      <c r="J119" s="124">
        <f t="shared" si="5"/>
        <v>0</v>
      </c>
    </row>
    <row r="120" spans="1:10">
      <c r="A120" s="44">
        <v>41242</v>
      </c>
      <c r="B120">
        <v>41</v>
      </c>
      <c r="C120">
        <v>41.08</v>
      </c>
      <c r="D120">
        <v>40.630000000000003</v>
      </c>
      <c r="E120" s="24">
        <v>40.880000000000003</v>
      </c>
      <c r="F120">
        <v>1101900</v>
      </c>
    </row>
    <row r="121" spans="1:10">
      <c r="A121" s="44">
        <v>41241</v>
      </c>
      <c r="B121">
        <v>40.340000000000003</v>
      </c>
      <c r="C121">
        <v>40.98</v>
      </c>
      <c r="D121">
        <v>39.93</v>
      </c>
      <c r="E121" s="24">
        <v>40.950000000000003</v>
      </c>
      <c r="F121">
        <f>-F90</f>
        <v>-1810400</v>
      </c>
      <c r="G121">
        <f t="shared" ref="G121:J121" si="6">-G90</f>
        <v>0</v>
      </c>
      <c r="H121">
        <f t="shared" si="6"/>
        <v>0</v>
      </c>
      <c r="I121">
        <f t="shared" si="6"/>
        <v>0</v>
      </c>
      <c r="J121">
        <f t="shared" si="6"/>
        <v>0</v>
      </c>
    </row>
    <row r="122" spans="1:10">
      <c r="A122" s="44">
        <v>41240</v>
      </c>
      <c r="B122">
        <v>40.19</v>
      </c>
      <c r="C122">
        <v>41.36</v>
      </c>
      <c r="D122">
        <v>40.020000000000003</v>
      </c>
      <c r="E122" s="24">
        <v>40.619999999999997</v>
      </c>
      <c r="F122">
        <f>-(F96+F102)</f>
        <v>-2498700</v>
      </c>
      <c r="G122">
        <f t="shared" ref="G122:J122" si="7">-(G96+G102)</f>
        <v>0</v>
      </c>
      <c r="H122">
        <f t="shared" si="7"/>
        <v>0</v>
      </c>
      <c r="I122">
        <f t="shared" si="7"/>
        <v>0</v>
      </c>
      <c r="J122">
        <f t="shared" si="7"/>
        <v>0</v>
      </c>
    </row>
    <row r="123" spans="1:10">
      <c r="A123" s="44">
        <v>41239</v>
      </c>
      <c r="B123">
        <v>40.090000000000003</v>
      </c>
      <c r="C123">
        <v>40.299999999999997</v>
      </c>
      <c r="D123">
        <v>39.79</v>
      </c>
      <c r="E123" s="24">
        <v>40.26</v>
      </c>
      <c r="F123" s="124">
        <f>SUM(F121:F122)</f>
        <v>-4309100</v>
      </c>
      <c r="G123" s="124">
        <f t="shared" ref="G123:J123" si="8">SUM(G121:G122)</f>
        <v>0</v>
      </c>
      <c r="H123" s="124">
        <f t="shared" si="8"/>
        <v>0</v>
      </c>
      <c r="I123" s="124">
        <f t="shared" si="8"/>
        <v>0</v>
      </c>
      <c r="J123" s="124">
        <f t="shared" si="8"/>
        <v>0</v>
      </c>
    </row>
    <row r="124" spans="1:10">
      <c r="A124" s="44">
        <v>41236</v>
      </c>
      <c r="B124">
        <v>39.840000000000003</v>
      </c>
      <c r="C124">
        <v>40.26</v>
      </c>
      <c r="D124">
        <v>39.64</v>
      </c>
      <c r="E124" s="24">
        <v>40.19</v>
      </c>
      <c r="F124">
        <v>318800</v>
      </c>
    </row>
    <row r="125" spans="1:10">
      <c r="A125" s="44">
        <v>41235</v>
      </c>
      <c r="B125">
        <v>39.68</v>
      </c>
      <c r="C125">
        <v>39.68</v>
      </c>
      <c r="D125">
        <v>39.68</v>
      </c>
      <c r="E125" s="24">
        <v>39.68</v>
      </c>
      <c r="F125">
        <v>0</v>
      </c>
    </row>
    <row r="126" spans="1:10">
      <c r="A126" s="44">
        <v>41234</v>
      </c>
      <c r="B126">
        <v>39.53</v>
      </c>
      <c r="C126">
        <v>39.880000000000003</v>
      </c>
      <c r="D126">
        <v>39.479999999999997</v>
      </c>
      <c r="E126" s="24">
        <v>39.68</v>
      </c>
      <c r="F126">
        <v>536800</v>
      </c>
    </row>
    <row r="127" spans="1:10">
      <c r="A127" s="44">
        <v>41233</v>
      </c>
      <c r="B127">
        <v>39.58</v>
      </c>
      <c r="C127">
        <v>39.71</v>
      </c>
      <c r="D127">
        <v>39.33</v>
      </c>
      <c r="E127" s="24">
        <v>39.56</v>
      </c>
      <c r="F127" s="124">
        <f>F119+F123+SUM(F125:F126)</f>
        <v>2869844.0799999991</v>
      </c>
      <c r="G127" s="124">
        <f t="shared" ref="G127:J127" si="9">G119+G123+SUM(G125:G126)</f>
        <v>-521300</v>
      </c>
      <c r="H127" s="124">
        <f t="shared" si="9"/>
        <v>0</v>
      </c>
      <c r="I127" s="124">
        <f t="shared" si="9"/>
        <v>0</v>
      </c>
      <c r="J127" s="124">
        <f t="shared" si="9"/>
        <v>0</v>
      </c>
    </row>
    <row r="128" spans="1:10">
      <c r="A128" s="44">
        <v>41232</v>
      </c>
      <c r="B128">
        <v>39.29</v>
      </c>
      <c r="C128">
        <v>39.659999999999997</v>
      </c>
      <c r="D128">
        <v>39.03</v>
      </c>
      <c r="E128" s="24">
        <v>39.590000000000003</v>
      </c>
      <c r="F128">
        <v>1018900</v>
      </c>
    </row>
    <row r="129" spans="1:10">
      <c r="A129" s="44">
        <v>41229</v>
      </c>
      <c r="B129">
        <v>38.89</v>
      </c>
      <c r="C129">
        <v>38.99</v>
      </c>
      <c r="D129">
        <v>38.04</v>
      </c>
      <c r="E129" s="24">
        <v>38.729999999999997</v>
      </c>
      <c r="F129" s="124">
        <f>F127+F128</f>
        <v>3888744.0799999991</v>
      </c>
      <c r="G129" s="124">
        <f t="shared" ref="G129:J129" si="10">G127+G128</f>
        <v>-521300</v>
      </c>
      <c r="H129" s="124">
        <f t="shared" si="10"/>
        <v>0</v>
      </c>
      <c r="I129" s="124">
        <f t="shared" si="10"/>
        <v>0</v>
      </c>
      <c r="J129" s="124">
        <f t="shared" si="10"/>
        <v>0</v>
      </c>
    </row>
    <row r="130" spans="1:10">
      <c r="A130" s="44">
        <v>41228</v>
      </c>
      <c r="B130">
        <v>39.33</v>
      </c>
      <c r="C130">
        <v>39.47</v>
      </c>
      <c r="D130">
        <v>38.61</v>
      </c>
      <c r="E130" s="24">
        <v>39.01</v>
      </c>
      <c r="F130">
        <v>971800</v>
      </c>
    </row>
    <row r="131" spans="1:10">
      <c r="A131" s="44">
        <v>41227</v>
      </c>
      <c r="B131">
        <v>39.9</v>
      </c>
      <c r="C131">
        <v>40</v>
      </c>
      <c r="D131">
        <v>39.049999999999997</v>
      </c>
      <c r="E131" s="24">
        <v>39.26</v>
      </c>
      <c r="F131">
        <v>1222000</v>
      </c>
    </row>
    <row r="132" spans="1:10">
      <c r="A132" s="44">
        <v>41226</v>
      </c>
      <c r="B132">
        <v>39.92</v>
      </c>
      <c r="C132">
        <v>39.99</v>
      </c>
      <c r="D132">
        <v>39.54</v>
      </c>
      <c r="E132" s="24">
        <v>39.74</v>
      </c>
      <c r="F132" s="124">
        <f>SUM(F129:F131)</f>
        <v>6082544.0799999991</v>
      </c>
      <c r="G132" s="124">
        <f t="shared" ref="G132:J132" si="11">SUM(G129:G131)</f>
        <v>-521300</v>
      </c>
      <c r="H132" s="124">
        <f t="shared" si="11"/>
        <v>0</v>
      </c>
      <c r="I132" s="124">
        <f t="shared" si="11"/>
        <v>0</v>
      </c>
      <c r="J132" s="124">
        <f t="shared" si="11"/>
        <v>0</v>
      </c>
    </row>
    <row r="133" spans="1:10">
      <c r="A133" s="44">
        <v>41225</v>
      </c>
      <c r="B133">
        <v>40.299999999999997</v>
      </c>
      <c r="C133">
        <v>40.32</v>
      </c>
      <c r="D133">
        <v>39.729999999999997</v>
      </c>
      <c r="E133" s="24">
        <v>40.119999999999997</v>
      </c>
      <c r="F133">
        <v>642000</v>
      </c>
    </row>
    <row r="134" spans="1:10">
      <c r="A134" s="44">
        <v>41222</v>
      </c>
      <c r="B134">
        <v>39.82</v>
      </c>
      <c r="C134">
        <v>40.590000000000003</v>
      </c>
      <c r="D134">
        <v>39.82</v>
      </c>
      <c r="E134" s="24">
        <v>40.24</v>
      </c>
      <c r="F134">
        <v>972900</v>
      </c>
    </row>
    <row r="135" spans="1:10">
      <c r="A135" s="44">
        <v>41221</v>
      </c>
      <c r="B135">
        <v>40.94</v>
      </c>
      <c r="C135">
        <v>41.05</v>
      </c>
      <c r="D135">
        <v>39.96</v>
      </c>
      <c r="E135" s="24">
        <v>39.979999999999997</v>
      </c>
      <c r="F135">
        <v>1022600</v>
      </c>
    </row>
    <row r="136" spans="1:10">
      <c r="A136" s="44">
        <v>41220</v>
      </c>
      <c r="B136">
        <v>41.25</v>
      </c>
      <c r="C136">
        <v>41.34</v>
      </c>
      <c r="D136">
        <v>40.96</v>
      </c>
      <c r="E136" s="24">
        <v>41.08</v>
      </c>
      <c r="F136">
        <v>1507400</v>
      </c>
    </row>
    <row r="137" spans="1:10">
      <c r="A137" s="44">
        <v>41219</v>
      </c>
      <c r="B137">
        <v>41.21</v>
      </c>
      <c r="C137">
        <v>41.86</v>
      </c>
      <c r="D137">
        <v>41.19</v>
      </c>
      <c r="E137" s="24">
        <v>41.55</v>
      </c>
      <c r="F137">
        <v>2564300</v>
      </c>
    </row>
    <row r="138" spans="1:10">
      <c r="A138" s="44">
        <v>41218</v>
      </c>
      <c r="B138">
        <v>40.700000000000003</v>
      </c>
      <c r="C138">
        <v>41.16</v>
      </c>
      <c r="D138">
        <v>40.67</v>
      </c>
      <c r="E138" s="24">
        <v>41.06</v>
      </c>
      <c r="F138">
        <v>1298300</v>
      </c>
    </row>
    <row r="139" spans="1:10">
      <c r="A139" s="44">
        <v>41215</v>
      </c>
      <c r="B139">
        <v>41.11</v>
      </c>
      <c r="C139">
        <v>41.34</v>
      </c>
      <c r="D139">
        <v>40.97</v>
      </c>
      <c r="E139" s="24">
        <v>41.04</v>
      </c>
      <c r="F139">
        <v>1719300</v>
      </c>
    </row>
    <row r="140" spans="1:10">
      <c r="A140" s="44">
        <v>41214</v>
      </c>
      <c r="B140">
        <v>41.5</v>
      </c>
      <c r="C140">
        <v>41.72</v>
      </c>
      <c r="D140">
        <v>40.5</v>
      </c>
      <c r="E140" s="24">
        <v>40.98</v>
      </c>
      <c r="F140">
        <v>3891600</v>
      </c>
    </row>
    <row r="141" spans="1:10">
      <c r="A141" s="44">
        <v>41213</v>
      </c>
      <c r="B141">
        <v>41.02</v>
      </c>
      <c r="C141">
        <v>41.74</v>
      </c>
      <c r="D141">
        <v>40.49</v>
      </c>
      <c r="E141" s="24">
        <v>40.700000000000003</v>
      </c>
      <c r="F141">
        <v>1588900</v>
      </c>
    </row>
    <row r="142" spans="1:10">
      <c r="A142" s="44">
        <v>41212</v>
      </c>
      <c r="B142">
        <v>40.98</v>
      </c>
      <c r="C142">
        <v>40.98</v>
      </c>
      <c r="D142">
        <v>40.98</v>
      </c>
      <c r="E142" s="24">
        <v>40.98</v>
      </c>
      <c r="F142">
        <v>0</v>
      </c>
    </row>
    <row r="143" spans="1:10">
      <c r="A143" s="44">
        <v>41211</v>
      </c>
      <c r="B143">
        <v>40.98</v>
      </c>
      <c r="C143">
        <v>40.98</v>
      </c>
      <c r="D143">
        <v>40.98</v>
      </c>
      <c r="E143" s="24">
        <v>40.98</v>
      </c>
      <c r="F143">
        <v>0</v>
      </c>
    </row>
    <row r="144" spans="1:10">
      <c r="A144" s="44">
        <v>41208</v>
      </c>
      <c r="B144">
        <v>41.02</v>
      </c>
      <c r="C144">
        <v>41.58</v>
      </c>
      <c r="D144">
        <v>40.71</v>
      </c>
      <c r="E144" s="24">
        <v>40.98</v>
      </c>
      <c r="F144">
        <v>884200</v>
      </c>
    </row>
    <row r="145" spans="1:6">
      <c r="A145" s="44">
        <v>41207</v>
      </c>
      <c r="B145">
        <v>41.54</v>
      </c>
      <c r="C145">
        <v>41.74</v>
      </c>
      <c r="D145">
        <v>41.16</v>
      </c>
      <c r="E145" s="24">
        <v>41.47</v>
      </c>
      <c r="F145">
        <v>647800</v>
      </c>
    </row>
    <row r="146" spans="1:6">
      <c r="A146" s="44">
        <v>41206</v>
      </c>
      <c r="B146">
        <v>41.5</v>
      </c>
      <c r="C146">
        <v>41.76</v>
      </c>
      <c r="D146">
        <v>41.03</v>
      </c>
      <c r="E146" s="24">
        <v>41.38</v>
      </c>
      <c r="F146">
        <v>1233600</v>
      </c>
    </row>
    <row r="147" spans="1:6">
      <c r="A147" s="44">
        <v>41205</v>
      </c>
      <c r="B147">
        <v>40.770000000000003</v>
      </c>
      <c r="C147">
        <v>41.63</v>
      </c>
      <c r="D147">
        <v>40.35</v>
      </c>
      <c r="E147" s="24">
        <v>41.53</v>
      </c>
      <c r="F147">
        <v>1707300</v>
      </c>
    </row>
    <row r="148" spans="1:6">
      <c r="A148" s="44">
        <v>41204</v>
      </c>
      <c r="B148">
        <v>41.89</v>
      </c>
      <c r="C148">
        <v>41.89</v>
      </c>
      <c r="D148">
        <v>40.49</v>
      </c>
      <c r="E148" s="24">
        <v>41.02</v>
      </c>
      <c r="F148">
        <v>2081800</v>
      </c>
    </row>
    <row r="149" spans="1:6">
      <c r="A149" s="44">
        <v>41201</v>
      </c>
      <c r="B149">
        <v>41.12</v>
      </c>
      <c r="C149">
        <v>41.27</v>
      </c>
      <c r="D149">
        <v>40.24</v>
      </c>
      <c r="E149" s="24">
        <v>40.340000000000003</v>
      </c>
      <c r="F149">
        <v>1029700</v>
      </c>
    </row>
    <row r="150" spans="1:6">
      <c r="A150" s="44">
        <v>41200</v>
      </c>
      <c r="B150">
        <v>41.19</v>
      </c>
      <c r="C150">
        <v>41.46</v>
      </c>
      <c r="D150">
        <v>40.89</v>
      </c>
      <c r="E150" s="24">
        <v>41.1</v>
      </c>
      <c r="F150">
        <v>1115600</v>
      </c>
    </row>
    <row r="151" spans="1:6">
      <c r="A151" s="44">
        <v>41199</v>
      </c>
      <c r="B151">
        <v>41.59</v>
      </c>
      <c r="C151">
        <v>41.74</v>
      </c>
      <c r="D151">
        <v>41.05</v>
      </c>
      <c r="E151" s="24">
        <v>41.13</v>
      </c>
      <c r="F151">
        <v>1319000</v>
      </c>
    </row>
    <row r="152" spans="1:6">
      <c r="A152" s="44">
        <v>41198</v>
      </c>
      <c r="B152">
        <v>41.44</v>
      </c>
      <c r="C152">
        <v>42.17</v>
      </c>
      <c r="D152">
        <v>41.23</v>
      </c>
      <c r="E152" s="24">
        <v>42.02</v>
      </c>
      <c r="F152">
        <v>1311300</v>
      </c>
    </row>
    <row r="153" spans="1:6">
      <c r="A153" s="44">
        <v>41197</v>
      </c>
      <c r="B153">
        <v>42</v>
      </c>
      <c r="C153">
        <v>42.2</v>
      </c>
      <c r="D153">
        <v>41.14</v>
      </c>
      <c r="E153" s="24">
        <v>41.49</v>
      </c>
      <c r="F153">
        <v>1611200</v>
      </c>
    </row>
    <row r="154" spans="1:6">
      <c r="A154" s="44">
        <v>41194</v>
      </c>
      <c r="B154">
        <v>42.51</v>
      </c>
      <c r="C154">
        <v>42.78</v>
      </c>
      <c r="D154">
        <v>42.31</v>
      </c>
      <c r="E154" s="24">
        <v>42.55</v>
      </c>
      <c r="F154">
        <v>837300</v>
      </c>
    </row>
    <row r="155" spans="1:6">
      <c r="A155" s="44">
        <v>41193</v>
      </c>
      <c r="B155">
        <v>42.15</v>
      </c>
      <c r="C155">
        <v>42.52</v>
      </c>
      <c r="D155">
        <v>41.94</v>
      </c>
      <c r="E155" s="24">
        <v>42.43</v>
      </c>
      <c r="F155">
        <v>1319100</v>
      </c>
    </row>
    <row r="156" spans="1:6">
      <c r="A156" s="44">
        <v>41192</v>
      </c>
      <c r="B156">
        <v>42.46</v>
      </c>
      <c r="C156">
        <v>42.58</v>
      </c>
      <c r="D156">
        <v>41.91</v>
      </c>
      <c r="E156" s="24">
        <v>41.96</v>
      </c>
      <c r="F156">
        <v>1936500</v>
      </c>
    </row>
    <row r="157" spans="1:6">
      <c r="A157" s="44">
        <v>41191</v>
      </c>
      <c r="B157">
        <v>43.17</v>
      </c>
      <c r="C157">
        <v>43.24</v>
      </c>
      <c r="D157">
        <v>42.22</v>
      </c>
      <c r="E157" s="24">
        <v>42.45</v>
      </c>
      <c r="F157">
        <v>1101300</v>
      </c>
    </row>
    <row r="158" spans="1:6">
      <c r="A158" s="44">
        <v>41190</v>
      </c>
      <c r="B158">
        <v>43.19</v>
      </c>
      <c r="C158">
        <v>43.54</v>
      </c>
      <c r="D158">
        <v>43.05</v>
      </c>
      <c r="E158" s="24">
        <v>43.28</v>
      </c>
      <c r="F158">
        <v>712200</v>
      </c>
    </row>
    <row r="159" spans="1:6">
      <c r="A159" s="44">
        <v>41187</v>
      </c>
      <c r="B159">
        <v>43.67</v>
      </c>
      <c r="C159">
        <v>43.79</v>
      </c>
      <c r="D159">
        <v>43.2</v>
      </c>
      <c r="E159" s="24">
        <v>43.34</v>
      </c>
      <c r="F159">
        <v>1280300</v>
      </c>
    </row>
    <row r="160" spans="1:6">
      <c r="A160" s="44">
        <v>41186</v>
      </c>
      <c r="B160">
        <v>43.41</v>
      </c>
      <c r="C160">
        <v>43.62</v>
      </c>
      <c r="D160">
        <v>42.9</v>
      </c>
      <c r="E160" s="24">
        <v>43.39</v>
      </c>
      <c r="F160">
        <v>1049700</v>
      </c>
    </row>
    <row r="161" spans="1:6">
      <c r="A161" s="44">
        <v>41185</v>
      </c>
      <c r="B161">
        <v>43.45</v>
      </c>
      <c r="C161">
        <v>43.81</v>
      </c>
      <c r="D161">
        <v>42.97</v>
      </c>
      <c r="E161" s="24">
        <v>43.34</v>
      </c>
      <c r="F161">
        <v>1345100</v>
      </c>
    </row>
    <row r="162" spans="1:6">
      <c r="A162" s="44">
        <v>41184</v>
      </c>
      <c r="B162">
        <v>43</v>
      </c>
      <c r="C162">
        <v>44.06</v>
      </c>
      <c r="D162">
        <v>42.95</v>
      </c>
      <c r="E162" s="24">
        <v>43.48</v>
      </c>
      <c r="F162">
        <v>2710800</v>
      </c>
    </row>
    <row r="163" spans="1:6">
      <c r="A163" s="44">
        <v>41183</v>
      </c>
      <c r="B163">
        <v>41.88</v>
      </c>
      <c r="C163">
        <v>45</v>
      </c>
      <c r="D163">
        <v>41.22</v>
      </c>
      <c r="E163" s="24">
        <v>42.85</v>
      </c>
      <c r="F163">
        <v>6330500</v>
      </c>
    </row>
    <row r="164" spans="1:6">
      <c r="A164" s="44">
        <v>41180</v>
      </c>
      <c r="B164">
        <v>41.43</v>
      </c>
      <c r="C164">
        <v>41.75</v>
      </c>
      <c r="D164">
        <v>41.18</v>
      </c>
      <c r="E164" s="24">
        <v>41.49</v>
      </c>
      <c r="F164">
        <v>751200</v>
      </c>
    </row>
    <row r="165" spans="1:6">
      <c r="A165" s="44">
        <v>41179</v>
      </c>
      <c r="B165">
        <v>41.53</v>
      </c>
      <c r="C165">
        <v>41.86</v>
      </c>
      <c r="D165">
        <v>41.1</v>
      </c>
      <c r="E165" s="24">
        <v>41.67</v>
      </c>
      <c r="F165">
        <v>1022700</v>
      </c>
    </row>
    <row r="166" spans="1:6">
      <c r="A166" s="44">
        <v>41178</v>
      </c>
      <c r="B166">
        <v>41.91</v>
      </c>
      <c r="C166">
        <v>41.92</v>
      </c>
      <c r="D166">
        <v>41.26</v>
      </c>
      <c r="E166" s="24">
        <v>41.33</v>
      </c>
      <c r="F166">
        <v>1287500</v>
      </c>
    </row>
    <row r="167" spans="1:6">
      <c r="A167" s="44">
        <v>41177</v>
      </c>
      <c r="B167">
        <v>42.73</v>
      </c>
      <c r="C167">
        <v>42.87</v>
      </c>
      <c r="D167">
        <v>41.78</v>
      </c>
      <c r="E167" s="24">
        <v>41.85</v>
      </c>
      <c r="F167">
        <v>1204400</v>
      </c>
    </row>
    <row r="168" spans="1:6">
      <c r="A168" s="44">
        <v>41176</v>
      </c>
      <c r="B168">
        <v>42.51</v>
      </c>
      <c r="C168">
        <v>42.99</v>
      </c>
      <c r="D168">
        <v>42.38</v>
      </c>
      <c r="E168" s="24">
        <v>42.68</v>
      </c>
      <c r="F168">
        <v>862200</v>
      </c>
    </row>
    <row r="169" spans="1:6">
      <c r="A169" s="44">
        <v>41173</v>
      </c>
      <c r="B169">
        <v>42.83</v>
      </c>
      <c r="C169">
        <v>43.09</v>
      </c>
      <c r="D169">
        <v>42.51</v>
      </c>
      <c r="E169" s="24">
        <v>42.79</v>
      </c>
      <c r="F169">
        <v>3561100</v>
      </c>
    </row>
    <row r="170" spans="1:6">
      <c r="A170" s="44">
        <v>41172</v>
      </c>
      <c r="B170">
        <v>42.71</v>
      </c>
      <c r="C170">
        <v>43</v>
      </c>
      <c r="D170">
        <v>42.65</v>
      </c>
      <c r="E170" s="24">
        <v>42.83</v>
      </c>
      <c r="F170">
        <v>671700</v>
      </c>
    </row>
    <row r="171" spans="1:6">
      <c r="A171" s="44">
        <v>41171</v>
      </c>
      <c r="B171">
        <v>43</v>
      </c>
      <c r="C171">
        <v>43.48</v>
      </c>
      <c r="D171">
        <v>42.85</v>
      </c>
      <c r="E171" s="24">
        <v>42.94</v>
      </c>
      <c r="F171">
        <v>737300</v>
      </c>
    </row>
    <row r="172" spans="1:6">
      <c r="A172" s="44">
        <v>41170</v>
      </c>
      <c r="B172">
        <v>43.6</v>
      </c>
      <c r="C172">
        <v>44.2</v>
      </c>
      <c r="D172">
        <v>42.99</v>
      </c>
      <c r="E172" s="24">
        <v>43.09</v>
      </c>
      <c r="F172">
        <v>1080200</v>
      </c>
    </row>
    <row r="173" spans="1:6">
      <c r="A173" s="44">
        <v>41169</v>
      </c>
      <c r="B173">
        <v>43.2</v>
      </c>
      <c r="C173">
        <v>43.25</v>
      </c>
      <c r="D173">
        <v>42.71</v>
      </c>
      <c r="E173" s="24">
        <v>42.99</v>
      </c>
      <c r="F173">
        <v>769600</v>
      </c>
    </row>
    <row r="174" spans="1:6">
      <c r="A174" s="44">
        <v>41166</v>
      </c>
      <c r="B174">
        <v>42.95</v>
      </c>
      <c r="C174">
        <v>43.42</v>
      </c>
      <c r="D174">
        <v>42.76</v>
      </c>
      <c r="E174" s="24">
        <v>43.09</v>
      </c>
      <c r="F174">
        <v>920600</v>
      </c>
    </row>
    <row r="175" spans="1:6">
      <c r="A175" s="44">
        <v>41165</v>
      </c>
      <c r="B175">
        <v>42.7</v>
      </c>
      <c r="C175">
        <v>43.24</v>
      </c>
      <c r="D175">
        <v>42.37</v>
      </c>
      <c r="E175" s="24">
        <v>42.96</v>
      </c>
      <c r="F175">
        <v>785600</v>
      </c>
    </row>
    <row r="176" spans="1:6">
      <c r="A176" s="44">
        <v>41164</v>
      </c>
      <c r="B176">
        <v>42.81</v>
      </c>
      <c r="C176">
        <v>42.95</v>
      </c>
      <c r="D176">
        <v>42.49</v>
      </c>
      <c r="E176" s="24">
        <v>42.67</v>
      </c>
      <c r="F176">
        <v>769900</v>
      </c>
    </row>
    <row r="177" spans="1:6">
      <c r="A177" s="44">
        <v>41163</v>
      </c>
      <c r="B177">
        <v>42.59</v>
      </c>
      <c r="C177">
        <v>43</v>
      </c>
      <c r="D177">
        <v>42.07</v>
      </c>
      <c r="E177" s="24">
        <v>42.76</v>
      </c>
      <c r="F177">
        <v>896400</v>
      </c>
    </row>
    <row r="178" spans="1:6">
      <c r="A178" s="44">
        <v>41162</v>
      </c>
      <c r="B178">
        <v>43.08</v>
      </c>
      <c r="C178">
        <v>43.16</v>
      </c>
      <c r="D178">
        <v>42.52</v>
      </c>
      <c r="E178" s="24">
        <v>42.7</v>
      </c>
      <c r="F178">
        <v>1323600</v>
      </c>
    </row>
    <row r="179" spans="1:6">
      <c r="A179" s="44">
        <v>41159</v>
      </c>
      <c r="B179">
        <v>43.34</v>
      </c>
      <c r="C179">
        <v>43.48</v>
      </c>
      <c r="D179">
        <v>43.11</v>
      </c>
      <c r="E179" s="24">
        <v>43.33</v>
      </c>
      <c r="F179">
        <v>856800</v>
      </c>
    </row>
    <row r="180" spans="1:6">
      <c r="A180" s="44">
        <v>41158</v>
      </c>
      <c r="B180">
        <v>42.36</v>
      </c>
      <c r="C180">
        <v>43.61</v>
      </c>
      <c r="D180">
        <v>42.29</v>
      </c>
      <c r="E180" s="24">
        <v>43.49</v>
      </c>
      <c r="F180">
        <v>1710200</v>
      </c>
    </row>
    <row r="181" spans="1:6">
      <c r="A181" s="44">
        <v>41157</v>
      </c>
      <c r="B181">
        <v>41.86</v>
      </c>
      <c r="C181">
        <v>42.24</v>
      </c>
      <c r="D181">
        <v>41.74</v>
      </c>
      <c r="E181" s="24">
        <v>42.18</v>
      </c>
      <c r="F181">
        <v>1323100</v>
      </c>
    </row>
    <row r="182" spans="1:6">
      <c r="A182" s="44">
        <v>41156</v>
      </c>
      <c r="B182">
        <v>41.43</v>
      </c>
      <c r="C182">
        <v>42.13</v>
      </c>
      <c r="D182">
        <v>41.31</v>
      </c>
      <c r="E182" s="24">
        <v>42</v>
      </c>
      <c r="F182">
        <v>1093100</v>
      </c>
    </row>
    <row r="183" spans="1:6">
      <c r="A183" s="44">
        <v>41155</v>
      </c>
      <c r="B183">
        <v>41.4</v>
      </c>
      <c r="C183">
        <v>41.4</v>
      </c>
      <c r="D183">
        <v>41.4</v>
      </c>
      <c r="E183" s="24">
        <v>41.4</v>
      </c>
      <c r="F183">
        <v>0</v>
      </c>
    </row>
    <row r="184" spans="1:6">
      <c r="A184" s="44">
        <v>41152</v>
      </c>
      <c r="B184">
        <v>41.46</v>
      </c>
      <c r="C184">
        <v>41.82</v>
      </c>
      <c r="D184">
        <v>41.07</v>
      </c>
      <c r="E184" s="24">
        <v>41.4</v>
      </c>
      <c r="F184">
        <v>1066600</v>
      </c>
    </row>
    <row r="185" spans="1:6">
      <c r="A185" s="44">
        <v>41151</v>
      </c>
      <c r="B185">
        <v>41.57</v>
      </c>
      <c r="C185">
        <v>41.6</v>
      </c>
      <c r="D185">
        <v>40.98</v>
      </c>
      <c r="E185" s="24">
        <v>41.09</v>
      </c>
      <c r="F185">
        <v>780100</v>
      </c>
    </row>
    <row r="186" spans="1:6">
      <c r="A186" s="44">
        <v>41150</v>
      </c>
      <c r="B186">
        <v>41.54</v>
      </c>
      <c r="C186">
        <v>41.82</v>
      </c>
      <c r="D186">
        <v>41.44</v>
      </c>
      <c r="E186" s="24">
        <v>41.75</v>
      </c>
      <c r="F186">
        <v>815200</v>
      </c>
    </row>
    <row r="187" spans="1:6">
      <c r="A187" s="44">
        <v>41149</v>
      </c>
      <c r="B187">
        <v>41.58</v>
      </c>
      <c r="C187">
        <v>41.94</v>
      </c>
      <c r="D187">
        <v>41.36</v>
      </c>
      <c r="E187" s="24">
        <v>41.68</v>
      </c>
      <c r="F187">
        <v>980000</v>
      </c>
    </row>
    <row r="188" spans="1:6">
      <c r="A188" s="44">
        <v>41148</v>
      </c>
      <c r="B188">
        <v>42.2</v>
      </c>
      <c r="C188">
        <v>42.22</v>
      </c>
      <c r="D188">
        <v>41.48</v>
      </c>
      <c r="E188" s="24">
        <v>41.54</v>
      </c>
      <c r="F188">
        <v>1056700</v>
      </c>
    </row>
    <row r="189" spans="1:6">
      <c r="A189" s="44">
        <v>41145</v>
      </c>
      <c r="B189">
        <v>41.86</v>
      </c>
      <c r="C189">
        <v>42.51</v>
      </c>
      <c r="D189">
        <v>41.81</v>
      </c>
      <c r="E189" s="24">
        <v>42.14</v>
      </c>
      <c r="F189">
        <v>1097900</v>
      </c>
    </row>
    <row r="190" spans="1:6">
      <c r="A190" s="44">
        <v>41144</v>
      </c>
      <c r="B190">
        <v>41.99</v>
      </c>
      <c r="C190">
        <v>42.35</v>
      </c>
      <c r="D190">
        <v>41.82</v>
      </c>
      <c r="E190" s="24">
        <v>42.04</v>
      </c>
      <c r="F190">
        <v>909300</v>
      </c>
    </row>
    <row r="191" spans="1:6">
      <c r="A191" s="44">
        <v>41143</v>
      </c>
      <c r="B191">
        <v>42.27</v>
      </c>
      <c r="C191">
        <v>42.42</v>
      </c>
      <c r="D191">
        <v>42.05</v>
      </c>
      <c r="E191" s="24">
        <v>42.17</v>
      </c>
      <c r="F191">
        <v>1272600</v>
      </c>
    </row>
    <row r="192" spans="1:6">
      <c r="A192" s="44">
        <v>41142</v>
      </c>
      <c r="B192">
        <v>42.26</v>
      </c>
      <c r="C192">
        <v>42.59</v>
      </c>
      <c r="D192">
        <v>42.14</v>
      </c>
      <c r="E192" s="24">
        <v>42.28</v>
      </c>
      <c r="F192">
        <v>1156900</v>
      </c>
    </row>
    <row r="193" spans="1:6">
      <c r="A193" s="44">
        <v>41141</v>
      </c>
      <c r="B193">
        <v>42.8</v>
      </c>
      <c r="C193">
        <v>42.8</v>
      </c>
      <c r="D193">
        <v>42.15</v>
      </c>
      <c r="E193" s="24">
        <v>42.24</v>
      </c>
      <c r="F193">
        <v>1209100</v>
      </c>
    </row>
    <row r="194" spans="1:6">
      <c r="A194" s="44">
        <v>41138</v>
      </c>
      <c r="B194">
        <v>42.48</v>
      </c>
      <c r="C194">
        <v>42.8</v>
      </c>
      <c r="D194">
        <v>41.89</v>
      </c>
      <c r="E194" s="24">
        <v>42.66</v>
      </c>
      <c r="F194">
        <v>1534100</v>
      </c>
    </row>
    <row r="195" spans="1:6">
      <c r="A195" s="44">
        <v>41137</v>
      </c>
      <c r="B195">
        <v>41.5</v>
      </c>
      <c r="C195">
        <v>42.43</v>
      </c>
      <c r="D195">
        <v>41.43</v>
      </c>
      <c r="E195" s="24">
        <v>42.4</v>
      </c>
      <c r="F195">
        <v>1482700</v>
      </c>
    </row>
    <row r="196" spans="1:6">
      <c r="A196" s="44">
        <v>41136</v>
      </c>
      <c r="B196">
        <v>40.99</v>
      </c>
      <c r="C196">
        <v>41.51</v>
      </c>
      <c r="D196">
        <v>40.85</v>
      </c>
      <c r="E196" s="24">
        <v>41.4</v>
      </c>
      <c r="F196">
        <v>609600</v>
      </c>
    </row>
    <row r="197" spans="1:6">
      <c r="A197" s="44">
        <v>41135</v>
      </c>
      <c r="B197">
        <v>41.11</v>
      </c>
      <c r="C197">
        <v>41.65</v>
      </c>
      <c r="D197">
        <v>40.94</v>
      </c>
      <c r="E197" s="24">
        <v>41.05</v>
      </c>
      <c r="F197">
        <v>1387400</v>
      </c>
    </row>
    <row r="198" spans="1:6">
      <c r="A198" s="44">
        <v>41134</v>
      </c>
      <c r="B198">
        <v>41.13</v>
      </c>
      <c r="C198">
        <v>41.33</v>
      </c>
      <c r="D198">
        <v>40.9</v>
      </c>
      <c r="E198" s="24">
        <v>41.01</v>
      </c>
      <c r="F198">
        <v>1147800</v>
      </c>
    </row>
    <row r="199" spans="1:6">
      <c r="A199" s="44">
        <v>41131</v>
      </c>
      <c r="B199">
        <v>40.93</v>
      </c>
      <c r="C199">
        <v>41.29</v>
      </c>
      <c r="D199">
        <v>40.9</v>
      </c>
      <c r="E199" s="24">
        <v>41.25</v>
      </c>
      <c r="F199">
        <v>843700</v>
      </c>
    </row>
    <row r="200" spans="1:6">
      <c r="A200" s="44">
        <v>41130</v>
      </c>
      <c r="B200">
        <v>40.71</v>
      </c>
      <c r="C200">
        <v>41.4</v>
      </c>
      <c r="D200">
        <v>40.68</v>
      </c>
      <c r="E200" s="24">
        <v>41</v>
      </c>
      <c r="F200">
        <v>1527000</v>
      </c>
    </row>
    <row r="201" spans="1:6">
      <c r="A201" s="44">
        <v>41129</v>
      </c>
      <c r="B201">
        <v>40.590000000000003</v>
      </c>
      <c r="C201">
        <v>41.23</v>
      </c>
      <c r="D201">
        <v>40.5</v>
      </c>
      <c r="E201" s="24">
        <v>40.93</v>
      </c>
      <c r="F201">
        <v>2104600</v>
      </c>
    </row>
    <row r="202" spans="1:6">
      <c r="A202" s="44">
        <v>41128</v>
      </c>
      <c r="B202">
        <v>40.340000000000003</v>
      </c>
      <c r="C202">
        <v>41.07</v>
      </c>
      <c r="D202">
        <v>40.32</v>
      </c>
      <c r="E202" s="24">
        <v>40.76</v>
      </c>
      <c r="F202">
        <v>2185300</v>
      </c>
    </row>
    <row r="203" spans="1:6">
      <c r="A203" s="44">
        <v>41127</v>
      </c>
      <c r="B203">
        <v>39.35</v>
      </c>
      <c r="C203">
        <v>40.72</v>
      </c>
      <c r="D203">
        <v>39.25</v>
      </c>
      <c r="E203" s="24">
        <v>40.340000000000003</v>
      </c>
      <c r="F203">
        <v>2203300</v>
      </c>
    </row>
    <row r="204" spans="1:6">
      <c r="A204" s="44">
        <v>41124</v>
      </c>
      <c r="B204">
        <v>38.26</v>
      </c>
      <c r="C204">
        <v>39.36</v>
      </c>
      <c r="D204">
        <v>38.08</v>
      </c>
      <c r="E204" s="24">
        <v>39.130000000000003</v>
      </c>
      <c r="F204">
        <v>2363800</v>
      </c>
    </row>
    <row r="205" spans="1:6">
      <c r="A205" s="44">
        <v>41123</v>
      </c>
      <c r="B205">
        <v>36.869999999999997</v>
      </c>
      <c r="C205">
        <v>37.86</v>
      </c>
      <c r="D205">
        <v>36.61</v>
      </c>
      <c r="E205" s="24">
        <v>37.81</v>
      </c>
      <c r="F205">
        <v>1965800</v>
      </c>
    </row>
    <row r="206" spans="1:6">
      <c r="A206" s="44">
        <v>41122</v>
      </c>
      <c r="B206">
        <v>36.92</v>
      </c>
      <c r="C206">
        <v>37.96</v>
      </c>
      <c r="D206">
        <v>35.479999999999997</v>
      </c>
      <c r="E206" s="24">
        <v>37.51</v>
      </c>
      <c r="F206">
        <v>4906500</v>
      </c>
    </row>
    <row r="207" spans="1:6">
      <c r="A207" s="44">
        <v>41121</v>
      </c>
      <c r="B207">
        <v>39.770000000000003</v>
      </c>
      <c r="C207">
        <v>39.99</v>
      </c>
      <c r="D207">
        <v>39.17</v>
      </c>
      <c r="E207" s="24">
        <v>39.6</v>
      </c>
      <c r="F207">
        <v>2479700</v>
      </c>
    </row>
    <row r="208" spans="1:6">
      <c r="A208" s="44">
        <v>41120</v>
      </c>
      <c r="B208">
        <v>39.93</v>
      </c>
      <c r="C208">
        <v>40.479999999999997</v>
      </c>
      <c r="D208">
        <v>39.29</v>
      </c>
      <c r="E208" s="24">
        <v>39.520000000000003</v>
      </c>
      <c r="F208">
        <v>1893200</v>
      </c>
    </row>
    <row r="209" spans="1:6">
      <c r="A209" s="44">
        <v>41117</v>
      </c>
      <c r="B209">
        <v>40</v>
      </c>
      <c r="C209">
        <v>40.11</v>
      </c>
      <c r="D209">
        <v>39.18</v>
      </c>
      <c r="E209" s="24">
        <v>39.76</v>
      </c>
      <c r="F209">
        <v>1922400</v>
      </c>
    </row>
    <row r="210" spans="1:6">
      <c r="A210" s="44">
        <v>41116</v>
      </c>
      <c r="B210">
        <v>39.840000000000003</v>
      </c>
      <c r="C210">
        <v>40.42</v>
      </c>
      <c r="D210">
        <v>39.4</v>
      </c>
      <c r="E210" s="24">
        <v>39.92</v>
      </c>
      <c r="F210">
        <v>1069200</v>
      </c>
    </row>
    <row r="211" spans="1:6">
      <c r="A211" s="44">
        <v>41115</v>
      </c>
      <c r="B211">
        <v>38.71</v>
      </c>
      <c r="C211">
        <v>39.43</v>
      </c>
      <c r="D211">
        <v>38.58</v>
      </c>
      <c r="E211" s="24">
        <v>39.130000000000003</v>
      </c>
      <c r="F211">
        <v>1218100</v>
      </c>
    </row>
    <row r="212" spans="1:6">
      <c r="A212" s="44">
        <v>41114</v>
      </c>
      <c r="B212">
        <v>39.31</v>
      </c>
      <c r="C212">
        <v>39.44</v>
      </c>
      <c r="D212">
        <v>38.520000000000003</v>
      </c>
      <c r="E212" s="24">
        <v>38.75</v>
      </c>
      <c r="F212">
        <v>1632900</v>
      </c>
    </row>
    <row r="213" spans="1:6">
      <c r="A213" s="44">
        <v>41113</v>
      </c>
      <c r="B213">
        <v>39.64</v>
      </c>
      <c r="C213">
        <v>39.72</v>
      </c>
      <c r="D213">
        <v>38.56</v>
      </c>
      <c r="E213" s="24">
        <v>39.299999999999997</v>
      </c>
      <c r="F213">
        <v>1595300</v>
      </c>
    </row>
    <row r="214" spans="1:6">
      <c r="A214" s="44">
        <v>41110</v>
      </c>
      <c r="B214">
        <v>40.880000000000003</v>
      </c>
      <c r="C214">
        <v>40.880000000000003</v>
      </c>
      <c r="D214">
        <v>40.229999999999997</v>
      </c>
      <c r="E214" s="24">
        <v>40.42</v>
      </c>
      <c r="F214">
        <v>1012800</v>
      </c>
    </row>
    <row r="215" spans="1:6">
      <c r="A215" s="44">
        <v>41109</v>
      </c>
      <c r="B215">
        <v>40.659999999999997</v>
      </c>
      <c r="C215">
        <v>41.27</v>
      </c>
      <c r="D215">
        <v>40.54</v>
      </c>
      <c r="E215" s="24">
        <v>40.83</v>
      </c>
      <c r="F215">
        <v>1302100</v>
      </c>
    </row>
    <row r="216" spans="1:6">
      <c r="A216" s="44">
        <v>41108</v>
      </c>
      <c r="B216">
        <v>39.17</v>
      </c>
      <c r="C216">
        <v>40.94</v>
      </c>
      <c r="D216">
        <v>39.090000000000003</v>
      </c>
      <c r="E216" s="24">
        <v>40.6</v>
      </c>
      <c r="F216">
        <v>1112200</v>
      </c>
    </row>
    <row r="217" spans="1:6">
      <c r="A217" s="44">
        <v>41107</v>
      </c>
      <c r="B217">
        <v>39.47</v>
      </c>
      <c r="C217">
        <v>39.619999999999997</v>
      </c>
      <c r="D217">
        <v>38.85</v>
      </c>
      <c r="E217" s="24">
        <v>39.51</v>
      </c>
      <c r="F217">
        <v>717200</v>
      </c>
    </row>
    <row r="218" spans="1:6">
      <c r="A218" s="44">
        <v>41106</v>
      </c>
      <c r="B218">
        <v>39.29</v>
      </c>
      <c r="C218">
        <v>39.479999999999997</v>
      </c>
      <c r="D218">
        <v>38.86</v>
      </c>
      <c r="E218" s="24">
        <v>39.32</v>
      </c>
      <c r="F218">
        <v>1218100</v>
      </c>
    </row>
    <row r="219" spans="1:6">
      <c r="A219" s="44">
        <v>41103</v>
      </c>
      <c r="B219">
        <v>39.020000000000003</v>
      </c>
      <c r="C219">
        <v>39.61</v>
      </c>
      <c r="D219">
        <v>38.94</v>
      </c>
      <c r="E219" s="24">
        <v>39.53</v>
      </c>
      <c r="F219">
        <v>1245300</v>
      </c>
    </row>
    <row r="220" spans="1:6">
      <c r="A220" s="44">
        <v>41102</v>
      </c>
      <c r="B220">
        <v>39.15</v>
      </c>
      <c r="C220">
        <v>39.33</v>
      </c>
      <c r="D220">
        <v>38.76</v>
      </c>
      <c r="E220" s="24">
        <v>39.07</v>
      </c>
      <c r="F220">
        <v>1199600</v>
      </c>
    </row>
    <row r="221" spans="1:6">
      <c r="A221" s="44">
        <v>41101</v>
      </c>
      <c r="B221">
        <v>39.64</v>
      </c>
      <c r="C221">
        <v>40.1</v>
      </c>
      <c r="D221">
        <v>39.21</v>
      </c>
      <c r="E221" s="24">
        <v>39.450000000000003</v>
      </c>
      <c r="F221">
        <v>1108700</v>
      </c>
    </row>
    <row r="222" spans="1:6">
      <c r="A222" s="44">
        <v>41100</v>
      </c>
      <c r="B222">
        <v>40.340000000000003</v>
      </c>
      <c r="C222">
        <v>40.6</v>
      </c>
      <c r="D222">
        <v>39.44</v>
      </c>
      <c r="E222" s="24">
        <v>39.64</v>
      </c>
      <c r="F222">
        <v>1340900</v>
      </c>
    </row>
    <row r="223" spans="1:6">
      <c r="A223" s="44">
        <v>41099</v>
      </c>
      <c r="B223">
        <v>40.47</v>
      </c>
      <c r="C223">
        <v>40.61</v>
      </c>
      <c r="D223">
        <v>39.82</v>
      </c>
      <c r="E223" s="24">
        <v>40.18</v>
      </c>
      <c r="F223">
        <v>1689500</v>
      </c>
    </row>
    <row r="224" spans="1:6">
      <c r="A224" s="44">
        <v>41096</v>
      </c>
      <c r="B224">
        <v>41.92</v>
      </c>
      <c r="C224">
        <v>42.12</v>
      </c>
      <c r="D224">
        <v>40.33</v>
      </c>
      <c r="E224" s="24">
        <v>40.67</v>
      </c>
      <c r="F224">
        <v>2169000</v>
      </c>
    </row>
    <row r="225" spans="1:6">
      <c r="A225" s="44">
        <v>41095</v>
      </c>
      <c r="B225">
        <v>42.38</v>
      </c>
      <c r="C225">
        <v>42.8</v>
      </c>
      <c r="D225">
        <v>41.97</v>
      </c>
      <c r="E225" s="24">
        <v>42.18</v>
      </c>
      <c r="F225">
        <v>1235000</v>
      </c>
    </row>
    <row r="226" spans="1:6">
      <c r="A226" s="44">
        <v>41094</v>
      </c>
      <c r="B226">
        <v>42.29</v>
      </c>
      <c r="C226">
        <v>42.29</v>
      </c>
      <c r="D226">
        <v>42.29</v>
      </c>
      <c r="E226" s="24">
        <v>42.29</v>
      </c>
      <c r="F226">
        <v>0</v>
      </c>
    </row>
    <row r="227" spans="1:6">
      <c r="A227" s="44">
        <v>41093</v>
      </c>
      <c r="B227">
        <v>42.91</v>
      </c>
      <c r="C227">
        <v>42.94</v>
      </c>
      <c r="D227">
        <v>42.04</v>
      </c>
      <c r="E227" s="24">
        <v>42.29</v>
      </c>
      <c r="F227">
        <v>1223400</v>
      </c>
    </row>
    <row r="228" spans="1:6">
      <c r="A228" s="44">
        <v>41092</v>
      </c>
      <c r="B228">
        <v>43</v>
      </c>
      <c r="C228">
        <v>43.6</v>
      </c>
      <c r="D228">
        <v>42.44</v>
      </c>
      <c r="E228" s="24">
        <v>42.58</v>
      </c>
      <c r="F228">
        <v>1157800</v>
      </c>
    </row>
    <row r="229" spans="1:6">
      <c r="A229" s="44">
        <v>41089</v>
      </c>
      <c r="B229">
        <v>42.14</v>
      </c>
      <c r="C229">
        <v>42.7</v>
      </c>
      <c r="D229">
        <v>41.81</v>
      </c>
      <c r="E229" s="24">
        <v>42.68</v>
      </c>
      <c r="F229">
        <v>1657200</v>
      </c>
    </row>
    <row r="230" spans="1:6">
      <c r="A230" s="44">
        <v>41088</v>
      </c>
      <c r="B230">
        <v>41.5</v>
      </c>
      <c r="C230">
        <v>41.64</v>
      </c>
      <c r="D230">
        <v>40.950000000000003</v>
      </c>
      <c r="E230" s="24">
        <v>41.53</v>
      </c>
      <c r="F230">
        <v>733700</v>
      </c>
    </row>
    <row r="231" spans="1:6">
      <c r="A231" s="44">
        <v>41087</v>
      </c>
      <c r="B231">
        <v>41.69</v>
      </c>
      <c r="C231">
        <v>42.04</v>
      </c>
      <c r="D231">
        <v>41.39</v>
      </c>
      <c r="E231" s="24">
        <v>41.71</v>
      </c>
      <c r="F231">
        <v>1079600</v>
      </c>
    </row>
    <row r="232" spans="1:6">
      <c r="A232" s="44">
        <v>41086</v>
      </c>
      <c r="B232">
        <v>41.83</v>
      </c>
      <c r="C232">
        <v>42</v>
      </c>
      <c r="D232">
        <v>41.45</v>
      </c>
      <c r="E232" s="24">
        <v>41.52</v>
      </c>
      <c r="F232">
        <v>1325900</v>
      </c>
    </row>
    <row r="233" spans="1:6">
      <c r="A233" s="44">
        <v>41085</v>
      </c>
      <c r="B233">
        <v>42.67</v>
      </c>
      <c r="C233">
        <v>42.72</v>
      </c>
      <c r="D233">
        <v>41.73</v>
      </c>
      <c r="E233" s="24">
        <v>41.78</v>
      </c>
      <c r="F233">
        <v>1405400</v>
      </c>
    </row>
    <row r="234" spans="1:6">
      <c r="A234" s="44">
        <v>41082</v>
      </c>
      <c r="B234">
        <v>42.32</v>
      </c>
      <c r="C234">
        <v>43.02</v>
      </c>
      <c r="D234">
        <v>42.32</v>
      </c>
      <c r="E234" s="24">
        <v>42.9</v>
      </c>
      <c r="F234">
        <v>1898100</v>
      </c>
    </row>
    <row r="235" spans="1:6">
      <c r="A235" s="44">
        <v>41081</v>
      </c>
      <c r="B235">
        <v>43.77</v>
      </c>
      <c r="C235">
        <v>43.99</v>
      </c>
      <c r="D235">
        <v>42.18</v>
      </c>
      <c r="E235" s="24">
        <v>42.32</v>
      </c>
      <c r="F235">
        <v>2368500</v>
      </c>
    </row>
    <row r="236" spans="1:6">
      <c r="A236" s="44">
        <v>41080</v>
      </c>
      <c r="B236">
        <v>43.94</v>
      </c>
      <c r="C236">
        <v>44.2</v>
      </c>
      <c r="D236">
        <v>43.68</v>
      </c>
      <c r="E236" s="24">
        <v>43.96</v>
      </c>
      <c r="F236">
        <v>1455100</v>
      </c>
    </row>
    <row r="237" spans="1:6">
      <c r="A237" s="44">
        <v>41079</v>
      </c>
      <c r="B237">
        <v>44.3</v>
      </c>
      <c r="C237">
        <v>44.69</v>
      </c>
      <c r="D237">
        <v>43.64</v>
      </c>
      <c r="E237" s="24">
        <v>43.83</v>
      </c>
      <c r="F237">
        <v>1695400</v>
      </c>
    </row>
    <row r="238" spans="1:6">
      <c r="A238" s="44">
        <v>41078</v>
      </c>
      <c r="B238">
        <v>43.69</v>
      </c>
      <c r="C238">
        <v>44.32</v>
      </c>
      <c r="D238">
        <v>43.45</v>
      </c>
      <c r="E238" s="24">
        <v>44.01</v>
      </c>
      <c r="F238">
        <v>1407300</v>
      </c>
    </row>
    <row r="239" spans="1:6">
      <c r="A239" s="44">
        <v>41075</v>
      </c>
      <c r="B239">
        <v>43.07</v>
      </c>
      <c r="C239">
        <v>43.85</v>
      </c>
      <c r="D239">
        <v>42.92</v>
      </c>
      <c r="E239" s="24">
        <v>43.76</v>
      </c>
      <c r="F239">
        <v>2489400</v>
      </c>
    </row>
    <row r="240" spans="1:6">
      <c r="A240" s="44">
        <v>41074</v>
      </c>
      <c r="B240">
        <v>43.31</v>
      </c>
      <c r="C240">
        <v>43.65</v>
      </c>
      <c r="D240">
        <v>42.68</v>
      </c>
      <c r="E240" s="24">
        <v>43</v>
      </c>
      <c r="F240">
        <v>2866600</v>
      </c>
    </row>
    <row r="241" spans="1:6">
      <c r="A241" s="44">
        <v>41073</v>
      </c>
      <c r="B241">
        <v>43</v>
      </c>
      <c r="C241">
        <v>43.73</v>
      </c>
      <c r="D241">
        <v>42.52</v>
      </c>
      <c r="E241" s="24">
        <v>43.44</v>
      </c>
      <c r="F241">
        <v>2176800</v>
      </c>
    </row>
    <row r="242" spans="1:6">
      <c r="A242" s="44">
        <v>41072</v>
      </c>
      <c r="B242">
        <v>42.48</v>
      </c>
      <c r="C242">
        <v>43.29</v>
      </c>
      <c r="D242">
        <v>42.3</v>
      </c>
      <c r="E242" s="24">
        <v>43.25</v>
      </c>
      <c r="F242">
        <v>1772100</v>
      </c>
    </row>
    <row r="243" spans="1:6">
      <c r="A243" s="44">
        <v>41071</v>
      </c>
      <c r="B243">
        <v>43.67</v>
      </c>
      <c r="C243">
        <v>43.78</v>
      </c>
      <c r="D243">
        <v>42.38</v>
      </c>
      <c r="E243" s="24">
        <v>42.47</v>
      </c>
      <c r="F243">
        <v>1672800</v>
      </c>
    </row>
    <row r="244" spans="1:6">
      <c r="A244" s="44">
        <v>41068</v>
      </c>
      <c r="B244">
        <v>43.36</v>
      </c>
      <c r="C244">
        <v>43.84</v>
      </c>
      <c r="D244">
        <v>43.21</v>
      </c>
      <c r="E244" s="24">
        <v>43.7</v>
      </c>
      <c r="F244">
        <v>1416100</v>
      </c>
    </row>
    <row r="245" spans="1:6">
      <c r="A245" s="44">
        <v>41067</v>
      </c>
      <c r="B245">
        <v>44</v>
      </c>
      <c r="C245">
        <v>44.07</v>
      </c>
      <c r="D245">
        <v>43.32</v>
      </c>
      <c r="E245" s="24">
        <v>43.71</v>
      </c>
      <c r="F245">
        <v>2255900</v>
      </c>
    </row>
    <row r="246" spans="1:6">
      <c r="A246" s="44">
        <v>41066</v>
      </c>
      <c r="B246">
        <v>42.52</v>
      </c>
      <c r="C246">
        <v>43.71</v>
      </c>
      <c r="D246">
        <v>42.36</v>
      </c>
      <c r="E246" s="24">
        <v>43.71</v>
      </c>
      <c r="F246">
        <v>1886000</v>
      </c>
    </row>
    <row r="247" spans="1:6">
      <c r="A247" s="44">
        <v>41065</v>
      </c>
      <c r="B247">
        <v>41.24</v>
      </c>
      <c r="C247">
        <v>42.38</v>
      </c>
      <c r="D247">
        <v>41.23</v>
      </c>
      <c r="E247" s="24">
        <v>42.23</v>
      </c>
      <c r="F247">
        <v>1126500</v>
      </c>
    </row>
    <row r="248" spans="1:6">
      <c r="A248" s="44">
        <v>41064</v>
      </c>
      <c r="B248">
        <v>42.04</v>
      </c>
      <c r="C248">
        <v>42.86</v>
      </c>
      <c r="D248">
        <v>41.27</v>
      </c>
      <c r="E248" s="24">
        <v>41.71</v>
      </c>
      <c r="F248">
        <v>1466500</v>
      </c>
    </row>
    <row r="249" spans="1:6">
      <c r="A249" s="44">
        <v>41061</v>
      </c>
      <c r="B249">
        <v>41.73</v>
      </c>
      <c r="C249">
        <v>42.56</v>
      </c>
      <c r="D249">
        <v>41.62</v>
      </c>
      <c r="E249" s="24">
        <v>41.89</v>
      </c>
      <c r="F249">
        <v>2829900</v>
      </c>
    </row>
    <row r="250" spans="1:6">
      <c r="A250" s="44">
        <v>41060</v>
      </c>
      <c r="B250">
        <v>43.12</v>
      </c>
      <c r="C250">
        <v>43.12</v>
      </c>
      <c r="D250">
        <v>41.77</v>
      </c>
      <c r="E250" s="24">
        <v>42.32</v>
      </c>
      <c r="F250">
        <v>3210800</v>
      </c>
    </row>
    <row r="251" spans="1:6">
      <c r="A251" s="44">
        <v>41059</v>
      </c>
      <c r="B251">
        <v>43.36</v>
      </c>
      <c r="C251">
        <v>43.38</v>
      </c>
      <c r="D251">
        <v>42.83</v>
      </c>
      <c r="E251" s="24">
        <v>43</v>
      </c>
      <c r="F251">
        <v>1445800</v>
      </c>
    </row>
    <row r="252" spans="1:6">
      <c r="A252" s="44">
        <v>41058</v>
      </c>
      <c r="B252">
        <v>44.05</v>
      </c>
      <c r="C252">
        <v>44.29</v>
      </c>
      <c r="D252">
        <v>43.27</v>
      </c>
      <c r="E252" s="24">
        <v>43.86</v>
      </c>
      <c r="F252">
        <v>1788200</v>
      </c>
    </row>
    <row r="253" spans="1:6">
      <c r="A253" s="44">
        <v>41057</v>
      </c>
      <c r="B253">
        <v>43.69</v>
      </c>
      <c r="C253">
        <v>43.69</v>
      </c>
      <c r="D253">
        <v>43.69</v>
      </c>
      <c r="E253" s="24">
        <v>43.69</v>
      </c>
      <c r="F253">
        <v>0</v>
      </c>
    </row>
    <row r="254" spans="1:6">
      <c r="A254" s="44">
        <v>41054</v>
      </c>
      <c r="B254">
        <v>43.15</v>
      </c>
      <c r="C254">
        <v>44.16</v>
      </c>
      <c r="D254">
        <v>43.01</v>
      </c>
      <c r="E254" s="24">
        <v>43.69</v>
      </c>
      <c r="F254">
        <v>2365600</v>
      </c>
    </row>
    <row r="255" spans="1:6">
      <c r="A255" s="44">
        <v>41053</v>
      </c>
      <c r="B255">
        <v>43.19</v>
      </c>
      <c r="C255">
        <v>43.24</v>
      </c>
      <c r="D255">
        <v>42.44</v>
      </c>
      <c r="E255" s="24">
        <v>42.97</v>
      </c>
      <c r="F255">
        <v>2489100</v>
      </c>
    </row>
    <row r="256" spans="1:6">
      <c r="A256" s="44">
        <v>41052</v>
      </c>
      <c r="B256">
        <v>42.37</v>
      </c>
      <c r="C256">
        <v>43.51</v>
      </c>
      <c r="D256">
        <v>42.01</v>
      </c>
      <c r="E256" s="24">
        <v>43.39</v>
      </c>
      <c r="F256">
        <v>2624200</v>
      </c>
    </row>
    <row r="257" spans="1:6">
      <c r="A257" s="44">
        <v>41051</v>
      </c>
      <c r="B257">
        <v>42.9</v>
      </c>
      <c r="C257">
        <v>43.01</v>
      </c>
      <c r="D257">
        <v>42.47</v>
      </c>
      <c r="E257" s="24">
        <v>42.73</v>
      </c>
      <c r="F257">
        <v>1839100</v>
      </c>
    </row>
    <row r="258" spans="1:6">
      <c r="A258" s="44">
        <v>41050</v>
      </c>
      <c r="B258">
        <v>41.59</v>
      </c>
      <c r="C258">
        <v>43.18</v>
      </c>
      <c r="D258">
        <v>41.49</v>
      </c>
      <c r="E258" s="24">
        <v>42.96</v>
      </c>
      <c r="F258">
        <v>2735200</v>
      </c>
    </row>
    <row r="259" spans="1:6">
      <c r="A259" s="44">
        <v>41047</v>
      </c>
      <c r="B259">
        <v>42.52</v>
      </c>
      <c r="C259">
        <v>43.05</v>
      </c>
      <c r="D259">
        <v>41.54</v>
      </c>
      <c r="E259" s="24">
        <v>41.66</v>
      </c>
      <c r="F259">
        <v>4568800</v>
      </c>
    </row>
    <row r="260" spans="1:6">
      <c r="A260" s="44">
        <v>41046</v>
      </c>
      <c r="B260">
        <v>43.5</v>
      </c>
      <c r="C260">
        <v>43.7</v>
      </c>
      <c r="D260">
        <v>42.35</v>
      </c>
      <c r="E260" s="24">
        <v>42.38</v>
      </c>
      <c r="F260">
        <v>2546500</v>
      </c>
    </row>
    <row r="261" spans="1:6">
      <c r="A261" s="44">
        <v>41045</v>
      </c>
      <c r="B261">
        <v>44.5</v>
      </c>
      <c r="C261">
        <v>44.5</v>
      </c>
      <c r="D261">
        <v>43.29</v>
      </c>
      <c r="E261" s="24">
        <v>43.3</v>
      </c>
      <c r="F261">
        <v>5806700</v>
      </c>
    </row>
    <row r="262" spans="1:6">
      <c r="A262" s="44">
        <v>41044</v>
      </c>
      <c r="B262">
        <v>43.75</v>
      </c>
      <c r="C262">
        <v>45.7</v>
      </c>
      <c r="D262">
        <v>42.88</v>
      </c>
      <c r="E262" s="24">
        <v>44.51</v>
      </c>
      <c r="F262">
        <v>9349900</v>
      </c>
    </row>
    <row r="263" spans="1:6">
      <c r="A263" s="44">
        <v>41043</v>
      </c>
      <c r="B263">
        <v>42.03</v>
      </c>
      <c r="C263">
        <v>44.35</v>
      </c>
      <c r="D263">
        <v>41.73</v>
      </c>
      <c r="E263" s="24">
        <v>43.92</v>
      </c>
      <c r="F263">
        <v>7045700</v>
      </c>
    </row>
    <row r="264" spans="1:6">
      <c r="A264" s="44">
        <v>41040</v>
      </c>
      <c r="B264">
        <v>40.11</v>
      </c>
      <c r="C264">
        <v>40.93</v>
      </c>
      <c r="D264">
        <v>40.07</v>
      </c>
      <c r="E264" s="24">
        <v>40.4</v>
      </c>
      <c r="F264">
        <v>1823400</v>
      </c>
    </row>
    <row r="265" spans="1:6">
      <c r="A265" s="44">
        <v>41039</v>
      </c>
      <c r="B265">
        <v>38.97</v>
      </c>
      <c r="C265">
        <v>40.68</v>
      </c>
      <c r="D265">
        <v>38.97</v>
      </c>
      <c r="E265" s="24">
        <v>40.28</v>
      </c>
      <c r="F265">
        <v>3679900</v>
      </c>
    </row>
    <row r="266" spans="1:6">
      <c r="A266" s="44">
        <v>41038</v>
      </c>
      <c r="B266">
        <v>39.46</v>
      </c>
      <c r="C266">
        <v>40.15</v>
      </c>
      <c r="D266">
        <v>39.08</v>
      </c>
      <c r="E266" s="24">
        <v>39.71</v>
      </c>
      <c r="F266">
        <v>2542600</v>
      </c>
    </row>
    <row r="267" spans="1:6">
      <c r="A267" s="44">
        <v>41037</v>
      </c>
      <c r="B267">
        <v>39.81</v>
      </c>
      <c r="C267">
        <v>39.92</v>
      </c>
      <c r="D267">
        <v>39.130000000000003</v>
      </c>
      <c r="E267" s="24">
        <v>39.86</v>
      </c>
      <c r="F267">
        <v>2381000</v>
      </c>
    </row>
    <row r="268" spans="1:6">
      <c r="A268" s="44">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2022-12-19T21:41:38Z</dcterms:modified>
</cp:coreProperties>
</file>