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831"/>
  <workbookPr defaultThemeVersion="124226"/>
  <mc:AlternateContent xmlns:mc="http://schemas.openxmlformats.org/markup-compatibility/2006">
    <mc:Choice Requires="x15">
      <x15ac:absPath xmlns:x15ac="http://schemas.microsoft.com/office/spreadsheetml/2010/11/ac" url="C:\Users\Massimo\Desktop\WallStreetPrep Supporting Files\LBO Model Course\Model Templates\"/>
    </mc:Choice>
  </mc:AlternateContent>
  <xr:revisionPtr revIDLastSave="0" documentId="13_ncr:1_{A3F653AB-91DE-4CC7-A8EE-2888BBAD7DA1}" xr6:coauthVersionLast="47" xr6:coauthVersionMax="47" xr10:uidLastSave="{00000000-0000-0000-0000-000000000000}"/>
  <bookViews>
    <workbookView xWindow="7815" yWindow="2895" windowWidth="38700" windowHeight="15375" xr2:uid="{00000000-000D-0000-FFFF-FFFF00000000}"/>
  </bookViews>
  <sheets>
    <sheet name="LBO" sheetId="1" r:id="rId1"/>
    <sheet name="Shares" sheetId="11" r:id="rId2"/>
    <sheet name="52wkHL" sheetId="9" r:id="rId3"/>
  </sheets>
  <externalReferences>
    <externalReference r:id="rId4"/>
    <externalReference r:id="rId5"/>
  </externalReferences>
  <definedNames>
    <definedName name="Inv_Cap">[1]Results!$E$182:$AD$182</definedName>
    <definedName name="NOPLAT">[1]Results!$E$145:$AD$145</definedName>
    <definedName name="One">'[1]Forecast Drivers'!$D$330</definedName>
    <definedName name="Products">[2]Array0!$B$5:$C$7</definedName>
    <definedName name="Rev">'[1]Forecast Drivers'!$E$25:$S$25</definedName>
  </definedNames>
  <calcPr calcId="191029" calcMode="autoNoTable" iterate="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154" i="1" l="1"/>
  <c r="I154" i="1"/>
  <c r="H154" i="1"/>
  <c r="G154" i="1"/>
  <c r="F154" i="1"/>
  <c r="F125" i="1"/>
  <c r="G180" i="1"/>
  <c r="G181" i="1"/>
  <c r="G183" i="1" s="1"/>
  <c r="H180" i="1" s="1"/>
  <c r="H181" i="1" s="1"/>
  <c r="H183" i="1" s="1"/>
  <c r="I180" i="1" s="1"/>
  <c r="I181" i="1" s="1"/>
  <c r="I183" i="1" s="1"/>
  <c r="J180" i="1" s="1"/>
  <c r="J181" i="1" s="1"/>
  <c r="J183" i="1" s="1"/>
  <c r="F183" i="1"/>
  <c r="F181" i="1"/>
  <c r="F180" i="1"/>
  <c r="G174" i="1"/>
  <c r="G175" i="1"/>
  <c r="G176" i="1" s="1"/>
  <c r="H174" i="1" s="1"/>
  <c r="H175" i="1" s="1"/>
  <c r="H176" i="1" s="1"/>
  <c r="I174" i="1" s="1"/>
  <c r="I175" i="1" s="1"/>
  <c r="I176" i="1" s="1"/>
  <c r="J174" i="1" s="1"/>
  <c r="J175" i="1" s="1"/>
  <c r="J176" i="1" s="1"/>
  <c r="F176" i="1"/>
  <c r="F175" i="1"/>
  <c r="F174" i="1"/>
  <c r="F167" i="1"/>
  <c r="F166" i="1"/>
  <c r="F159" i="1"/>
  <c r="F158" i="1" l="1"/>
  <c r="F151" i="1"/>
  <c r="J146" i="1"/>
  <c r="I146" i="1"/>
  <c r="H146" i="1"/>
  <c r="G146" i="1"/>
  <c r="F147" i="1"/>
  <c r="F146" i="1"/>
  <c r="F145" i="1"/>
  <c r="J102" i="1"/>
  <c r="I102" i="1"/>
  <c r="H102" i="1"/>
  <c r="G102" i="1"/>
  <c r="F102" i="1"/>
  <c r="E74" i="1"/>
  <c r="D74" i="1"/>
  <c r="D105" i="1"/>
  <c r="E105" i="1"/>
  <c r="E87" i="1" l="1"/>
  <c r="D87" i="1"/>
  <c r="E72" i="1"/>
  <c r="D72" i="1"/>
  <c r="E39" i="1"/>
  <c r="E86" i="1" s="1"/>
  <c r="F32" i="1"/>
  <c r="F31" i="1"/>
  <c r="F30" i="1"/>
  <c r="F29" i="1"/>
  <c r="F28" i="1"/>
  <c r="H8" i="1"/>
  <c r="J21" i="1"/>
  <c r="H15" i="1"/>
  <c r="H14" i="1"/>
  <c r="E5" i="9"/>
  <c r="E4" i="9"/>
  <c r="B3" i="11"/>
  <c r="B2" i="11"/>
  <c r="B2" i="1"/>
  <c r="B19" i="11"/>
  <c r="B20" i="11" s="1"/>
  <c r="B21" i="11" s="1"/>
  <c r="B22" i="11" s="1"/>
  <c r="B23" i="11" s="1"/>
  <c r="B24" i="11" s="1"/>
  <c r="B25" i="11" s="1"/>
  <c r="B26" i="11" s="1"/>
  <c r="B27" i="11" s="1"/>
  <c r="E71" i="1" l="1"/>
  <c r="C92" i="1"/>
  <c r="C93" i="1"/>
  <c r="C98" i="1"/>
  <c r="C99" i="1"/>
  <c r="F138" i="1"/>
  <c r="D27" i="1"/>
  <c r="D21" i="1"/>
  <c r="J14" i="1"/>
  <c r="I14" i="1"/>
  <c r="J15" i="1"/>
  <c r="I15" i="1"/>
  <c r="E7" i="11"/>
  <c r="F122" i="1"/>
  <c r="D57" i="1"/>
  <c r="E57" i="1"/>
  <c r="E92" i="1"/>
  <c r="D92" i="1"/>
  <c r="D93" i="1"/>
  <c r="E93" i="1"/>
  <c r="F101" i="1"/>
  <c r="E96" i="1"/>
  <c r="E99" i="1" s="1"/>
  <c r="K99" i="1" s="1"/>
  <c r="F99" i="1" s="1"/>
  <c r="G99" i="1" s="1"/>
  <c r="H99" i="1" l="1"/>
  <c r="G97" i="1"/>
  <c r="F97" i="1"/>
  <c r="G122" i="1" l="1"/>
  <c r="I99" i="1"/>
  <c r="H97" i="1"/>
  <c r="G101" i="1"/>
  <c r="H101" i="1" l="1"/>
  <c r="H122" i="1"/>
  <c r="J99" i="1"/>
  <c r="J97" i="1" s="1"/>
  <c r="I97" i="1"/>
  <c r="J122" i="1" l="1"/>
  <c r="I122" i="1"/>
  <c r="I101" i="1"/>
  <c r="J101" i="1" l="1"/>
  <c r="C46" i="1" l="1"/>
  <c r="D46" i="1"/>
  <c r="E46" i="1"/>
  <c r="D96" i="1"/>
  <c r="D99" i="1" s="1"/>
  <c r="E98" i="1"/>
  <c r="E80" i="1"/>
  <c r="D80" i="1"/>
  <c r="E78" i="1"/>
  <c r="D78" i="1"/>
  <c r="E77" i="1"/>
  <c r="F77" i="1" s="1"/>
  <c r="G77" i="1" s="1"/>
  <c r="H77" i="1" s="1"/>
  <c r="I77" i="1" s="1"/>
  <c r="J77" i="1" s="1"/>
  <c r="D77" i="1"/>
  <c r="D140" i="1"/>
  <c r="E140" i="1"/>
  <c r="F107" i="1"/>
  <c r="E59" i="1"/>
  <c r="E43" i="1"/>
  <c r="D43" i="1"/>
  <c r="C43" i="1"/>
  <c r="G107" i="1" l="1"/>
  <c r="D75" i="1"/>
  <c r="D98" i="1"/>
  <c r="H107" i="1" l="1"/>
  <c r="K93" i="1"/>
  <c r="F93" i="1" s="1"/>
  <c r="G93" i="1" s="1"/>
  <c r="H93" i="1" s="1"/>
  <c r="I93" i="1" s="1"/>
  <c r="J93" i="1" s="1"/>
  <c r="I107" i="1" l="1"/>
  <c r="J107" i="1" l="1"/>
  <c r="C136" i="1"/>
  <c r="E83" i="1"/>
  <c r="D83" i="1"/>
  <c r="F105" i="1" l="1"/>
  <c r="G105" i="1" s="1"/>
  <c r="G117" i="1" l="1"/>
  <c r="F117" i="1"/>
  <c r="H105" i="1"/>
  <c r="H117" i="1" l="1"/>
  <c r="I105" i="1"/>
  <c r="I117" i="1" l="1"/>
  <c r="J105" i="1"/>
  <c r="J117" i="1" s="1"/>
  <c r="E142" i="1" l="1"/>
  <c r="D142" i="1"/>
  <c r="D141" i="1" s="1"/>
  <c r="D136" i="1"/>
  <c r="B136" i="1"/>
  <c r="B135" i="1"/>
  <c r="B111" i="1"/>
  <c r="B110" i="1"/>
  <c r="E68" i="1"/>
  <c r="G68" i="1" s="1"/>
  <c r="H68" i="1" s="1"/>
  <c r="I68" i="1" s="1"/>
  <c r="J68" i="1" s="1"/>
  <c r="D68" i="1"/>
  <c r="C68" i="1"/>
  <c r="D79" i="1"/>
  <c r="E75" i="1"/>
  <c r="F75" i="1" s="1"/>
  <c r="D81" i="1"/>
  <c r="E66" i="1"/>
  <c r="D66" i="1"/>
  <c r="C66" i="1"/>
  <c r="E65" i="1"/>
  <c r="D65" i="1"/>
  <c r="C65" i="1"/>
  <c r="E63" i="1"/>
  <c r="D63" i="1"/>
  <c r="E44" i="1"/>
  <c r="D44" i="1"/>
  <c r="C44" i="1"/>
  <c r="C47" i="1" s="1"/>
  <c r="C56" i="1" s="1"/>
  <c r="C60" i="1" s="1"/>
  <c r="E141" i="1" l="1"/>
  <c r="F141" i="1" s="1"/>
  <c r="G141" i="1" s="1"/>
  <c r="H141" i="1" s="1"/>
  <c r="I141" i="1" s="1"/>
  <c r="J141" i="1" s="1"/>
  <c r="F66" i="1"/>
  <c r="G66" i="1" s="1"/>
  <c r="F65" i="1"/>
  <c r="G65" i="1" s="1"/>
  <c r="H65" i="1" s="1"/>
  <c r="I65" i="1" s="1"/>
  <c r="J65" i="1" s="1"/>
  <c r="G75" i="1"/>
  <c r="H75" i="1" s="1"/>
  <c r="I75" i="1" s="1"/>
  <c r="J75" i="1" s="1"/>
  <c r="D64" i="1"/>
  <c r="D47" i="1"/>
  <c r="D56" i="1" s="1"/>
  <c r="D60" i="1" s="1"/>
  <c r="E64" i="1"/>
  <c r="E47" i="1"/>
  <c r="E56" i="1" s="1"/>
  <c r="E60" i="1" s="1"/>
  <c r="D13" i="1" s="1"/>
  <c r="E135" i="1"/>
  <c r="D39" i="1"/>
  <c r="F39" i="1"/>
  <c r="C64" i="1"/>
  <c r="E79" i="1"/>
  <c r="F79" i="1" s="1"/>
  <c r="G79" i="1" s="1"/>
  <c r="H79" i="1" s="1"/>
  <c r="I79" i="1" s="1"/>
  <c r="J79" i="1" s="1"/>
  <c r="E136" i="1"/>
  <c r="F40" i="1"/>
  <c r="F71" i="1" l="1"/>
  <c r="F86" i="1"/>
  <c r="F87" i="1"/>
  <c r="F72" i="1"/>
  <c r="D86" i="1"/>
  <c r="D71" i="1"/>
  <c r="H10" i="1"/>
  <c r="I10" i="1"/>
  <c r="I12" i="1" s="1"/>
  <c r="I17" i="1" s="1"/>
  <c r="J10" i="1"/>
  <c r="H66" i="1"/>
  <c r="F64" i="1"/>
  <c r="G64" i="1" s="1"/>
  <c r="H64" i="1" s="1"/>
  <c r="I64" i="1" s="1"/>
  <c r="J64" i="1" s="1"/>
  <c r="D34" i="1"/>
  <c r="G39" i="1"/>
  <c r="D51" i="1"/>
  <c r="D67" i="1" s="1"/>
  <c r="E81" i="1"/>
  <c r="F81" i="1" s="1"/>
  <c r="G81" i="1" s="1"/>
  <c r="H81" i="1" s="1"/>
  <c r="I81" i="1" s="1"/>
  <c r="J81" i="1" s="1"/>
  <c r="E51" i="1"/>
  <c r="C39" i="1"/>
  <c r="D135" i="1"/>
  <c r="F136" i="1"/>
  <c r="F111" i="1"/>
  <c r="G40" i="1"/>
  <c r="C51" i="1"/>
  <c r="F135" i="1"/>
  <c r="F110" i="1"/>
  <c r="G72" i="1" l="1"/>
  <c r="G87" i="1"/>
  <c r="G71" i="1"/>
  <c r="G86" i="1"/>
  <c r="I66" i="1"/>
  <c r="C135" i="1"/>
  <c r="H39" i="1"/>
  <c r="D28" i="1"/>
  <c r="H28" i="1" s="1"/>
  <c r="D53" i="1"/>
  <c r="D33" i="1"/>
  <c r="D29" i="1"/>
  <c r="H29" i="1" s="1"/>
  <c r="D32" i="1"/>
  <c r="H32" i="1" s="1"/>
  <c r="D31" i="1"/>
  <c r="H31" i="1" s="1"/>
  <c r="D30" i="1"/>
  <c r="H30" i="1" s="1"/>
  <c r="C53" i="1"/>
  <c r="C67" i="1"/>
  <c r="E67" i="1"/>
  <c r="F67" i="1" s="1"/>
  <c r="E53" i="1"/>
  <c r="G135" i="1"/>
  <c r="G110" i="1"/>
  <c r="G136" i="1"/>
  <c r="G111" i="1"/>
  <c r="H40" i="1"/>
  <c r="F42" i="1"/>
  <c r="F46" i="1" s="1"/>
  <c r="H72" i="1" l="1"/>
  <c r="H87" i="1"/>
  <c r="H86" i="1"/>
  <c r="H71" i="1"/>
  <c r="H33" i="1"/>
  <c r="J29" i="1"/>
  <c r="J31" i="1"/>
  <c r="J32" i="1"/>
  <c r="J66" i="1"/>
  <c r="J28" i="1"/>
  <c r="J30" i="1"/>
  <c r="F92" i="1"/>
  <c r="F76" i="1"/>
  <c r="F74" i="1"/>
  <c r="G67" i="1"/>
  <c r="H110" i="1"/>
  <c r="H135" i="1"/>
  <c r="I39" i="1"/>
  <c r="H111" i="1"/>
  <c r="I40" i="1"/>
  <c r="H136" i="1"/>
  <c r="F80" i="1"/>
  <c r="F45" i="1"/>
  <c r="G42" i="1"/>
  <c r="G46" i="1" s="1"/>
  <c r="F44" i="1"/>
  <c r="I86" i="1" l="1"/>
  <c r="I71" i="1"/>
  <c r="I87" i="1"/>
  <c r="I72" i="1"/>
  <c r="J33" i="1"/>
  <c r="G92" i="1"/>
  <c r="G76" i="1"/>
  <c r="H67" i="1"/>
  <c r="F43" i="1"/>
  <c r="F58" i="1" s="1"/>
  <c r="F115" i="1" s="1"/>
  <c r="F47" i="1"/>
  <c r="F56" i="1" s="1"/>
  <c r="G80" i="1"/>
  <c r="I111" i="1"/>
  <c r="I136" i="1"/>
  <c r="J40" i="1"/>
  <c r="I110" i="1"/>
  <c r="I135" i="1"/>
  <c r="J39" i="1"/>
  <c r="G44" i="1"/>
  <c r="G45" i="1"/>
  <c r="G74" i="1"/>
  <c r="H42" i="1"/>
  <c r="H46" i="1" s="1"/>
  <c r="J87" i="1" l="1"/>
  <c r="J72" i="1"/>
  <c r="J71" i="1"/>
  <c r="J86" i="1"/>
  <c r="H92" i="1"/>
  <c r="H76" i="1"/>
  <c r="F78" i="1"/>
  <c r="I67" i="1"/>
  <c r="G43" i="1"/>
  <c r="G47" i="1"/>
  <c r="G56" i="1" s="1"/>
  <c r="G121" i="1"/>
  <c r="F121" i="1"/>
  <c r="J135" i="1"/>
  <c r="J110" i="1"/>
  <c r="J136" i="1"/>
  <c r="J111" i="1"/>
  <c r="H45" i="1"/>
  <c r="I42" i="1"/>
  <c r="I46" i="1" s="1"/>
  <c r="H80" i="1"/>
  <c r="H44" i="1"/>
  <c r="H74" i="1"/>
  <c r="F83" i="1" l="1"/>
  <c r="F116" i="1" s="1"/>
  <c r="I92" i="1"/>
  <c r="I76" i="1"/>
  <c r="J67" i="1"/>
  <c r="G58" i="1"/>
  <c r="G115" i="1" s="1"/>
  <c r="G78" i="1"/>
  <c r="H43" i="1"/>
  <c r="H47" i="1"/>
  <c r="H56" i="1" s="1"/>
  <c r="I45" i="1"/>
  <c r="I80" i="1"/>
  <c r="I74" i="1"/>
  <c r="I44" i="1"/>
  <c r="H121" i="1"/>
  <c r="J42" i="1"/>
  <c r="J46" i="1" s="1"/>
  <c r="J92" i="1" l="1"/>
  <c r="J76" i="1"/>
  <c r="H78" i="1"/>
  <c r="H58" i="1"/>
  <c r="H115" i="1" s="1"/>
  <c r="G83" i="1"/>
  <c r="G116" i="1" s="1"/>
  <c r="I43" i="1"/>
  <c r="I78" i="1" s="1"/>
  <c r="I47" i="1"/>
  <c r="I56" i="1" s="1"/>
  <c r="J80" i="1"/>
  <c r="I121" i="1"/>
  <c r="J74" i="1"/>
  <c r="J44" i="1"/>
  <c r="J45" i="1"/>
  <c r="H83" i="1" l="1"/>
  <c r="H116" i="1" s="1"/>
  <c r="I58" i="1"/>
  <c r="I115" i="1" s="1"/>
  <c r="J43" i="1"/>
  <c r="J58" i="1" s="1"/>
  <c r="J115" i="1" s="1"/>
  <c r="J47" i="1"/>
  <c r="J56" i="1" s="1"/>
  <c r="J121" i="1"/>
  <c r="I83" i="1" l="1"/>
  <c r="I116" i="1" s="1"/>
  <c r="J78" i="1"/>
  <c r="J83" i="1" l="1"/>
  <c r="J116" i="1" s="1"/>
  <c r="F91" i="1" l="1"/>
  <c r="F57" i="1" s="1"/>
  <c r="F114" i="1" s="1"/>
  <c r="G91" i="1" l="1"/>
  <c r="F89" i="1"/>
  <c r="G89" i="1" l="1"/>
  <c r="H91" i="1"/>
  <c r="J91" i="1" l="1"/>
  <c r="I91" i="1"/>
  <c r="H89" i="1"/>
  <c r="I89" i="1" l="1"/>
  <c r="F98" i="1"/>
  <c r="F123" i="1"/>
  <c r="J89" i="1" l="1"/>
  <c r="G98" i="1"/>
  <c r="G123" i="1"/>
  <c r="H98" i="1"/>
  <c r="H123" i="1"/>
  <c r="I98" i="1"/>
  <c r="I123" i="1" l="1"/>
  <c r="J98" i="1"/>
  <c r="J123" i="1"/>
  <c r="F95" i="1"/>
  <c r="F60" i="1" l="1"/>
  <c r="G57" i="1"/>
  <c r="G60" i="1" s="1"/>
  <c r="G95" i="1"/>
  <c r="G114" i="1" l="1"/>
  <c r="H57" i="1"/>
  <c r="I57" i="1"/>
  <c r="I60" i="1" s="1"/>
  <c r="J57" i="1"/>
  <c r="J60" i="1" s="1"/>
  <c r="H95" i="1"/>
  <c r="I95" i="1" l="1"/>
  <c r="I114" i="1"/>
  <c r="J114" i="1"/>
  <c r="H114" i="1"/>
  <c r="H60" i="1"/>
  <c r="J95" i="1" l="1"/>
  <c r="C27" i="1" l="1"/>
  <c r="E18" i="11" l="1"/>
  <c r="E19" i="11"/>
  <c r="E20" i="11"/>
  <c r="E21" i="11"/>
  <c r="E22" i="11"/>
  <c r="E23" i="11"/>
  <c r="E24" i="11"/>
  <c r="E25" i="11"/>
  <c r="E26" i="11"/>
  <c r="E27" i="11"/>
  <c r="E9" i="11" l="1"/>
  <c r="E10" i="11" s="1"/>
  <c r="E28" i="11"/>
  <c r="E8" i="11" s="1"/>
  <c r="E11" i="11" l="1"/>
  <c r="E14" i="11" s="1"/>
  <c r="J18" i="1" l="1"/>
  <c r="J17" i="1" s="1"/>
  <c r="J12" i="1" s="1"/>
  <c r="I18" i="1"/>
  <c r="H18" i="1"/>
  <c r="I20" i="1" l="1"/>
  <c r="J11" i="1"/>
  <c r="H11" i="1" s="1"/>
  <c r="H12" i="1" s="1"/>
  <c r="H17" i="1" s="1"/>
  <c r="H36" i="1" s="1"/>
  <c r="D22" i="1" s="1"/>
  <c r="H20" i="1" l="1"/>
  <c r="H21" i="1" s="1"/>
  <c r="D20" i="1"/>
  <c r="I21" i="1"/>
  <c r="D23" i="1" l="1"/>
  <c r="E6" i="11"/>
  <c r="B6" i="11" s="1"/>
  <c r="D35" i="1" l="1"/>
  <c r="C35" i="1" s="1"/>
  <c r="C36" i="1" s="1"/>
  <c r="D36" i="1" l="1"/>
  <c r="F48" i="1"/>
  <c r="G48" i="1"/>
  <c r="H48" i="1"/>
  <c r="I48" i="1"/>
  <c r="J48" i="1"/>
  <c r="F51" i="1"/>
  <c r="G51" i="1"/>
  <c r="H51" i="1"/>
  <c r="I51" i="1"/>
  <c r="J51" i="1"/>
  <c r="F52" i="1"/>
  <c r="G52" i="1"/>
  <c r="H52" i="1"/>
  <c r="I52" i="1"/>
  <c r="J52" i="1"/>
  <c r="F53" i="1"/>
  <c r="G53" i="1"/>
  <c r="H53" i="1"/>
  <c r="I53" i="1"/>
  <c r="J53" i="1"/>
  <c r="F113" i="1"/>
  <c r="G113" i="1"/>
  <c r="H113" i="1"/>
  <c r="I113" i="1"/>
  <c r="J113" i="1"/>
  <c r="F119" i="1"/>
  <c r="G119" i="1"/>
  <c r="H119" i="1"/>
  <c r="I119" i="1"/>
  <c r="J119" i="1"/>
  <c r="G125" i="1"/>
  <c r="H125" i="1"/>
  <c r="I125" i="1"/>
  <c r="J125" i="1"/>
  <c r="F127" i="1"/>
  <c r="G127" i="1"/>
  <c r="H127" i="1"/>
  <c r="I127" i="1"/>
  <c r="J127" i="1"/>
  <c r="F128" i="1"/>
  <c r="G128" i="1"/>
  <c r="H128" i="1"/>
  <c r="I128" i="1"/>
  <c r="J128" i="1"/>
  <c r="F129" i="1"/>
  <c r="G129" i="1"/>
  <c r="H129" i="1"/>
  <c r="I129" i="1"/>
  <c r="J129" i="1"/>
  <c r="F130" i="1"/>
  <c r="G130" i="1"/>
  <c r="H130" i="1"/>
  <c r="I130" i="1"/>
  <c r="J130" i="1"/>
  <c r="F131" i="1"/>
  <c r="G131" i="1"/>
  <c r="H131" i="1"/>
  <c r="I131" i="1"/>
  <c r="J131" i="1"/>
  <c r="F132" i="1"/>
  <c r="G132" i="1"/>
  <c r="H132" i="1"/>
  <c r="I132" i="1"/>
  <c r="J132" i="1"/>
  <c r="G138" i="1"/>
  <c r="H138" i="1"/>
  <c r="I138" i="1"/>
  <c r="J138" i="1"/>
  <c r="F139" i="1"/>
  <c r="G139" i="1"/>
  <c r="H139" i="1"/>
  <c r="I139" i="1"/>
  <c r="J139" i="1"/>
  <c r="F140" i="1"/>
  <c r="G140" i="1"/>
  <c r="H140" i="1"/>
  <c r="I140" i="1"/>
  <c r="J140" i="1"/>
  <c r="F142" i="1"/>
  <c r="G142" i="1"/>
  <c r="H142" i="1"/>
  <c r="I142" i="1"/>
  <c r="J142" i="1"/>
  <c r="G145" i="1"/>
  <c r="H145" i="1"/>
  <c r="I145" i="1"/>
  <c r="J145" i="1"/>
  <c r="G147" i="1"/>
  <c r="H147" i="1"/>
  <c r="I147" i="1"/>
  <c r="J147" i="1"/>
  <c r="F148" i="1"/>
  <c r="G148" i="1"/>
  <c r="H148" i="1"/>
  <c r="I148" i="1"/>
  <c r="J148" i="1"/>
  <c r="F149" i="1"/>
  <c r="G149" i="1"/>
  <c r="H149" i="1"/>
  <c r="I149" i="1"/>
  <c r="J149" i="1"/>
  <c r="G151" i="1"/>
  <c r="H151" i="1"/>
  <c r="I151" i="1"/>
  <c r="J151" i="1"/>
  <c r="F152" i="1"/>
  <c r="G152" i="1"/>
  <c r="H152" i="1"/>
  <c r="I152" i="1"/>
  <c r="J152" i="1"/>
  <c r="F153" i="1"/>
  <c r="G153" i="1"/>
  <c r="H153" i="1"/>
  <c r="I153" i="1"/>
  <c r="J153" i="1"/>
  <c r="F155" i="1"/>
  <c r="G155" i="1"/>
  <c r="H155" i="1"/>
  <c r="I155" i="1"/>
  <c r="J155" i="1"/>
  <c r="G158" i="1"/>
  <c r="H158" i="1"/>
  <c r="I158" i="1"/>
  <c r="J158" i="1"/>
  <c r="G159" i="1"/>
  <c r="H159" i="1"/>
  <c r="I159" i="1"/>
  <c r="J159" i="1"/>
  <c r="F160" i="1"/>
  <c r="G160" i="1"/>
  <c r="H160" i="1"/>
  <c r="I160" i="1"/>
  <c r="J160" i="1"/>
  <c r="F161" i="1"/>
  <c r="G161" i="1"/>
  <c r="H161" i="1"/>
  <c r="I161" i="1"/>
  <c r="J161" i="1"/>
  <c r="F163" i="1"/>
  <c r="G163" i="1"/>
  <c r="H163" i="1"/>
  <c r="I163" i="1"/>
  <c r="J163" i="1"/>
  <c r="G166" i="1"/>
  <c r="H166" i="1"/>
  <c r="I166" i="1"/>
  <c r="J166" i="1"/>
  <c r="G167" i="1"/>
  <c r="H167" i="1"/>
  <c r="I167" i="1"/>
  <c r="J167" i="1"/>
  <c r="F168" i="1"/>
  <c r="G168" i="1"/>
  <c r="H168" i="1"/>
  <c r="I168" i="1"/>
  <c r="J168" i="1"/>
  <c r="F169" i="1"/>
  <c r="G169" i="1"/>
  <c r="H169" i="1"/>
  <c r="I169" i="1"/>
  <c r="J169" i="1"/>
  <c r="F171" i="1"/>
  <c r="G171" i="1"/>
  <c r="H171" i="1"/>
  <c r="I171" i="1"/>
  <c r="J171"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Wall Street Prep</author>
  </authors>
  <commentList>
    <comment ref="H7" authorId="0" shapeId="0" xr:uid="{00000000-0006-0000-0000-000001000000}">
      <text>
        <r>
          <rPr>
            <b/>
            <sz val="9"/>
            <color indexed="81"/>
            <rFont val="Tahoma"/>
            <family val="2"/>
          </rPr>
          <t>Wall Street Prep:</t>
        </r>
        <r>
          <rPr>
            <sz val="9"/>
            <color indexed="81"/>
            <rFont val="Tahoma"/>
            <family val="2"/>
          </rPr>
          <t xml:space="preserve">
</t>
        </r>
        <r>
          <rPr>
            <b/>
            <sz val="9"/>
            <color indexed="81"/>
            <rFont val="Tahoma"/>
            <family val="2"/>
          </rPr>
          <t xml:space="preserve">1 = Explicit EBITDA multiple assumption
</t>
        </r>
        <r>
          <rPr>
            <sz val="9"/>
            <color indexed="81"/>
            <rFont val="Tahoma"/>
            <family val="2"/>
          </rPr>
          <t xml:space="preserve">When a private company undergoes an LBO, the valuation discussion is expressed in terms of a multiple of EBITDA. Therefore, we input an EBITDA multiple assumption in this cell and work our way down to the implied offer value and offer value per share. 
</t>
        </r>
        <r>
          <rPr>
            <b/>
            <sz val="9"/>
            <color indexed="81"/>
            <rFont val="Tahoma"/>
            <family val="2"/>
          </rPr>
          <t xml:space="preserve">2 = Explicit offer price per share assumption
</t>
        </r>
        <r>
          <rPr>
            <sz val="9"/>
            <color indexed="81"/>
            <rFont val="Tahoma"/>
            <family val="2"/>
          </rPr>
          <t xml:space="preserve">However, offer value is sometimes also expressed in terms of offer price per share (usually when analyzing a public company), so rather that hardcoding an EBITDA multiple assumption, you could hard-code an offer price per share and work your way up to an implied EBITDA multiple. </t>
        </r>
      </text>
    </comment>
    <comment ref="D10" authorId="0" shapeId="0" xr:uid="{00000000-0006-0000-0000-000002000000}">
      <text>
        <r>
          <rPr>
            <b/>
            <sz val="9"/>
            <color indexed="81"/>
            <rFont val="Tahoma"/>
            <family val="2"/>
          </rPr>
          <t>Wall Street Prep:</t>
        </r>
        <r>
          <rPr>
            <sz val="9"/>
            <color indexed="81"/>
            <rFont val="Tahoma"/>
            <family val="2"/>
          </rPr>
          <t xml:space="preserve">
If the model "blows up" (i.e. REF and DIV/0 everywhere), turn the circuit breaker above on, and then immediately off again. 
</t>
        </r>
        <r>
          <rPr>
            <b/>
            <sz val="9"/>
            <color indexed="81"/>
            <rFont val="Tahoma"/>
            <family val="2"/>
          </rPr>
          <t xml:space="preserve">Why do we need this?
</t>
        </r>
        <r>
          <rPr>
            <sz val="9"/>
            <color indexed="81"/>
            <rFont val="Tahoma"/>
            <family val="2"/>
          </rPr>
          <t xml:space="preserve">This model has an intentional circularity in the calculation of interest expense and interest income. 
Interest expense is calculated as interest rate times average current and prior period revolver debt balances. Since current period revolver balance is itself impacted by current period interest expense, the circularity exists.
The same logic applies to interest expense.
</t>
        </r>
        <r>
          <rPr>
            <b/>
            <sz val="9"/>
            <color indexed="81"/>
            <rFont val="Tahoma"/>
            <family val="2"/>
          </rPr>
          <t xml:space="preserve">Setting Iterations in Excel
</t>
        </r>
        <r>
          <rPr>
            <sz val="9"/>
            <color indexed="81"/>
            <rFont val="Tahoma"/>
            <family val="2"/>
          </rPr>
          <t xml:space="preserve">Make sure that iterations are selected under Excel Options &gt; Formulas
</t>
        </r>
        <r>
          <rPr>
            <b/>
            <sz val="9"/>
            <color indexed="81"/>
            <rFont val="Tahoma"/>
            <family val="2"/>
          </rPr>
          <t>Removing circularity altogether</t>
        </r>
        <r>
          <rPr>
            <sz val="9"/>
            <color indexed="81"/>
            <rFont val="Tahoma"/>
            <family val="2"/>
          </rPr>
          <t xml:space="preserve">
To avoid a circularity altogether, calculate interest expense using prior period debt balances (as opposed to average balances).</t>
        </r>
      </text>
    </comment>
    <comment ref="I11" authorId="0" shapeId="0" xr:uid="{00000000-0006-0000-0000-000003000000}">
      <text>
        <r>
          <rPr>
            <b/>
            <sz val="9"/>
            <color indexed="81"/>
            <rFont val="Tahoma"/>
            <family val="2"/>
          </rPr>
          <t>Wall Street Prep:</t>
        </r>
        <r>
          <rPr>
            <sz val="9"/>
            <color indexed="81"/>
            <rFont val="Tahoma"/>
            <family val="2"/>
          </rPr>
          <t xml:space="preserve">
When a private company undergoes an LBO, the valuation discussion is expressed in terms of a multiple of EBITDA. Therefore, we input an EBITDA multiple assumption in this cell and work our way down to the implied offer value and offer value per share. 
However, offer value is sometimes also expressed in terms of offer price per share (usually when analyzing a public company), so rather that hardcoding an EBITDA multiple assumption, you could hard-code an offer price per share and work your way up to an implied EBITDA multiple. </t>
        </r>
      </text>
    </comment>
    <comment ref="B13" authorId="0" shapeId="0" xr:uid="{00000000-0006-0000-0000-000004000000}">
      <text>
        <r>
          <rPr>
            <b/>
            <sz val="9"/>
            <color indexed="81"/>
            <rFont val="Tahoma"/>
            <family val="2"/>
          </rPr>
          <t>Wall Street Prep:</t>
        </r>
        <r>
          <rPr>
            <sz val="9"/>
            <color indexed="81"/>
            <rFont val="Tahoma"/>
            <family val="2"/>
          </rPr>
          <t xml:space="preserve">
Input the last twelve months (LTM) EBITDA. </t>
        </r>
      </text>
    </comment>
    <comment ref="B14" authorId="0" shapeId="0" xr:uid="{00000000-0006-0000-0000-000005000000}">
      <text>
        <r>
          <rPr>
            <b/>
            <sz val="9"/>
            <color indexed="81"/>
            <rFont val="Tahoma"/>
            <family val="2"/>
          </rPr>
          <t>Wall Street Prep:</t>
        </r>
        <r>
          <rPr>
            <sz val="9"/>
            <color indexed="81"/>
            <rFont val="Tahoma"/>
            <family val="2"/>
          </rPr>
          <t xml:space="preserve">
Include all debt and debt equivalents as of the most recent filing</t>
        </r>
      </text>
    </comment>
    <comment ref="B15" authorId="0" shapeId="0" xr:uid="{00000000-0006-0000-0000-000006000000}">
      <text>
        <r>
          <rPr>
            <b/>
            <sz val="9"/>
            <color indexed="81"/>
            <rFont val="Tahoma"/>
            <family val="2"/>
          </rPr>
          <t>Wall Street Prep:</t>
        </r>
        <r>
          <rPr>
            <sz val="9"/>
            <color indexed="81"/>
            <rFont val="Tahoma"/>
            <family val="2"/>
          </rPr>
          <t xml:space="preserve">
Include all cash and equivalents as of most recent filing.</t>
        </r>
      </text>
    </comment>
    <comment ref="J26" authorId="0" shapeId="0" xr:uid="{00000000-0006-0000-0000-000007000000}">
      <text>
        <r>
          <rPr>
            <b/>
            <sz val="9"/>
            <color indexed="81"/>
            <rFont val="Tahoma"/>
            <family val="2"/>
          </rPr>
          <t>Wall Street Prep:</t>
        </r>
        <r>
          <rPr>
            <sz val="9"/>
            <color indexed="81"/>
            <rFont val="Tahoma"/>
            <family val="2"/>
          </rPr>
          <t xml:space="preserve">
Accounting rules require that financing fees be capitalized and subsequently amortized over the term of the loan.
This contrasts with the accounting treatment of transaction fees, which are expensed as incurred.</t>
        </r>
      </text>
    </comment>
    <comment ref="D27" authorId="0" shapeId="0" xr:uid="{00000000-0006-0000-0000-000008000000}">
      <text>
        <r>
          <rPr>
            <b/>
            <sz val="9"/>
            <color indexed="81"/>
            <rFont val="Tahoma"/>
            <family val="2"/>
          </rPr>
          <t>Wall Street Prep:</t>
        </r>
        <r>
          <rPr>
            <sz val="9"/>
            <color indexed="81"/>
            <rFont val="Tahoma"/>
            <family val="2"/>
          </rPr>
          <t xml:space="preserve">
$1.4 in excess cash used in BMC LBO</t>
        </r>
      </text>
    </comment>
    <comment ref="D28" authorId="0" shapeId="0" xr:uid="{00000000-0006-0000-0000-000009000000}">
      <text>
        <r>
          <rPr>
            <b/>
            <sz val="9"/>
            <color indexed="81"/>
            <rFont val="Tahoma"/>
            <family val="2"/>
          </rPr>
          <t>Wall Street Prep:</t>
        </r>
        <r>
          <rPr>
            <sz val="9"/>
            <color indexed="81"/>
            <rFont val="Tahoma"/>
            <family val="2"/>
          </rPr>
          <t xml:space="preserve">
Up to $350m in availability on revolver with 5 year term</t>
        </r>
      </text>
    </comment>
    <comment ref="D29" authorId="0" shapeId="0" xr:uid="{00000000-0006-0000-0000-00000A000000}">
      <text>
        <r>
          <rPr>
            <b/>
            <sz val="9"/>
            <color indexed="81"/>
            <rFont val="Tahoma"/>
            <family val="2"/>
          </rPr>
          <t>Wall Street Prep:</t>
        </r>
        <r>
          <rPr>
            <sz val="9"/>
            <color indexed="81"/>
            <rFont val="Tahoma"/>
            <family val="2"/>
          </rPr>
          <t xml:space="preserve">
Originally $3.2b senior secured 7 year term loan reduced to $2.88b</t>
        </r>
      </text>
    </comment>
    <comment ref="D30" authorId="0" shapeId="0" xr:uid="{00000000-0006-0000-0000-00000B000000}">
      <text>
        <r>
          <rPr>
            <b/>
            <sz val="9"/>
            <color indexed="81"/>
            <rFont val="Tahoma"/>
            <family val="2"/>
          </rPr>
          <t>Wall Street Prep:</t>
        </r>
        <r>
          <rPr>
            <sz val="9"/>
            <color indexed="81"/>
            <rFont val="Tahoma"/>
            <family val="2"/>
          </rPr>
          <t xml:space="preserve">
Originally $1b second senior secured tranche, 7 year term loan reduced to 670m</t>
        </r>
      </text>
    </comment>
    <comment ref="D31" authorId="0" shapeId="0" xr:uid="{00000000-0006-0000-0000-00000C000000}">
      <text>
        <r>
          <rPr>
            <b/>
            <sz val="9"/>
            <color indexed="81"/>
            <rFont val="Tahoma"/>
            <family val="2"/>
          </rPr>
          <t>Wall Street Prep:</t>
        </r>
        <r>
          <rPr>
            <sz val="9"/>
            <color indexed="81"/>
            <rFont val="Tahoma"/>
            <family val="2"/>
          </rPr>
          <t xml:space="preserve">
Originally $1.38b high yield bond, matures 2021 increased to $1.625b.</t>
        </r>
      </text>
    </comment>
    <comment ref="C46" authorId="0" shapeId="0" xr:uid="{00000000-0006-0000-0000-00000D000000}">
      <text>
        <r>
          <rPr>
            <b/>
            <sz val="9"/>
            <color indexed="81"/>
            <rFont val="Tahoma"/>
            <family val="2"/>
          </rPr>
          <t>Wall Street Prep:</t>
        </r>
        <r>
          <rPr>
            <sz val="9"/>
            <color indexed="81"/>
            <rFont val="Tahoma"/>
            <family val="2"/>
          </rPr>
          <t xml:space="preserve">
Includes amortization expense</t>
        </r>
      </text>
    </comment>
    <comment ref="D46" authorId="0" shapeId="0" xr:uid="{00000000-0006-0000-0000-00000E000000}">
      <text>
        <r>
          <rPr>
            <b/>
            <sz val="9"/>
            <color indexed="81"/>
            <rFont val="Tahoma"/>
            <family val="2"/>
          </rPr>
          <t>Wall Street Prep:</t>
        </r>
        <r>
          <rPr>
            <sz val="9"/>
            <color indexed="81"/>
            <rFont val="Tahoma"/>
            <family val="2"/>
          </rPr>
          <t xml:space="preserve">
Includes amortization expense</t>
        </r>
      </text>
    </comment>
    <comment ref="E46" authorId="0" shapeId="0" xr:uid="{00000000-0006-0000-0000-00000F000000}">
      <text>
        <r>
          <rPr>
            <b/>
            <sz val="9"/>
            <color indexed="81"/>
            <rFont val="Tahoma"/>
            <family val="2"/>
          </rPr>
          <t>Wall Street Prep:</t>
        </r>
        <r>
          <rPr>
            <sz val="9"/>
            <color indexed="81"/>
            <rFont val="Tahoma"/>
            <family val="2"/>
          </rPr>
          <t xml:space="preserve">
Includes amortization expense</t>
        </r>
      </text>
    </comment>
    <comment ref="F59" authorId="0" shapeId="0" xr:uid="{00000000-0006-0000-0000-000010000000}">
      <text>
        <r>
          <rPr>
            <b/>
            <sz val="9"/>
            <color indexed="81"/>
            <rFont val="Tahoma"/>
            <family val="2"/>
          </rPr>
          <t>Wall Street Prep:</t>
        </r>
        <r>
          <rPr>
            <sz val="9"/>
            <color indexed="81"/>
            <rFont val="Tahoma"/>
            <family val="2"/>
          </rPr>
          <t xml:space="preserve">
BMC projections per Merger Proxy, p.72</t>
        </r>
      </text>
    </comment>
    <comment ref="G59" authorId="0" shapeId="0" xr:uid="{00000000-0006-0000-0000-000011000000}">
      <text>
        <r>
          <rPr>
            <b/>
            <sz val="9"/>
            <color indexed="81"/>
            <rFont val="Tahoma"/>
            <family val="2"/>
          </rPr>
          <t>Wall Street Prep:</t>
        </r>
        <r>
          <rPr>
            <sz val="9"/>
            <color indexed="81"/>
            <rFont val="Tahoma"/>
            <family val="2"/>
          </rPr>
          <t xml:space="preserve">
BMC projections per Merger Proxy, p.72</t>
        </r>
      </text>
    </comment>
    <comment ref="H59" authorId="0" shapeId="0" xr:uid="{00000000-0006-0000-0000-000012000000}">
      <text>
        <r>
          <rPr>
            <b/>
            <sz val="9"/>
            <color indexed="81"/>
            <rFont val="Tahoma"/>
            <family val="2"/>
          </rPr>
          <t>Wall Street Prep:</t>
        </r>
        <r>
          <rPr>
            <sz val="9"/>
            <color indexed="81"/>
            <rFont val="Tahoma"/>
            <family val="2"/>
          </rPr>
          <t xml:space="preserve">
BMC projections per Merger Proxy, p.72</t>
        </r>
      </text>
    </comment>
    <comment ref="I59" authorId="0" shapeId="0" xr:uid="{00000000-0006-0000-0000-000013000000}">
      <text>
        <r>
          <rPr>
            <b/>
            <sz val="9"/>
            <color indexed="81"/>
            <rFont val="Tahoma"/>
            <family val="2"/>
          </rPr>
          <t>Wall Street Prep:</t>
        </r>
        <r>
          <rPr>
            <sz val="9"/>
            <color indexed="81"/>
            <rFont val="Tahoma"/>
            <family val="2"/>
          </rPr>
          <t xml:space="preserve">
BMC projections per Merger Proxy, p.72</t>
        </r>
      </text>
    </comment>
    <comment ref="J59" authorId="0" shapeId="0" xr:uid="{00000000-0006-0000-0000-000014000000}">
      <text>
        <r>
          <rPr>
            <b/>
            <sz val="9"/>
            <color indexed="81"/>
            <rFont val="Tahoma"/>
            <family val="2"/>
          </rPr>
          <t>Wall Street Prep:</t>
        </r>
        <r>
          <rPr>
            <sz val="9"/>
            <color indexed="81"/>
            <rFont val="Tahoma"/>
            <family val="2"/>
          </rPr>
          <t xml:space="preserve">
BMC projections per Merger Proxy, p.72</t>
        </r>
      </text>
    </comment>
    <comment ref="F63" authorId="0" shapeId="0" xr:uid="{00000000-0006-0000-0000-000015000000}">
      <text>
        <r>
          <rPr>
            <b/>
            <sz val="9"/>
            <color indexed="81"/>
            <rFont val="Tahoma"/>
            <family val="2"/>
          </rPr>
          <t>Wall Street Prep:</t>
        </r>
        <r>
          <rPr>
            <sz val="9"/>
            <color indexed="81"/>
            <rFont val="Tahoma"/>
            <family val="2"/>
          </rPr>
          <t xml:space="preserve">
BMC projections per Merger Proxy, p.72</t>
        </r>
      </text>
    </comment>
    <comment ref="G63" authorId="0" shapeId="0" xr:uid="{00000000-0006-0000-0000-000016000000}">
      <text>
        <r>
          <rPr>
            <b/>
            <sz val="9"/>
            <color indexed="81"/>
            <rFont val="Tahoma"/>
            <family val="2"/>
          </rPr>
          <t>Wall Street Prep:</t>
        </r>
        <r>
          <rPr>
            <sz val="9"/>
            <color indexed="81"/>
            <rFont val="Tahoma"/>
            <family val="2"/>
          </rPr>
          <t xml:space="preserve">
BMC projections per Merger Proxy, p.72</t>
        </r>
      </text>
    </comment>
    <comment ref="H63" authorId="0" shapeId="0" xr:uid="{00000000-0006-0000-0000-000017000000}">
      <text>
        <r>
          <rPr>
            <b/>
            <sz val="9"/>
            <color indexed="81"/>
            <rFont val="Tahoma"/>
            <family val="2"/>
          </rPr>
          <t>Wall Street Prep:</t>
        </r>
        <r>
          <rPr>
            <sz val="9"/>
            <color indexed="81"/>
            <rFont val="Tahoma"/>
            <family val="2"/>
          </rPr>
          <t xml:space="preserve">
BMC projections per Merger Proxy, p.72</t>
        </r>
      </text>
    </comment>
    <comment ref="I63" authorId="0" shapeId="0" xr:uid="{00000000-0006-0000-0000-000018000000}">
      <text>
        <r>
          <rPr>
            <b/>
            <sz val="9"/>
            <color indexed="81"/>
            <rFont val="Tahoma"/>
            <family val="2"/>
          </rPr>
          <t>Wall Street Prep:</t>
        </r>
        <r>
          <rPr>
            <sz val="9"/>
            <color indexed="81"/>
            <rFont val="Tahoma"/>
            <family val="2"/>
          </rPr>
          <t xml:space="preserve">
BMC projections per Merger Proxy, p.72</t>
        </r>
      </text>
    </comment>
    <comment ref="J63" authorId="0" shapeId="0" xr:uid="{00000000-0006-0000-0000-000019000000}">
      <text>
        <r>
          <rPr>
            <b/>
            <sz val="9"/>
            <color indexed="81"/>
            <rFont val="Tahoma"/>
            <family val="2"/>
          </rPr>
          <t>Wall Street Prep:</t>
        </r>
        <r>
          <rPr>
            <sz val="9"/>
            <color indexed="81"/>
            <rFont val="Tahoma"/>
            <family val="2"/>
          </rPr>
          <t xml:space="preserve">
BMC projections per Merger Proxy, p.72</t>
        </r>
      </text>
    </comment>
    <comment ref="F68" authorId="0" shapeId="0" xr:uid="{00000000-0006-0000-0000-00001A000000}">
      <text>
        <r>
          <rPr>
            <b/>
            <sz val="9"/>
            <color indexed="81"/>
            <rFont val="Tahoma"/>
            <family val="2"/>
          </rPr>
          <t>Wall Street Prep:</t>
        </r>
        <r>
          <rPr>
            <sz val="9"/>
            <color indexed="81"/>
            <rFont val="Tahoma"/>
            <family val="2"/>
          </rPr>
          <t xml:space="preserve">
Tried to get close to BMC projections per Merger Proxy, p.72</t>
        </r>
      </text>
    </comment>
    <comment ref="D74" authorId="0" shapeId="0" xr:uid="{00000000-0006-0000-0000-00001B000000}">
      <text>
        <r>
          <rPr>
            <b/>
            <sz val="9"/>
            <color indexed="81"/>
            <rFont val="Tahoma"/>
            <family val="2"/>
          </rPr>
          <t>Wall Street Prep:</t>
        </r>
        <r>
          <rPr>
            <sz val="9"/>
            <color indexed="81"/>
            <rFont val="Tahoma"/>
            <family val="2"/>
          </rPr>
          <t xml:space="preserve">
Includes trade AR and both current &amp; non current finance receivables.</t>
        </r>
      </text>
    </comment>
    <comment ref="E74" authorId="0" shapeId="0" xr:uid="{00000000-0006-0000-0000-00001C000000}">
      <text>
        <r>
          <rPr>
            <b/>
            <sz val="9"/>
            <color indexed="81"/>
            <rFont val="Tahoma"/>
            <family val="2"/>
          </rPr>
          <t>Wall Street Prep:</t>
        </r>
        <r>
          <rPr>
            <sz val="9"/>
            <color indexed="81"/>
            <rFont val="Tahoma"/>
            <family val="2"/>
          </rPr>
          <t xml:space="preserve">
Includes trade AR and both current &amp; non current finance receivables.</t>
        </r>
      </text>
    </comment>
    <comment ref="D80" authorId="0" shapeId="0" xr:uid="{00000000-0006-0000-0000-00001D000000}">
      <text>
        <r>
          <rPr>
            <b/>
            <sz val="9"/>
            <color indexed="81"/>
            <rFont val="Tahoma"/>
            <family val="2"/>
          </rPr>
          <t>Wall Street Prep:</t>
        </r>
        <r>
          <rPr>
            <sz val="9"/>
            <color indexed="81"/>
            <rFont val="Tahoma"/>
            <family val="2"/>
          </rPr>
          <t xml:space="preserve">
Includes both current and long term deferred revenue</t>
        </r>
      </text>
    </comment>
    <comment ref="E80" authorId="0" shapeId="0" xr:uid="{00000000-0006-0000-0000-00001E000000}">
      <text>
        <r>
          <rPr>
            <b/>
            <sz val="9"/>
            <color indexed="81"/>
            <rFont val="Tahoma"/>
            <family val="2"/>
          </rPr>
          <t>Wall Street Prep:</t>
        </r>
        <r>
          <rPr>
            <sz val="9"/>
            <color indexed="81"/>
            <rFont val="Tahoma"/>
            <family val="2"/>
          </rPr>
          <t xml:space="preserve">
Includes both current and long term deferred revenue</t>
        </r>
      </text>
    </comment>
    <comment ref="F90" authorId="0" shapeId="0" xr:uid="{00000000-0006-0000-0000-00001F000000}">
      <text>
        <r>
          <rPr>
            <b/>
            <sz val="9"/>
            <color indexed="81"/>
            <rFont val="Tahoma"/>
            <family val="2"/>
          </rPr>
          <t>Wall Street Prep:</t>
        </r>
        <r>
          <rPr>
            <sz val="9"/>
            <color indexed="81"/>
            <rFont val="Tahoma"/>
            <family val="2"/>
          </rPr>
          <t xml:space="preserve">
Tried to approximate mangement guidance in Merger proxy p.72</t>
        </r>
      </text>
    </comment>
    <comment ref="G90" authorId="0" shapeId="0" xr:uid="{00000000-0006-0000-0000-000020000000}">
      <text>
        <r>
          <rPr>
            <b/>
            <sz val="9"/>
            <color indexed="81"/>
            <rFont val="Tahoma"/>
            <family val="2"/>
          </rPr>
          <t>Wall Street Prep:</t>
        </r>
        <r>
          <rPr>
            <sz val="9"/>
            <color indexed="81"/>
            <rFont val="Tahoma"/>
            <family val="2"/>
          </rPr>
          <t xml:space="preserve">
Tried to approximate mangement guidance in Merger proxy p.72</t>
        </r>
      </text>
    </comment>
    <comment ref="H90" authorId="0" shapeId="0" xr:uid="{00000000-0006-0000-0000-000021000000}">
      <text>
        <r>
          <rPr>
            <b/>
            <sz val="9"/>
            <color indexed="81"/>
            <rFont val="Tahoma"/>
            <family val="2"/>
          </rPr>
          <t>Wall Street Prep:</t>
        </r>
        <r>
          <rPr>
            <sz val="9"/>
            <color indexed="81"/>
            <rFont val="Tahoma"/>
            <family val="2"/>
          </rPr>
          <t xml:space="preserve">
Tried to approximate mangement guidance in Merger proxy p.72</t>
        </r>
      </text>
    </comment>
    <comment ref="I90" authorId="0" shapeId="0" xr:uid="{00000000-0006-0000-0000-000022000000}">
      <text>
        <r>
          <rPr>
            <b/>
            <sz val="9"/>
            <color indexed="81"/>
            <rFont val="Tahoma"/>
            <family val="2"/>
          </rPr>
          <t>Wall Street Prep:</t>
        </r>
        <r>
          <rPr>
            <sz val="9"/>
            <color indexed="81"/>
            <rFont val="Tahoma"/>
            <family val="2"/>
          </rPr>
          <t xml:space="preserve">
Tried to approximate mangement guidance in Merger proxy p.72</t>
        </r>
      </text>
    </comment>
    <comment ref="J90" authorId="0" shapeId="0" xr:uid="{00000000-0006-0000-0000-000023000000}">
      <text>
        <r>
          <rPr>
            <b/>
            <sz val="9"/>
            <color indexed="81"/>
            <rFont val="Tahoma"/>
            <family val="2"/>
          </rPr>
          <t>Wall Street Prep:</t>
        </r>
        <r>
          <rPr>
            <sz val="9"/>
            <color indexed="81"/>
            <rFont val="Tahoma"/>
            <family val="2"/>
          </rPr>
          <t xml:space="preserve">
Tried to approximate mangement guidance in Merger proxy p.72</t>
        </r>
      </text>
    </comment>
    <comment ref="K91" authorId="0" shapeId="0" xr:uid="{00000000-0006-0000-0000-000024000000}">
      <text>
        <r>
          <rPr>
            <b/>
            <sz val="9"/>
            <color indexed="81"/>
            <rFont val="Tahoma"/>
            <family val="2"/>
          </rPr>
          <t>Wall Street Prep:</t>
        </r>
        <r>
          <rPr>
            <sz val="9"/>
            <color indexed="81"/>
            <rFont val="Tahoma"/>
            <family val="2"/>
          </rPr>
          <t xml:space="preserve">
In an LBO where fixed asset purchases are limited to maintenance (as opposed to growth) capex, the ratio between capex and depreciation should converge to 1 over time, as new machines simply replace the absolesence of old machines.  </t>
        </r>
      </text>
    </comment>
    <comment ref="E96" authorId="0" shapeId="0" xr:uid="{00000000-0006-0000-0000-000025000000}">
      <text>
        <r>
          <rPr>
            <b/>
            <sz val="9"/>
            <color indexed="81"/>
            <rFont val="Tahoma"/>
            <family val="2"/>
          </rPr>
          <t>Wall Street Prep:</t>
        </r>
        <r>
          <rPr>
            <sz val="9"/>
            <color indexed="81"/>
            <rFont val="Tahoma"/>
            <family val="2"/>
          </rPr>
          <t xml:space="preserve">
CFS</t>
        </r>
      </text>
    </comment>
    <comment ref="F96" authorId="0" shapeId="0" xr:uid="{00000000-0006-0000-0000-000026000000}">
      <text>
        <r>
          <rPr>
            <b/>
            <sz val="9"/>
            <color indexed="81"/>
            <rFont val="Tahoma"/>
            <family val="2"/>
          </rPr>
          <t>Wall Street Prep:</t>
        </r>
        <r>
          <rPr>
            <sz val="9"/>
            <color indexed="81"/>
            <rFont val="Tahoma"/>
            <family val="2"/>
          </rPr>
          <t xml:space="preserve">
BMC projections per Merger Proxy, p.72</t>
        </r>
      </text>
    </comment>
    <comment ref="G96" authorId="0" shapeId="0" xr:uid="{00000000-0006-0000-0000-000027000000}">
      <text>
        <r>
          <rPr>
            <b/>
            <sz val="9"/>
            <color indexed="81"/>
            <rFont val="Tahoma"/>
            <family val="2"/>
          </rPr>
          <t>Wall Street Prep:</t>
        </r>
        <r>
          <rPr>
            <sz val="9"/>
            <color indexed="81"/>
            <rFont val="Tahoma"/>
            <family val="2"/>
          </rPr>
          <t xml:space="preserve">
BMC projections per Merger Proxy, p.72</t>
        </r>
      </text>
    </comment>
    <comment ref="H96" authorId="0" shapeId="0" xr:uid="{00000000-0006-0000-0000-000028000000}">
      <text>
        <r>
          <rPr>
            <b/>
            <sz val="9"/>
            <color indexed="81"/>
            <rFont val="Tahoma"/>
            <family val="2"/>
          </rPr>
          <t>Wall Street Prep:</t>
        </r>
        <r>
          <rPr>
            <sz val="9"/>
            <color indexed="81"/>
            <rFont val="Tahoma"/>
            <family val="2"/>
          </rPr>
          <t xml:space="preserve">
BMC projections per Merger Proxy, p.72</t>
        </r>
      </text>
    </comment>
    <comment ref="I96" authorId="0" shapeId="0" xr:uid="{00000000-0006-0000-0000-000029000000}">
      <text>
        <r>
          <rPr>
            <b/>
            <sz val="9"/>
            <color indexed="81"/>
            <rFont val="Tahoma"/>
            <family val="2"/>
          </rPr>
          <t>Wall Street Prep:</t>
        </r>
        <r>
          <rPr>
            <sz val="9"/>
            <color indexed="81"/>
            <rFont val="Tahoma"/>
            <family val="2"/>
          </rPr>
          <t xml:space="preserve">
BMC projections per Merger Proxy, p.72</t>
        </r>
      </text>
    </comment>
    <comment ref="J96" authorId="0" shapeId="0" xr:uid="{00000000-0006-0000-0000-00002A000000}">
      <text>
        <r>
          <rPr>
            <b/>
            <sz val="9"/>
            <color indexed="81"/>
            <rFont val="Tahoma"/>
            <family val="2"/>
          </rPr>
          <t>Wall Street Prep:</t>
        </r>
        <r>
          <rPr>
            <sz val="9"/>
            <color indexed="81"/>
            <rFont val="Tahoma"/>
            <family val="2"/>
          </rPr>
          <t xml:space="preserve">
BMC projections per Merger Proxy, p.72</t>
        </r>
      </text>
    </comment>
    <comment ref="F102" authorId="0" shapeId="0" xr:uid="{00000000-0006-0000-0000-00002B000000}">
      <text>
        <r>
          <rPr>
            <b/>
            <sz val="9"/>
            <color indexed="81"/>
            <rFont val="Tahoma"/>
            <family val="2"/>
          </rPr>
          <t>Wall Street Prep:</t>
        </r>
        <r>
          <rPr>
            <sz val="9"/>
            <color indexed="81"/>
            <rFont val="Tahoma"/>
            <family val="2"/>
          </rPr>
          <t xml:space="preserve">
WSP estimate</t>
        </r>
      </text>
    </comment>
    <comment ref="G102" authorId="0" shapeId="0" xr:uid="{00000000-0006-0000-0000-00002C000000}">
      <text>
        <r>
          <rPr>
            <b/>
            <sz val="9"/>
            <color indexed="81"/>
            <rFont val="Tahoma"/>
            <family val="2"/>
          </rPr>
          <t>Wall Street Prep:</t>
        </r>
        <r>
          <rPr>
            <sz val="9"/>
            <color indexed="81"/>
            <rFont val="Tahoma"/>
            <family val="2"/>
          </rPr>
          <t xml:space="preserve">
WSP estimate</t>
        </r>
      </text>
    </comment>
    <comment ref="H102" authorId="0" shapeId="0" xr:uid="{00000000-0006-0000-0000-00002D000000}">
      <text>
        <r>
          <rPr>
            <b/>
            <sz val="9"/>
            <color indexed="81"/>
            <rFont val="Tahoma"/>
            <family val="2"/>
          </rPr>
          <t>Wall Street Prep:</t>
        </r>
        <r>
          <rPr>
            <sz val="9"/>
            <color indexed="81"/>
            <rFont val="Tahoma"/>
            <family val="2"/>
          </rPr>
          <t xml:space="preserve">
WSP estimate</t>
        </r>
      </text>
    </comment>
    <comment ref="I102" authorId="0" shapeId="0" xr:uid="{00000000-0006-0000-0000-00002E000000}">
      <text>
        <r>
          <rPr>
            <b/>
            <sz val="9"/>
            <color indexed="81"/>
            <rFont val="Tahoma"/>
            <family val="2"/>
          </rPr>
          <t>Wall Street Prep:</t>
        </r>
        <r>
          <rPr>
            <sz val="9"/>
            <color indexed="81"/>
            <rFont val="Tahoma"/>
            <family val="2"/>
          </rPr>
          <t xml:space="preserve">
WSP estimate</t>
        </r>
      </text>
    </comment>
    <comment ref="J102" authorId="0" shapeId="0" xr:uid="{00000000-0006-0000-0000-00002F000000}">
      <text>
        <r>
          <rPr>
            <b/>
            <sz val="9"/>
            <color indexed="81"/>
            <rFont val="Tahoma"/>
            <family val="2"/>
          </rPr>
          <t>Wall Street Prep:</t>
        </r>
        <r>
          <rPr>
            <sz val="9"/>
            <color indexed="81"/>
            <rFont val="Tahoma"/>
            <family val="2"/>
          </rPr>
          <t xml:space="preserve">
WSP estimate</t>
        </r>
      </text>
    </comment>
    <comment ref="F103" authorId="0" shapeId="0" xr:uid="{00000000-0006-0000-0000-000030000000}">
      <text>
        <r>
          <rPr>
            <b/>
            <sz val="9"/>
            <color indexed="81"/>
            <rFont val="Tahoma"/>
            <family val="2"/>
          </rPr>
          <t>Wall Street Prep:</t>
        </r>
        <r>
          <rPr>
            <sz val="9"/>
            <color indexed="81"/>
            <rFont val="Tahoma"/>
            <family val="2"/>
          </rPr>
          <t xml:space="preserve">
BMC projections per Merger Proxy, p.72</t>
        </r>
      </text>
    </comment>
    <comment ref="G103" authorId="0" shapeId="0" xr:uid="{00000000-0006-0000-0000-000031000000}">
      <text>
        <r>
          <rPr>
            <b/>
            <sz val="9"/>
            <color indexed="81"/>
            <rFont val="Tahoma"/>
            <family val="2"/>
          </rPr>
          <t>Wall Street Prep:</t>
        </r>
        <r>
          <rPr>
            <sz val="9"/>
            <color indexed="81"/>
            <rFont val="Tahoma"/>
            <family val="2"/>
          </rPr>
          <t xml:space="preserve">
BMC projections per Merger Proxy, p.72</t>
        </r>
      </text>
    </comment>
    <comment ref="H103" authorId="0" shapeId="0" xr:uid="{00000000-0006-0000-0000-000032000000}">
      <text>
        <r>
          <rPr>
            <b/>
            <sz val="9"/>
            <color indexed="81"/>
            <rFont val="Tahoma"/>
            <family val="2"/>
          </rPr>
          <t>Wall Street Prep:</t>
        </r>
        <r>
          <rPr>
            <sz val="9"/>
            <color indexed="81"/>
            <rFont val="Tahoma"/>
            <family val="2"/>
          </rPr>
          <t xml:space="preserve">
BMC projections per Merger Proxy, p.72</t>
        </r>
      </text>
    </comment>
    <comment ref="I103" authorId="0" shapeId="0" xr:uid="{00000000-0006-0000-0000-000033000000}">
      <text>
        <r>
          <rPr>
            <b/>
            <sz val="9"/>
            <color indexed="81"/>
            <rFont val="Tahoma"/>
            <family val="2"/>
          </rPr>
          <t>Wall Street Prep:</t>
        </r>
        <r>
          <rPr>
            <sz val="9"/>
            <color indexed="81"/>
            <rFont val="Tahoma"/>
            <family val="2"/>
          </rPr>
          <t xml:space="preserve">
BMC projections per Merger Proxy, p.72</t>
        </r>
      </text>
    </comment>
    <comment ref="J103" authorId="0" shapeId="0" xr:uid="{00000000-0006-0000-0000-000034000000}">
      <text>
        <r>
          <rPr>
            <b/>
            <sz val="9"/>
            <color indexed="81"/>
            <rFont val="Tahoma"/>
            <family val="2"/>
          </rPr>
          <t>Wall Street Prep:</t>
        </r>
        <r>
          <rPr>
            <sz val="9"/>
            <color indexed="81"/>
            <rFont val="Tahoma"/>
            <family val="2"/>
          </rPr>
          <t xml:space="preserve">
BMC projections per Merger Proxy, p.72</t>
        </r>
      </text>
    </comment>
    <comment ref="D105" authorId="0" shapeId="0" xr:uid="{00000000-0006-0000-0000-000035000000}">
      <text>
        <r>
          <rPr>
            <b/>
            <sz val="9"/>
            <color indexed="81"/>
            <rFont val="Tahoma"/>
            <family val="2"/>
          </rPr>
          <t>Wall Street Prep:</t>
        </r>
        <r>
          <rPr>
            <sz val="9"/>
            <color indexed="81"/>
            <rFont val="Tahoma"/>
            <family val="2"/>
          </rPr>
          <t xml:space="preserve">
Includes goodwill, other assets </t>
        </r>
      </text>
    </comment>
    <comment ref="E105" authorId="0" shapeId="0" xr:uid="{00000000-0006-0000-0000-000036000000}">
      <text>
        <r>
          <rPr>
            <b/>
            <sz val="9"/>
            <color indexed="81"/>
            <rFont val="Tahoma"/>
            <family val="2"/>
          </rPr>
          <t>Wall Street Prep:</t>
        </r>
        <r>
          <rPr>
            <sz val="9"/>
            <color indexed="81"/>
            <rFont val="Tahoma"/>
            <family val="2"/>
          </rPr>
          <t xml:space="preserve">
Includes goodwill, other assets </t>
        </r>
      </text>
    </comment>
    <comment ref="F142" authorId="0" shapeId="0" xr:uid="{00000000-0006-0000-0000-000037000000}">
      <text>
        <r>
          <rPr>
            <b/>
            <sz val="9"/>
            <color indexed="81"/>
            <rFont val="Tahoma"/>
            <family val="2"/>
          </rPr>
          <t>Wall Street Prep:</t>
        </r>
        <r>
          <rPr>
            <sz val="9"/>
            <color indexed="81"/>
            <rFont val="Tahoma"/>
            <family val="2"/>
          </rPr>
          <t xml:space="preserve">
There is a slight error here. We should have used the average of the current period's BOP and EOP balances:
=IF($D$10="OFF",AVERAGE(F138,F140)*F141,0)
Normally you can get away with this because the prior period EOP is the same as the current period BOP but they are not the same in this case, which is leading us overestimate interest income in the first year.
We will catch and correct the error when we forecast interest expense in a subsequent video </t>
        </r>
        <r>
          <rPr>
            <b/>
            <sz val="9"/>
            <color indexed="81"/>
            <rFont val="Tahoma"/>
            <family val="2"/>
          </rPr>
          <t>but have kept the incorrect formula in here so that your numbers match those in the video.</t>
        </r>
      </text>
    </comment>
    <comment ref="E162" authorId="0" shapeId="0" xr:uid="{00000000-0006-0000-0000-000038000000}">
      <text>
        <r>
          <rPr>
            <b/>
            <sz val="9"/>
            <color indexed="81"/>
            <rFont val="Tahoma"/>
            <family val="2"/>
          </rPr>
          <t>Wall Street Prep:</t>
        </r>
        <r>
          <rPr>
            <sz val="9"/>
            <color indexed="81"/>
            <rFont val="Tahoma"/>
            <family val="2"/>
          </rPr>
          <t xml:space="preserve">
% of available cash to be used.</t>
        </r>
      </text>
    </comment>
    <comment ref="E170" authorId="0" shapeId="0" xr:uid="{00000000-0006-0000-0000-000039000000}">
      <text>
        <r>
          <rPr>
            <b/>
            <sz val="9"/>
            <color indexed="81"/>
            <rFont val="Tahoma"/>
            <family val="2"/>
          </rPr>
          <t>Wall Street Prep:</t>
        </r>
        <r>
          <rPr>
            <sz val="9"/>
            <color indexed="81"/>
            <rFont val="Tahoma"/>
            <family val="2"/>
          </rPr>
          <t xml:space="preserve">
% of available cash to be used.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Wall Street Prep</author>
  </authors>
  <commentList>
    <comment ref="E5" authorId="0" shapeId="0" xr:uid="{00000000-0006-0000-0100-000001000000}">
      <text>
        <r>
          <rPr>
            <b/>
            <sz val="9"/>
            <color indexed="81"/>
            <rFont val="Tahoma"/>
            <family val="2"/>
          </rPr>
          <t>Wall Street Prep:</t>
        </r>
        <r>
          <rPr>
            <sz val="9"/>
            <color indexed="81"/>
            <rFont val="Tahoma"/>
            <family val="2"/>
          </rPr>
          <t xml:space="preserve">
Hard-code to avoid circularity when offer price is derived from an explicit EBITDA multiple assumption.
</t>
        </r>
        <r>
          <rPr>
            <i/>
            <sz val="9"/>
            <color indexed="81"/>
            <rFont val="Tahoma"/>
            <family val="2"/>
          </rPr>
          <t>Deeper dive</t>
        </r>
        <r>
          <rPr>
            <b/>
            <sz val="9"/>
            <color indexed="81"/>
            <rFont val="Tahoma"/>
            <family val="2"/>
          </rPr>
          <t xml:space="preserve">
</t>
        </r>
        <r>
          <rPr>
            <sz val="9"/>
            <color indexed="81"/>
            <rFont val="Tahoma"/>
            <family val="2"/>
          </rPr>
          <t>The circularity exists because for a given offer value, the more shares will lead to lower offer price per share, while the now lower offer price per share leads to fewer repurchases and a larger dilutive impact/share count, once again lowering the offer price per share and on and on...</t>
        </r>
      </text>
    </comment>
    <comment ref="C25" authorId="0" shapeId="0" xr:uid="{00000000-0006-0000-0100-000002000000}">
      <text>
        <r>
          <rPr>
            <b/>
            <sz val="9"/>
            <color indexed="81"/>
            <rFont val="Tahoma"/>
            <family val="2"/>
          </rPr>
          <t>Wall Street Prep:</t>
        </r>
        <r>
          <rPr>
            <sz val="9"/>
            <color indexed="81"/>
            <rFont val="Tahoma"/>
            <family val="2"/>
          </rPr>
          <t xml:space="preserve">
This tranche represents all unvested options - these typically vest upon a change of control.</t>
        </r>
      </text>
    </comment>
    <comment ref="D25" authorId="0" shapeId="0" xr:uid="{00000000-0006-0000-0100-000003000000}">
      <text>
        <r>
          <rPr>
            <b/>
            <sz val="9"/>
            <color indexed="81"/>
            <rFont val="Tahoma"/>
            <family val="2"/>
          </rPr>
          <t>Wall Street Prep:</t>
        </r>
        <r>
          <rPr>
            <sz val="9"/>
            <color indexed="81"/>
            <rFont val="Tahoma"/>
            <family val="2"/>
          </rPr>
          <t xml:space="preserve">
This tranche represents all unvested options - these typically vest upon a change of control.</t>
        </r>
      </text>
    </comment>
  </commentList>
</comments>
</file>

<file path=xl/sharedStrings.xml><?xml version="1.0" encoding="utf-8"?>
<sst xmlns="http://schemas.openxmlformats.org/spreadsheetml/2006/main" count="209" uniqueCount="179">
  <si>
    <t>$ mm except per share</t>
  </si>
  <si>
    <t>Company name</t>
  </si>
  <si>
    <t>Circuit breaker:</t>
  </si>
  <si>
    <t>OFF</t>
  </si>
  <si>
    <t>INCOME STATEMENT</t>
  </si>
  <si>
    <t xml:space="preserve">Fiscal year  </t>
  </si>
  <si>
    <t>Fiscal year end date</t>
  </si>
  <si>
    <t>Revenue</t>
  </si>
  <si>
    <t>Cost of sales (enter as -)</t>
  </si>
  <si>
    <t>Gross Profit</t>
  </si>
  <si>
    <t>Research &amp; development (enter as -)</t>
  </si>
  <si>
    <t>Selling, general &amp; administrative (enter as -)</t>
  </si>
  <si>
    <t>Operating profit (EBIT)</t>
  </si>
  <si>
    <t>Interest income</t>
  </si>
  <si>
    <t>Interest expense (enter as -)</t>
  </si>
  <si>
    <t>Pretax profit</t>
  </si>
  <si>
    <t>Taxes (enter expense as -)</t>
  </si>
  <si>
    <t>Net income</t>
  </si>
  <si>
    <t>Diluted shares outstanding</t>
  </si>
  <si>
    <t>Growth rates &amp; margins</t>
  </si>
  <si>
    <t>Revenue growth</t>
  </si>
  <si>
    <t>NA</t>
  </si>
  <si>
    <t>Gross profit as % of sales</t>
  </si>
  <si>
    <t>R&amp;D margin</t>
  </si>
  <si>
    <t>SG&amp;A margin</t>
  </si>
  <si>
    <t>Tax rate</t>
  </si>
  <si>
    <t>Stock based compensation</t>
  </si>
  <si>
    <t>EBITDA</t>
  </si>
  <si>
    <t>Revolver</t>
  </si>
  <si>
    <t>WORKING CAPITAL</t>
  </si>
  <si>
    <t>Increases / (decreases)</t>
  </si>
  <si>
    <t>AR as % of sales</t>
  </si>
  <si>
    <t>AP as % of COGS</t>
  </si>
  <si>
    <t>SBC as % of all operating expenses</t>
  </si>
  <si>
    <t>CASH FLOW STATEMENT</t>
  </si>
  <si>
    <t>Depreciation and amortization</t>
  </si>
  <si>
    <t>Cash from operating activities</t>
  </si>
  <si>
    <t>Capital expenditures</t>
  </si>
  <si>
    <t>Cash from investing activities</t>
  </si>
  <si>
    <t>Net change in cash during period</t>
  </si>
  <si>
    <t>Maximum availability</t>
  </si>
  <si>
    <t>Compliance check</t>
  </si>
  <si>
    <t>Less: Minimum cash desired</t>
  </si>
  <si>
    <t>Equals: Excess cash at BOP</t>
  </si>
  <si>
    <t>Plus: Free cash flows generated during period</t>
  </si>
  <si>
    <t>Cash</t>
  </si>
  <si>
    <t>Interest rate on cash</t>
  </si>
  <si>
    <t>Total proceeds ($mm)</t>
  </si>
  <si>
    <t>Total shares repurchased (mm)</t>
  </si>
  <si>
    <t>Net dilutive options</t>
  </si>
  <si>
    <t xml:space="preserve">Dilutive impact of shares from other securities </t>
  </si>
  <si>
    <t>Net diluted shares outstanding</t>
  </si>
  <si>
    <t>x</t>
  </si>
  <si>
    <t>Enterprise value</t>
  </si>
  <si>
    <t>Exercise price</t>
  </si>
  <si>
    <t>In-the-money exercisable options</t>
  </si>
  <si>
    <t>High</t>
  </si>
  <si>
    <t>Low</t>
  </si>
  <si>
    <t>52 week high low</t>
  </si>
  <si>
    <t>52 week high</t>
  </si>
  <si>
    <t>52 week low</t>
  </si>
  <si>
    <t>Date</t>
  </si>
  <si>
    <t>Open</t>
  </si>
  <si>
    <t>Close</t>
  </si>
  <si>
    <t>Volume</t>
  </si>
  <si>
    <t>LTM EBITDA</t>
  </si>
  <si>
    <t>Offer value</t>
  </si>
  <si>
    <t>Buyout of equity</t>
  </si>
  <si>
    <t>Excess cash</t>
  </si>
  <si>
    <t>Refinancing of oldco debt</t>
  </si>
  <si>
    <t>Sponsor equity</t>
  </si>
  <si>
    <t>Total Uses</t>
  </si>
  <si>
    <t>Accrued expenses &amp; def revenues, EOP</t>
  </si>
  <si>
    <t>Accounts payable, EOP</t>
  </si>
  <si>
    <t>Accounts receivable, EOP</t>
  </si>
  <si>
    <t>Amortization</t>
  </si>
  <si>
    <t>Depreciation</t>
  </si>
  <si>
    <t>PP&amp;E</t>
  </si>
  <si>
    <t>Changes in net working capital</t>
  </si>
  <si>
    <t>Other liabilities</t>
  </si>
  <si>
    <t>As % of sales</t>
  </si>
  <si>
    <t>Mandatory amortization $</t>
  </si>
  <si>
    <t>Term Loan A</t>
  </si>
  <si>
    <t>Term Loan B</t>
  </si>
  <si>
    <t>Senior Note</t>
  </si>
  <si>
    <t>Sub Note</t>
  </si>
  <si>
    <t>Term Loan A, BOP</t>
  </si>
  <si>
    <t>Term Loan B, BOP</t>
  </si>
  <si>
    <t>Term Loan B, EOP</t>
  </si>
  <si>
    <t>Term Loan A, EOP</t>
  </si>
  <si>
    <t>Senior Note, EOP</t>
  </si>
  <si>
    <t>Senior Note, BOP</t>
  </si>
  <si>
    <t>Sub Note, EOP</t>
  </si>
  <si>
    <t>Sub Note, BOP</t>
  </si>
  <si>
    <t>Required debt principal payments</t>
  </si>
  <si>
    <t>Mandatory paydown $</t>
  </si>
  <si>
    <t>Post-revolver cash flows</t>
  </si>
  <si>
    <t>Cash sweep (paydown from excess cash flows)</t>
  </si>
  <si>
    <t>Discretionary Term A paydown</t>
  </si>
  <si>
    <t>Pre-revolver cash flows</t>
  </si>
  <si>
    <t>Discretionary Term B paydown</t>
  </si>
  <si>
    <t>Cash, BOP</t>
  </si>
  <si>
    <t>Cash, EOP</t>
  </si>
  <si>
    <t>CASH &amp; DEBT</t>
  </si>
  <si>
    <t>Revolver, BOP</t>
  </si>
  <si>
    <t>Revolver, EOP</t>
  </si>
  <si>
    <t xml:space="preserve">Cash, BOP </t>
  </si>
  <si>
    <t>Cash available (needed) to paydown (draw from) revolver</t>
  </si>
  <si>
    <t>Preferred stock</t>
  </si>
  <si>
    <t>Mandatory paydown (% of original)</t>
  </si>
  <si>
    <t>EV / LTM EBITDA</t>
  </si>
  <si>
    <t>Offer value / per share</t>
  </si>
  <si>
    <t>% Premium / discount</t>
  </si>
  <si>
    <t>Ticker (if applicable)</t>
  </si>
  <si>
    <t>Current share price (if applicable)</t>
  </si>
  <si>
    <t>GENERAL INPUTS</t>
  </si>
  <si>
    <t>INITIAL VALUATION</t>
  </si>
  <si>
    <t>Net Working Capital</t>
  </si>
  <si>
    <t>Other assets &amp; liabilities</t>
  </si>
  <si>
    <t>EBITDA turns</t>
  </si>
  <si>
    <t>$ investment</t>
  </si>
  <si>
    <t>Total Sources</t>
  </si>
  <si>
    <t>Cash available for cash sweep</t>
  </si>
  <si>
    <t>Step</t>
  </si>
  <si>
    <t>PIK interest</t>
  </si>
  <si>
    <t>Addback of PIK interest</t>
  </si>
  <si>
    <t>SOURCES OF FUNDS</t>
  </si>
  <si>
    <t>USES OF FUNDS</t>
  </si>
  <si>
    <t>Depreciation as a % of capex</t>
  </si>
  <si>
    <t>Mgmt rollover</t>
  </si>
  <si>
    <t>Yes</t>
  </si>
  <si>
    <t>Preferred dividend (cash)</t>
  </si>
  <si>
    <t>Cash sweep</t>
  </si>
  <si>
    <t>% of available cash used</t>
  </si>
  <si>
    <t>BMC</t>
  </si>
  <si>
    <t>Other non-operating expense (enter as -)</t>
  </si>
  <si>
    <t>Restructuring and other nonrecurring charges</t>
  </si>
  <si>
    <t>Other current assets, EOP</t>
  </si>
  <si>
    <t>Other current assets as % of sales</t>
  </si>
  <si>
    <t>EBIT (GAAP)</t>
  </si>
  <si>
    <t>EBITDA reconciliation</t>
  </si>
  <si>
    <t>Purchases</t>
  </si>
  <si>
    <t>Purchases as % of revenue</t>
  </si>
  <si>
    <t>Amortization as a % of purchases</t>
  </si>
  <si>
    <t>Smoothing?</t>
  </si>
  <si>
    <t>Intangible assets</t>
  </si>
  <si>
    <t>LONG LIVED ASSETS</t>
  </si>
  <si>
    <t>Capex as a % of revenue</t>
  </si>
  <si>
    <t>Offer price</t>
  </si>
  <si>
    <t>Out. shares</t>
  </si>
  <si>
    <t>In-the-$-shares</t>
  </si>
  <si>
    <t>Plus: Cash (latest filing)</t>
  </si>
  <si>
    <t>Basic shares outstanding (latest filing)</t>
  </si>
  <si>
    <t>Less: Gross Debt (latest filing)</t>
  </si>
  <si>
    <t>Using mangement projections provided by BMC in Merger Proxy, p.72</t>
  </si>
  <si>
    <t>Latest closing share price date (f applicable)</t>
  </si>
  <si>
    <t>Select a valuation approach:</t>
  </si>
  <si>
    <t>EV / LTM EBITDA multiple at exit</t>
  </si>
  <si>
    <t>Explicit EBITDA</t>
  </si>
  <si>
    <t>Explicit offer/share</t>
  </si>
  <si>
    <t>Software development costs</t>
  </si>
  <si>
    <t>Goodwill and other assets</t>
  </si>
  <si>
    <t xml:space="preserve">Purchases of intangible assets and capitalized software development costs </t>
  </si>
  <si>
    <t>Financing fees</t>
  </si>
  <si>
    <t>Term</t>
  </si>
  <si>
    <t>% fees</t>
  </si>
  <si>
    <t>Fee amort / year</t>
  </si>
  <si>
    <t>Options outstanding</t>
  </si>
  <si>
    <t>EBITDA (LTM)</t>
  </si>
  <si>
    <t>Minimum cash desired</t>
  </si>
  <si>
    <t xml:space="preserve">SELECT FINANCIAL DATA / ASSMUPTIONS </t>
  </si>
  <si>
    <t>FEES</t>
  </si>
  <si>
    <t>% of offer value</t>
  </si>
  <si>
    <t>Fee</t>
  </si>
  <si>
    <t>Trans. fees</t>
  </si>
  <si>
    <t>Fees (transaction &amp; financing)</t>
  </si>
  <si>
    <t>Gross Debt (input as a -)</t>
  </si>
  <si>
    <t>% AR</t>
  </si>
  <si>
    <t>% Other Assets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</si>
</sst>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7">
    <numFmt numFmtId="5" formatCode="&quot;$&quot;#,##0_);\(&quot;$&quot;#,##0\)"/>
    <numFmt numFmtId="6" formatCode="&quot;$&quot;#,##0_);[Red]\(&quot;$&quot;#,##0\)"/>
    <numFmt numFmtId="7" formatCode="&quot;$&quot;#,##0.00_);\(&quot;$&quot;#,##0.00\)"/>
    <numFmt numFmtId="8" formatCode="&quot;$&quot;#,##0.00_);[Red]\(&quot;$&quot;#,##0.00\)"/>
    <numFmt numFmtId="43" formatCode="_(* #,##0.00_);_(* \(#,##0.00\);_(* &quot;-&quot;??_);_(@_)"/>
    <numFmt numFmtId="164" formatCode="&quot;$&quot;#,##0.00_);\(&quot;$&quot;#,##0.00\);@_)"/>
    <numFmt numFmtId="165" formatCode="#,##0.0_);\(#,##0.0\);@_)"/>
    <numFmt numFmtId="166" formatCode="0\A;[Red]0\A"/>
    <numFmt numFmtId="167" formatCode="0\P_);\(0\P\)"/>
    <numFmt numFmtId="168" formatCode="m/d/yy;@"/>
    <numFmt numFmtId="169" formatCode="0.0%_);\(0.0%\);@_)"/>
    <numFmt numFmtId="170" formatCode="0.0%"/>
    <numFmt numFmtId="171" formatCode="&quot;$&quot;#,##0.0_);\(&quot;$&quot;#,##0.0\)"/>
    <numFmt numFmtId="172" formatCode="#,##0.000_);\(#,##0.000\)"/>
    <numFmt numFmtId="173" formatCode="0.00%_);\(0.00%\);@_)"/>
    <numFmt numFmtId="174" formatCode="0%_);\(0%\);@_)"/>
    <numFmt numFmtId="175" formatCode="#,##0.00_);\(#,##0\)"/>
    <numFmt numFmtId="176" formatCode="#,##0.0%_);\(#,##0.0%\)"/>
    <numFmt numFmtId="177" formatCode="0.0\ \x"/>
    <numFmt numFmtId="178" formatCode="#,##0.00\ ;\(#,##0.00\)"/>
    <numFmt numFmtId="179" formatCode="&quot;$&quot;#,##0.00\ ;\(&quot;$&quot;#,##0.00\)"/>
    <numFmt numFmtId="180" formatCode="0.0%_);\(0.0%\)"/>
    <numFmt numFmtId="181" formatCode="0.000\ \x&quot;rate&quot;"/>
    <numFmt numFmtId="182" formatCode="#,##0.000_);[Red]\(#,##0.000\)"/>
    <numFmt numFmtId="183" formatCode="0.00_);\(0.00\);0.00"/>
    <numFmt numFmtId="184" formatCode="\C&quot;$&quot;#,##0.00_);[Red]\(&quot;$&quot;#,##0.00\)"/>
    <numFmt numFmtId="185" formatCode="#,##0%_);\(#,##0.0%\)"/>
    <numFmt numFmtId="186" formatCode="_(* #,##0.00000000_);_(* \(#,##0.00000000\);_(* &quot;-&quot;?_);_(@_)"/>
    <numFmt numFmtId="187" formatCode="mmm\-d\-yyyy"/>
    <numFmt numFmtId="188" formatCode="mmm\-yyyy"/>
    <numFmt numFmtId="189" formatCode="yyyy"/>
    <numFmt numFmtId="190" formatCode="0.00\x&quot;rate&quot;"/>
    <numFmt numFmtId="191" formatCode="0.0&quot;  &quot;"/>
    <numFmt numFmtId="192" formatCode="&quot;$&quot;#,##0.0\ ;[Red]\(&quot;$&quot;#,##0\)"/>
    <numFmt numFmtId="193" formatCode="_(&quot;$&quot;* #,##0.00_);_(&quot;$&quot;* \(#,##0.00\);_(&quot;$&quot;* &quot;-&quot;?_);_(@_)"/>
    <numFmt numFmtId="194" formatCode="&quot;$&quot;#,##0.000_);[Red]\(&quot;$&quot;#,##0.000\)"/>
    <numFmt numFmtId="195" formatCode="&quot;$&quot;#,##0.00&quot;A&quot;;[Red]\(&quot;$&quot;#,##0.00\)&quot;A&quot;"/>
    <numFmt numFmtId="196" formatCode="#,##0.0\ ;[Red]\(&quot;$&quot;#,##0\)"/>
    <numFmt numFmtId="197" formatCode="&quot;$&quot;#,##0.00&quot;E&quot;;[Red]\(&quot;$&quot;#,##0.00\)&quot;E&quot;"/>
    <numFmt numFmtId="198" formatCode="_([$€-2]* #,##0.00_);_([$€-2]* \(#,##0.00\);_([$€-2]* &quot;-&quot;??_)"/>
    <numFmt numFmtId="199" formatCode="#,##0.00;\(#,##0.00\)"/>
    <numFmt numFmtId="200" formatCode=".%\,\(0.0%%;\t"/>
    <numFmt numFmtId="201" formatCode="#,##0.0_);[Red]\(#,##0.0\)"/>
    <numFmt numFmtId="202" formatCode="0.0%_);[Red]\(0.0%\)"/>
    <numFmt numFmtId="203" formatCode="0.00_);\(0.00\);0.00_)"/>
    <numFmt numFmtId="204" formatCode="#,##0\x"/>
    <numFmt numFmtId="205" formatCode="&quot;TKR&quot;\ 0"/>
    <numFmt numFmtId="206" formatCode=".%\,\(0.%%;\t"/>
    <numFmt numFmtId="207" formatCode="&quot;$&quot;#,###.0\ \ "/>
    <numFmt numFmtId="208" formatCode="#,##0.00\x_);[Red]\(#,##0.00\x\)"/>
    <numFmt numFmtId="209" formatCode="#,##0.0_);\(#,##0.0\)"/>
    <numFmt numFmtId="210" formatCode="#,##0.00\x_);[Red]\(#,##0.00\x\);&quot;--  &quot;"/>
    <numFmt numFmtId="211" formatCode="_(* #,##0.0_);_(* \(#,##0.0\);_(* &quot;-&quot;??_);_(@_)"/>
    <numFmt numFmtId="212" formatCode="0.0\x_);[Red]\(0.0\x\)"/>
    <numFmt numFmtId="213" formatCode="0.0\ "/>
    <numFmt numFmtId="214" formatCode="&quot;$&quot;#,##0.0;\(&quot;$&quot;#,##0.00\)"/>
    <numFmt numFmtId="215" formatCode="#,##0.00%_);\(#,##0.00%\)"/>
    <numFmt numFmtId="216" formatCode="0.00\%;\-0.00\%;0.00\%"/>
    <numFmt numFmtId="217" formatCode="0.0%\ ;\(0.0%\)"/>
    <numFmt numFmtId="218" formatCode="_(&quot;$&quot;* #,##0_);_(&quot;$&quot;* \(#,##0\);_(&quot;$&quot;* &quot;-&quot;??_);_(@_)"/>
    <numFmt numFmtId="219" formatCode="&quot;$&quot;0.00\ "/>
    <numFmt numFmtId="220" formatCode="0.0\ \ \ \ \ "/>
    <numFmt numFmtId="221" formatCode="0.00\x;\-0.00\x;0.00\x"/>
    <numFmt numFmtId="222" formatCode="&quot;$&quot;#,##0.000_);\(&quot;$&quot;#,##0.000\)"/>
    <numFmt numFmtId="223" formatCode="#,##0.0_);\(#,##0.0\);_(* &quot;-&quot;_)"/>
    <numFmt numFmtId="224" formatCode="_(&quot;$&quot;* #,##0.00_);_(&quot;$&quot;* \(#,##0.00\);_(* &quot;-&quot;_);_(@_)"/>
    <numFmt numFmtId="225" formatCode="0.00%_);[Red]\(0.00%\)"/>
    <numFmt numFmtId="226" formatCode="#,##0.0\x_);\(#,##0.0\x\)"/>
    <numFmt numFmtId="227" formatCode="#,##0.00\x_);\(#,##0.00\x\)"/>
    <numFmt numFmtId="228" formatCode="###0&quot;E&quot;_)"/>
    <numFmt numFmtId="229" formatCode="0.0\x_);\(0.0\x\);@_)"/>
    <numFmt numFmtId="230" formatCode="0.00\x__"/>
    <numFmt numFmtId="231" formatCode="#,##0.00_);\(#,##0.00\);@_)"/>
    <numFmt numFmtId="232" formatCode="&quot;Approach&quot;\ 0"/>
    <numFmt numFmtId="233" formatCode="0.0"/>
    <numFmt numFmtId="234" formatCode="0\ &quot;yrs&quot;"/>
    <numFmt numFmtId="235" formatCode="&quot;Tranche&quot;\ 0"/>
  </numFmts>
  <fonts count="83">
    <font>
      <sz val="11"/>
      <color theme="1"/>
      <name val="Calibri"/>
      <family val="2"/>
      <scheme val="minor"/>
    </font>
    <font>
      <b/>
      <sz val="11"/>
      <color theme="1"/>
      <name val="Calibri"/>
      <family val="2"/>
      <scheme val="minor"/>
    </font>
    <font>
      <b/>
      <sz val="20"/>
      <color theme="1"/>
      <name val="Calibri"/>
      <family val="2"/>
      <scheme val="minor"/>
    </font>
    <font>
      <i/>
      <sz val="11"/>
      <color rgb="FF000000"/>
      <name val="Calibri"/>
      <family val="2"/>
      <scheme val="minor"/>
    </font>
    <font>
      <sz val="11"/>
      <color rgb="FF000000"/>
      <name val="Calibri"/>
      <family val="2"/>
      <scheme val="minor"/>
    </font>
    <font>
      <sz val="11"/>
      <color rgb="FF0000FF"/>
      <name val="Calibri"/>
      <family val="2"/>
      <scheme val="minor"/>
    </font>
    <font>
      <b/>
      <sz val="11"/>
      <color rgb="FF000000"/>
      <name val="Calibri"/>
      <family val="2"/>
      <scheme val="minor"/>
    </font>
    <font>
      <b/>
      <sz val="11"/>
      <color rgb="FF0000FF"/>
      <name val="Calibri"/>
      <family val="2"/>
      <scheme val="minor"/>
    </font>
    <font>
      <b/>
      <sz val="9"/>
      <color indexed="81"/>
      <name val="Tahoma"/>
      <family val="2"/>
    </font>
    <font>
      <sz val="9"/>
      <color indexed="81"/>
      <name val="Tahoma"/>
      <family val="2"/>
    </font>
    <font>
      <sz val="10"/>
      <name val="GillSans"/>
    </font>
    <font>
      <sz val="8"/>
      <color indexed="49"/>
      <name val="Times New Roman"/>
      <family val="1"/>
    </font>
    <font>
      <sz val="10"/>
      <name val="Arial"/>
      <family val="2"/>
    </font>
    <font>
      <sz val="10"/>
      <name val="Trebuchet MS"/>
      <family val="2"/>
    </font>
    <font>
      <sz val="11"/>
      <color indexed="8"/>
      <name val="Calibri"/>
      <family val="2"/>
    </font>
    <font>
      <sz val="11"/>
      <color indexed="9"/>
      <name val="Calibri"/>
      <family val="2"/>
    </font>
    <font>
      <sz val="11"/>
      <color indexed="20"/>
      <name val="Calibri"/>
      <family val="2"/>
    </font>
    <font>
      <sz val="8"/>
      <name val="Times New Roman"/>
      <family val="1"/>
    </font>
    <font>
      <sz val="10"/>
      <name val="Times New Roman"/>
      <family val="1"/>
    </font>
    <font>
      <b/>
      <sz val="18"/>
      <name val="Tms Rmn"/>
    </font>
    <font>
      <b/>
      <sz val="11"/>
      <color indexed="52"/>
      <name val="Calibri"/>
      <family val="2"/>
    </font>
    <font>
      <b/>
      <sz val="11"/>
      <color indexed="9"/>
      <name val="Calibri"/>
      <family val="2"/>
    </font>
    <font>
      <b/>
      <sz val="7"/>
      <name val="GillSans"/>
    </font>
    <font>
      <sz val="10"/>
      <name val="Geneva"/>
    </font>
    <font>
      <sz val="24"/>
      <name val="Arial"/>
      <family val="2"/>
    </font>
    <font>
      <sz val="8"/>
      <name val="Arial"/>
      <family val="2"/>
    </font>
    <font>
      <sz val="10"/>
      <name val="Helvetica"/>
      <family val="2"/>
    </font>
    <font>
      <b/>
      <sz val="8"/>
      <name val="Arial"/>
      <family val="2"/>
    </font>
    <font>
      <b/>
      <sz val="8"/>
      <name val="Times New Roman"/>
      <family val="1"/>
    </font>
    <font>
      <i/>
      <sz val="11"/>
      <color indexed="23"/>
      <name val="Calibri"/>
      <family val="2"/>
    </font>
    <font>
      <sz val="11"/>
      <color indexed="17"/>
      <name val="Calibri"/>
      <family val="2"/>
    </font>
    <font>
      <i/>
      <sz val="8"/>
      <color indexed="17"/>
      <name val="Times New Roman"/>
      <family val="1"/>
    </font>
    <font>
      <sz val="8"/>
      <color indexed="21"/>
      <name val="Arial"/>
      <family val="2"/>
    </font>
    <font>
      <b/>
      <sz val="15"/>
      <color indexed="56"/>
      <name val="Calibri"/>
      <family val="2"/>
    </font>
    <font>
      <b/>
      <sz val="13"/>
      <color indexed="56"/>
      <name val="Calibri"/>
      <family val="2"/>
    </font>
    <font>
      <b/>
      <sz val="11"/>
      <color indexed="56"/>
      <name val="Calibri"/>
      <family val="2"/>
    </font>
    <font>
      <sz val="10"/>
      <color indexed="12"/>
      <name val="Trebuchet MS"/>
      <family val="2"/>
    </font>
    <font>
      <sz val="10"/>
      <name val="MS Sans Serif"/>
      <family val="2"/>
    </font>
    <font>
      <sz val="11"/>
      <color indexed="62"/>
      <name val="Calibri"/>
      <family val="2"/>
    </font>
    <font>
      <b/>
      <sz val="10"/>
      <color indexed="9"/>
      <name val="Tms Rmn"/>
    </font>
    <font>
      <b/>
      <sz val="10"/>
      <name val="Arial"/>
      <family val="2"/>
    </font>
    <font>
      <sz val="11"/>
      <color indexed="52"/>
      <name val="Calibri"/>
      <family val="2"/>
    </font>
    <font>
      <sz val="8"/>
      <color indexed="18"/>
      <name val="Times New Roman"/>
      <family val="1"/>
    </font>
    <font>
      <sz val="11"/>
      <color indexed="60"/>
      <name val="Calibri"/>
      <family val="2"/>
    </font>
    <font>
      <b/>
      <sz val="11"/>
      <color indexed="63"/>
      <name val="Calibri"/>
      <family val="2"/>
    </font>
    <font>
      <sz val="10"/>
      <name val="Palatino"/>
    </font>
    <font>
      <sz val="12"/>
      <name val="Baskerville MT"/>
    </font>
    <font>
      <u/>
      <sz val="10"/>
      <name val="GillSans"/>
      <family val="2"/>
    </font>
    <font>
      <sz val="10"/>
      <name val="GillSans Light"/>
    </font>
    <font>
      <b/>
      <sz val="12"/>
      <name val="Arial"/>
      <family val="2"/>
    </font>
    <font>
      <b/>
      <sz val="16"/>
      <name val="Arial"/>
      <family val="2"/>
    </font>
    <font>
      <sz val="8"/>
      <name val="MS Sans Serif"/>
      <family val="2"/>
    </font>
    <font>
      <sz val="8.25"/>
      <color indexed="8"/>
      <name val="Arial"/>
      <family val="2"/>
    </font>
    <font>
      <b/>
      <u val="singleAccounting"/>
      <sz val="8"/>
      <color indexed="8"/>
      <name val="Arial"/>
      <family val="2"/>
    </font>
    <font>
      <sz val="8"/>
      <color indexed="8"/>
      <name val="Arial"/>
      <family val="2"/>
    </font>
    <font>
      <sz val="8"/>
      <color indexed="39"/>
      <name val="Arial"/>
      <family val="2"/>
    </font>
    <font>
      <sz val="7"/>
      <name val="Times New Roman"/>
      <family val="1"/>
    </font>
    <font>
      <sz val="7"/>
      <color indexed="17"/>
      <name val="Times New Roman"/>
      <family val="1"/>
    </font>
    <font>
      <sz val="7"/>
      <color indexed="18"/>
      <name val="Times New Roman"/>
      <family val="1"/>
    </font>
    <font>
      <b/>
      <sz val="12"/>
      <name val="GillSans"/>
      <family val="2"/>
    </font>
    <font>
      <b/>
      <sz val="18"/>
      <color indexed="56"/>
      <name val="Cambria"/>
      <family val="2"/>
    </font>
    <font>
      <b/>
      <sz val="11"/>
      <name val="GillSans"/>
    </font>
    <font>
      <b/>
      <sz val="8"/>
      <color indexed="18"/>
      <name val="Times New Roman"/>
      <family val="1"/>
    </font>
    <font>
      <i/>
      <sz val="8"/>
      <name val="Times New Roman"/>
      <family val="1"/>
    </font>
    <font>
      <u/>
      <sz val="11"/>
      <name val="GillSans"/>
      <family val="2"/>
    </font>
    <font>
      <b/>
      <sz val="11"/>
      <color indexed="8"/>
      <name val="Calibri"/>
      <family val="2"/>
    </font>
    <font>
      <sz val="11"/>
      <color indexed="10"/>
      <name val="Calibri"/>
      <family val="2"/>
    </font>
    <font>
      <b/>
      <sz val="11"/>
      <color rgb="FF008000"/>
      <name val="Calibri"/>
      <family val="2"/>
      <scheme val="minor"/>
    </font>
    <font>
      <i/>
      <sz val="11"/>
      <color theme="1"/>
      <name val="Calibri"/>
      <family val="2"/>
      <scheme val="minor"/>
    </font>
    <font>
      <i/>
      <sz val="11"/>
      <color rgb="FF0000FF"/>
      <name val="Calibri"/>
      <family val="2"/>
      <scheme val="minor"/>
    </font>
    <font>
      <u/>
      <sz val="11"/>
      <color theme="1"/>
      <name val="Calibri"/>
      <family val="2"/>
      <scheme val="minor"/>
    </font>
    <font>
      <sz val="11"/>
      <color rgb="FF008000"/>
      <name val="Calibri"/>
      <family val="2"/>
      <scheme val="minor"/>
    </font>
    <font>
      <i/>
      <sz val="11"/>
      <color rgb="FF008000"/>
      <name val="Calibri"/>
      <family val="2"/>
      <scheme val="minor"/>
    </font>
    <font>
      <b/>
      <sz val="13"/>
      <color theme="1"/>
      <name val="Calibri"/>
      <family val="2"/>
      <scheme val="minor"/>
    </font>
    <font>
      <u val="singleAccounting"/>
      <sz val="10"/>
      <color theme="1"/>
      <name val="Calibri"/>
      <family val="2"/>
      <scheme val="minor"/>
    </font>
    <font>
      <b/>
      <i/>
      <sz val="11"/>
      <color theme="1"/>
      <name val="Calibri"/>
      <family val="2"/>
      <scheme val="minor"/>
    </font>
    <font>
      <i/>
      <sz val="11"/>
      <color indexed="12"/>
      <name val="Calibri"/>
      <family val="2"/>
      <scheme val="minor"/>
    </font>
    <font>
      <i/>
      <sz val="10"/>
      <color theme="1"/>
      <name val="Calibri"/>
      <family val="2"/>
      <scheme val="minor"/>
    </font>
    <font>
      <b/>
      <sz val="11"/>
      <color rgb="FFFF0000"/>
      <name val="Calibri"/>
      <family val="2"/>
      <scheme val="minor"/>
    </font>
    <font>
      <i/>
      <sz val="9"/>
      <color indexed="81"/>
      <name val="Tahoma"/>
      <family val="2"/>
    </font>
    <font>
      <i/>
      <sz val="11"/>
      <color indexed="8"/>
      <name val="Calibri"/>
      <family val="2"/>
      <scheme val="minor"/>
    </font>
    <font>
      <b/>
      <i/>
      <sz val="11"/>
      <color indexed="8"/>
      <name val="Calibri"/>
      <family val="2"/>
      <scheme val="minor"/>
    </font>
    <font>
      <sz val="11"/>
      <color theme="1"/>
      <name val="Calibri"/>
      <family val="2"/>
      <scheme val="minor"/>
    </font>
  </fonts>
  <fills count="33">
    <fill>
      <patternFill patternType="none"/>
    </fill>
    <fill>
      <patternFill patternType="gray125"/>
    </fill>
    <fill>
      <patternFill patternType="solid">
        <fgColor indexed="22"/>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lightGray">
        <fgColor indexed="12"/>
      </patternFill>
    </fill>
    <fill>
      <patternFill patternType="solid">
        <fgColor indexed="26"/>
        <bgColor indexed="64"/>
      </patternFill>
    </fill>
    <fill>
      <patternFill patternType="solid">
        <fgColor indexed="15"/>
        <bgColor indexed="64"/>
      </patternFill>
    </fill>
    <fill>
      <patternFill patternType="solid">
        <fgColor indexed="43"/>
      </patternFill>
    </fill>
    <fill>
      <patternFill patternType="solid">
        <fgColor indexed="8"/>
        <bgColor indexed="64"/>
      </patternFill>
    </fill>
    <fill>
      <patternFill patternType="solid">
        <fgColor indexed="13"/>
        <bgColor indexed="64"/>
      </patternFill>
    </fill>
    <fill>
      <patternFill patternType="solid">
        <fgColor indexed="26"/>
      </patternFill>
    </fill>
    <fill>
      <patternFill patternType="solid">
        <fgColor indexed="61"/>
        <bgColor indexed="64"/>
      </patternFill>
    </fill>
    <fill>
      <patternFill patternType="solid">
        <fgColor rgb="FFFFFF99"/>
        <bgColor indexed="64"/>
      </patternFill>
    </fill>
    <fill>
      <patternFill patternType="solid">
        <fgColor rgb="FFC0C0C0"/>
        <bgColor indexed="64"/>
      </patternFill>
    </fill>
  </fills>
  <borders count="25">
    <border>
      <left/>
      <right/>
      <top/>
      <bottom/>
      <diagonal/>
    </border>
    <border>
      <left/>
      <right/>
      <top style="medium">
        <color rgb="FF000000"/>
      </top>
      <bottom style="medium">
        <color rgb="FF000000"/>
      </bottom>
      <diagonal/>
    </border>
    <border>
      <left/>
      <right/>
      <top/>
      <bottom style="thin">
        <color rgb="FF000000"/>
      </bottom>
      <diagonal/>
    </border>
    <border>
      <left/>
      <right/>
      <top/>
      <bottom style="medium">
        <color rgb="FF000000"/>
      </bottom>
      <diagonal/>
    </border>
    <border>
      <left style="thin">
        <color indexed="23"/>
      </left>
      <right style="thin">
        <color indexed="23"/>
      </right>
      <top style="thin">
        <color indexed="23"/>
      </top>
      <bottom style="thin">
        <color indexed="23"/>
      </bottom>
      <diagonal/>
    </border>
    <border>
      <left/>
      <right/>
      <top/>
      <bottom style="double">
        <color indexed="64"/>
      </bottom>
      <diagonal/>
    </border>
    <border>
      <left style="double">
        <color indexed="63"/>
      </left>
      <right style="double">
        <color indexed="63"/>
      </right>
      <top style="double">
        <color indexed="63"/>
      </top>
      <bottom style="double">
        <color indexed="63"/>
      </bottom>
      <diagonal/>
    </border>
    <border>
      <left/>
      <right/>
      <top/>
      <bottom style="thin">
        <color indexed="64"/>
      </bottom>
      <diagonal/>
    </border>
    <border>
      <left/>
      <right style="thin">
        <color indexed="64"/>
      </right>
      <top/>
      <bottom/>
      <diagonal/>
    </border>
    <border>
      <left style="thin">
        <color indexed="9"/>
      </left>
      <right style="thin">
        <color indexed="9"/>
      </right>
      <top/>
      <bottom/>
      <diagonal/>
    </border>
    <border>
      <left style="thin">
        <color indexed="64"/>
      </left>
      <right style="thin">
        <color indexed="64"/>
      </right>
      <top style="thin">
        <color indexed="64"/>
      </top>
      <bottom style="thin">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8"/>
      </left>
      <right style="thin">
        <color indexed="8"/>
      </right>
      <top style="thin">
        <color indexed="8"/>
      </top>
      <bottom style="thin">
        <color indexed="8"/>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style="thin">
        <color indexed="64"/>
      </right>
      <top style="thin">
        <color indexed="64"/>
      </top>
      <bottom/>
      <diagonal/>
    </border>
    <border>
      <left/>
      <right/>
      <top/>
      <bottom style="thick">
        <color indexed="64"/>
      </bottom>
      <diagonal/>
    </border>
    <border>
      <left/>
      <right/>
      <top style="thin">
        <color indexed="62"/>
      </top>
      <bottom style="double">
        <color indexed="62"/>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s>
  <cellStyleXfs count="188">
    <xf numFmtId="0" fontId="0" fillId="0" borderId="0"/>
    <xf numFmtId="0" fontId="10" fillId="0" borderId="0"/>
    <xf numFmtId="175" fontId="10" fillId="0" borderId="0">
      <alignment horizontal="right"/>
    </xf>
    <xf numFmtId="176" fontId="10" fillId="2" borderId="0"/>
    <xf numFmtId="177" fontId="10" fillId="2" borderId="0"/>
    <xf numFmtId="176" fontId="10" fillId="2" borderId="0"/>
    <xf numFmtId="178" fontId="10" fillId="2" borderId="0"/>
    <xf numFmtId="179" fontId="10" fillId="2" borderId="0">
      <alignment horizontal="right"/>
    </xf>
    <xf numFmtId="180" fontId="11" fillId="0" borderId="0" applyFont="0" applyFill="0" applyBorder="0" applyAlignment="0" applyProtection="0"/>
    <xf numFmtId="0" fontId="12" fillId="0" borderId="0" applyNumberFormat="0" applyFont="0" applyFill="0" applyBorder="0" applyAlignment="0" applyProtection="0"/>
    <xf numFmtId="181" fontId="13" fillId="0" borderId="0"/>
    <xf numFmtId="0" fontId="14" fillId="3" borderId="0" applyNumberFormat="0" applyBorder="0" applyAlignment="0" applyProtection="0"/>
    <xf numFmtId="0" fontId="14" fillId="4" borderId="0" applyNumberFormat="0" applyBorder="0" applyAlignment="0" applyProtection="0"/>
    <xf numFmtId="0" fontId="14" fillId="5" borderId="0" applyNumberFormat="0" applyBorder="0" applyAlignment="0" applyProtection="0"/>
    <xf numFmtId="0" fontId="14" fillId="6" borderId="0" applyNumberFormat="0" applyBorder="0" applyAlignment="0" applyProtection="0"/>
    <xf numFmtId="0" fontId="14" fillId="7" borderId="0" applyNumberFormat="0" applyBorder="0" applyAlignment="0" applyProtection="0"/>
    <xf numFmtId="0" fontId="14" fillId="8" borderId="0" applyNumberFormat="0" applyBorder="0" applyAlignment="0" applyProtection="0"/>
    <xf numFmtId="0" fontId="14" fillId="9" borderId="0" applyNumberFormat="0" applyBorder="0" applyAlignment="0" applyProtection="0"/>
    <xf numFmtId="0" fontId="14" fillId="10" borderId="0" applyNumberFormat="0" applyBorder="0" applyAlignment="0" applyProtection="0"/>
    <xf numFmtId="0" fontId="14" fillId="11" borderId="0" applyNumberFormat="0" applyBorder="0" applyAlignment="0" applyProtection="0"/>
    <xf numFmtId="0" fontId="14" fillId="6" borderId="0" applyNumberFormat="0" applyBorder="0" applyAlignment="0" applyProtection="0"/>
    <xf numFmtId="0" fontId="14" fillId="9" borderId="0" applyNumberFormat="0" applyBorder="0" applyAlignment="0" applyProtection="0"/>
    <xf numFmtId="0" fontId="14" fillId="12" borderId="0" applyNumberFormat="0" applyBorder="0" applyAlignment="0" applyProtection="0"/>
    <xf numFmtId="0" fontId="15" fillId="13" borderId="0" applyNumberFormat="0" applyBorder="0" applyAlignment="0" applyProtection="0"/>
    <xf numFmtId="0" fontId="15" fillId="10" borderId="0" applyNumberFormat="0" applyBorder="0" applyAlignment="0" applyProtection="0"/>
    <xf numFmtId="0" fontId="15" fillId="11" borderId="0" applyNumberFormat="0" applyBorder="0" applyAlignment="0" applyProtection="0"/>
    <xf numFmtId="0" fontId="15" fillId="14" borderId="0" applyNumberFormat="0" applyBorder="0" applyAlignment="0" applyProtection="0"/>
    <xf numFmtId="0" fontId="15" fillId="15" borderId="0" applyNumberFormat="0" applyBorder="0" applyAlignment="0" applyProtection="0"/>
    <xf numFmtId="0" fontId="15" fillId="16" borderId="0" applyNumberFormat="0" applyBorder="0" applyAlignment="0" applyProtection="0"/>
    <xf numFmtId="0" fontId="15" fillId="17" borderId="0" applyNumberFormat="0" applyBorder="0" applyAlignment="0" applyProtection="0"/>
    <xf numFmtId="0" fontId="15" fillId="18" borderId="0" applyNumberFormat="0" applyBorder="0" applyAlignment="0" applyProtection="0"/>
    <xf numFmtId="0" fontId="15" fillId="19" borderId="0" applyNumberFormat="0" applyBorder="0" applyAlignment="0" applyProtection="0"/>
    <xf numFmtId="0" fontId="15" fillId="14" borderId="0" applyNumberFormat="0" applyBorder="0" applyAlignment="0" applyProtection="0"/>
    <xf numFmtId="0" fontId="15" fillId="15" borderId="0" applyNumberFormat="0" applyBorder="0" applyAlignment="0" applyProtection="0"/>
    <xf numFmtId="0" fontId="15" fillId="20" borderId="0" applyNumberFormat="0" applyBorder="0" applyAlignment="0" applyProtection="0"/>
    <xf numFmtId="0" fontId="13" fillId="0" borderId="0"/>
    <xf numFmtId="0" fontId="16" fillId="4" borderId="0" applyNumberFormat="0" applyBorder="0" applyAlignment="0" applyProtection="0"/>
    <xf numFmtId="182" fontId="17" fillId="0" borderId="0" applyFont="0" applyFill="0" applyBorder="0" applyAlignment="0" applyProtection="0"/>
    <xf numFmtId="38" fontId="17" fillId="0" borderId="0" applyFill="0" applyBorder="0" applyAlignment="0" applyProtection="0">
      <protection locked="0"/>
    </xf>
    <xf numFmtId="0" fontId="18" fillId="0" borderId="0"/>
    <xf numFmtId="37" fontId="19" fillId="0" borderId="0">
      <alignment horizontal="centerContinuous"/>
    </xf>
    <xf numFmtId="0" fontId="20" fillId="21" borderId="4" applyNumberFormat="0" applyAlignment="0" applyProtection="0"/>
    <xf numFmtId="182" fontId="17" fillId="0" borderId="0" applyFont="0" applyFill="0" applyBorder="0" applyAlignment="0" applyProtection="0">
      <protection locked="0"/>
    </xf>
    <xf numFmtId="182" fontId="17" fillId="0" borderId="5" applyFont="0" applyFill="0" applyAlignment="0" applyProtection="0"/>
    <xf numFmtId="0" fontId="21" fillId="22" borderId="6" applyNumberFormat="0" applyAlignment="0" applyProtection="0"/>
    <xf numFmtId="0" fontId="12" fillId="0" borderId="0">
      <alignment horizontal="center" wrapText="1"/>
      <protection hidden="1"/>
    </xf>
    <xf numFmtId="0" fontId="22" fillId="0" borderId="7" applyNumberFormat="0" applyFill="0" applyBorder="0" applyProtection="0">
      <alignment horizontal="left" vertical="center"/>
    </xf>
    <xf numFmtId="0" fontId="22" fillId="0" borderId="7" applyNumberFormat="0" applyFill="0" applyBorder="0" applyProtection="0">
      <alignment horizontal="right" vertical="center"/>
    </xf>
    <xf numFmtId="43" fontId="12" fillId="0" borderId="0" applyFont="0" applyFill="0" applyBorder="0" applyAlignment="0" applyProtection="0"/>
    <xf numFmtId="37" fontId="23" fillId="0" borderId="0" applyFont="0" applyFill="0" applyBorder="0" applyAlignment="0" applyProtection="0"/>
    <xf numFmtId="39" fontId="23" fillId="0" borderId="0" applyFont="0" applyFill="0" applyBorder="0" applyAlignment="0" applyProtection="0"/>
    <xf numFmtId="0" fontId="24" fillId="23" borderId="0">
      <alignment horizontal="center" vertical="center" wrapText="1"/>
    </xf>
    <xf numFmtId="183" fontId="12" fillId="0" borderId="0" applyFill="0" applyBorder="0">
      <alignment horizontal="right"/>
      <protection locked="0"/>
    </xf>
    <xf numFmtId="0" fontId="25" fillId="0" borderId="0" applyFont="0" applyFill="0" applyBorder="0" applyAlignment="0"/>
    <xf numFmtId="7" fontId="26" fillId="0" borderId="0" applyFont="0" applyFill="0" applyBorder="0" applyAlignment="0" applyProtection="0"/>
    <xf numFmtId="5" fontId="23" fillId="0" borderId="0" applyFont="0" applyFill="0" applyBorder="0" applyAlignment="0" applyProtection="0"/>
    <xf numFmtId="184" fontId="13" fillId="0" borderId="0" applyFill="0" applyBorder="0" applyProtection="0">
      <alignment horizontal="right"/>
    </xf>
    <xf numFmtId="185" fontId="10" fillId="2" borderId="8">
      <alignment horizontal="right"/>
    </xf>
    <xf numFmtId="186" fontId="10" fillId="2" borderId="8">
      <alignment horizontal="right"/>
    </xf>
    <xf numFmtId="185" fontId="10" fillId="2" borderId="8">
      <alignment horizontal="right"/>
    </xf>
    <xf numFmtId="15" fontId="27" fillId="0" borderId="0" applyFill="0" applyBorder="0" applyAlignment="0"/>
    <xf numFmtId="187" fontId="25" fillId="24" borderId="0" applyFont="0" applyFill="0" applyBorder="0" applyAlignment="0" applyProtection="0"/>
    <xf numFmtId="188" fontId="27" fillId="0" borderId="7"/>
    <xf numFmtId="14" fontId="28" fillId="0" borderId="0" applyFont="0" applyFill="0" applyBorder="0" applyAlignment="0" applyProtection="0">
      <alignment horizontal="center"/>
    </xf>
    <xf numFmtId="189" fontId="28" fillId="0" borderId="0" applyFont="0" applyFill="0" applyBorder="0" applyAlignment="0" applyProtection="0">
      <alignment horizontal="center"/>
    </xf>
    <xf numFmtId="190" fontId="13" fillId="0" borderId="0" applyFont="0" applyFill="0" applyBorder="0" applyAlignment="0" applyProtection="0"/>
    <xf numFmtId="8" fontId="17" fillId="0" borderId="0" applyFont="0" applyFill="0" applyBorder="0" applyAlignment="0" applyProtection="0"/>
    <xf numFmtId="6" fontId="17" fillId="0" borderId="0" applyFont="0" applyFill="0" applyBorder="0" applyAlignment="0" applyProtection="0">
      <alignment horizontal="right"/>
    </xf>
    <xf numFmtId="6" fontId="17" fillId="0" borderId="0" applyFont="0" applyFill="0" applyBorder="0" applyAlignment="0" applyProtection="0"/>
    <xf numFmtId="39" fontId="10" fillId="25" borderId="0"/>
    <xf numFmtId="7" fontId="10" fillId="25" borderId="0" applyBorder="0"/>
    <xf numFmtId="191" fontId="10" fillId="25" borderId="0"/>
    <xf numFmtId="192" fontId="10" fillId="0" borderId="0"/>
    <xf numFmtId="193" fontId="10" fillId="25" borderId="0"/>
    <xf numFmtId="194" fontId="10" fillId="25" borderId="0"/>
    <xf numFmtId="195" fontId="18" fillId="0" borderId="0" applyFont="0" applyFill="0" applyBorder="0" applyProtection="0">
      <alignment horizontal="left"/>
      <protection locked="0"/>
    </xf>
    <xf numFmtId="196" fontId="10" fillId="0" borderId="0"/>
    <xf numFmtId="197" fontId="18" fillId="0" borderId="0" applyFont="0" applyFill="0" applyBorder="0" applyProtection="0">
      <alignment horizontal="left"/>
      <protection locked="0"/>
    </xf>
    <xf numFmtId="198" fontId="12" fillId="0" borderId="0" applyFont="0" applyFill="0" applyBorder="0" applyAlignment="0" applyProtection="0"/>
    <xf numFmtId="0" fontId="29" fillId="0" borderId="0" applyNumberFormat="0" applyFill="0" applyBorder="0" applyAlignment="0" applyProtection="0"/>
    <xf numFmtId="180" fontId="10" fillId="0" borderId="9"/>
    <xf numFmtId="199" fontId="10" fillId="2" borderId="8">
      <alignment horizontal="right"/>
    </xf>
    <xf numFmtId="200" fontId="10" fillId="2" borderId="8">
      <alignment horizontal="right"/>
    </xf>
    <xf numFmtId="199" fontId="10" fillId="2" borderId="8">
      <alignment horizontal="right"/>
    </xf>
    <xf numFmtId="201" fontId="17" fillId="0" borderId="0" applyFill="0" applyBorder="0" applyAlignment="0" applyProtection="0">
      <protection locked="0"/>
    </xf>
    <xf numFmtId="0" fontId="30" fillId="5" borderId="0" applyNumberFormat="0" applyBorder="0" applyAlignment="0" applyProtection="0"/>
    <xf numFmtId="202" fontId="31" fillId="0" borderId="0" applyFill="0" applyBorder="0" applyAlignment="0" applyProtection="0"/>
    <xf numFmtId="180" fontId="32" fillId="0" borderId="0" applyAlignment="0">
      <alignment horizontal="left"/>
      <protection locked="0"/>
    </xf>
    <xf numFmtId="201" fontId="13" fillId="26" borderId="10" applyNumberFormat="0" applyFont="0" applyAlignment="0" applyProtection="0"/>
    <xf numFmtId="0" fontId="33" fillId="0" borderId="11" applyNumberFormat="0" applyFill="0" applyAlignment="0" applyProtection="0"/>
    <xf numFmtId="0" fontId="34" fillId="0" borderId="12" applyNumberFormat="0" applyFill="0" applyAlignment="0" applyProtection="0"/>
    <xf numFmtId="0" fontId="35" fillId="0" borderId="13" applyNumberFormat="0" applyFill="0" applyAlignment="0" applyProtection="0"/>
    <xf numFmtId="0" fontId="35" fillId="0" borderId="0" applyNumberFormat="0" applyFill="0" applyBorder="0" applyAlignment="0" applyProtection="0"/>
    <xf numFmtId="201" fontId="36" fillId="0" borderId="0" applyNumberFormat="0" applyFill="0" applyBorder="0" applyAlignment="0" applyProtection="0"/>
    <xf numFmtId="0" fontId="37" fillId="0" borderId="0"/>
    <xf numFmtId="182" fontId="17" fillId="0" borderId="0" applyFont="0" applyFill="0" applyBorder="0" applyAlignment="0" applyProtection="0"/>
    <xf numFmtId="38" fontId="17" fillId="0" borderId="0" applyFill="0" applyBorder="0" applyAlignment="0" applyProtection="0">
      <alignment horizontal="right"/>
      <protection locked="0"/>
    </xf>
    <xf numFmtId="0" fontId="38" fillId="8" borderId="4" applyNumberFormat="0" applyAlignment="0" applyProtection="0"/>
    <xf numFmtId="0" fontId="25" fillId="24" borderId="0" applyFont="0" applyBorder="0" applyAlignment="0">
      <protection locked="0"/>
    </xf>
    <xf numFmtId="0" fontId="12" fillId="0" borderId="0" applyFill="0" applyBorder="0">
      <alignment horizontal="right"/>
      <protection locked="0"/>
    </xf>
    <xf numFmtId="17" fontId="39" fillId="27" borderId="0"/>
    <xf numFmtId="203" fontId="12" fillId="0" borderId="0" applyFill="0" applyBorder="0">
      <alignment horizontal="right"/>
      <protection locked="0"/>
    </xf>
    <xf numFmtId="0" fontId="40" fillId="28" borderId="14">
      <alignment horizontal="left" vertical="center" wrapText="1"/>
    </xf>
    <xf numFmtId="0" fontId="41" fillId="0" borderId="15" applyNumberFormat="0" applyFill="0" applyAlignment="0" applyProtection="0"/>
    <xf numFmtId="170" fontId="17" fillId="0" borderId="0" applyFont="0" applyFill="0" applyBorder="0" applyAlignment="0" applyProtection="0">
      <alignment horizontal="right"/>
    </xf>
    <xf numFmtId="204" fontId="10" fillId="0" borderId="0">
      <alignment horizontal="right"/>
    </xf>
    <xf numFmtId="205" fontId="10" fillId="25" borderId="0">
      <alignment horizontal="right"/>
    </xf>
    <xf numFmtId="206" fontId="10" fillId="0" borderId="0">
      <alignment horizontal="right"/>
    </xf>
    <xf numFmtId="204" fontId="10" fillId="0" borderId="0">
      <alignment horizontal="right"/>
    </xf>
    <xf numFmtId="180" fontId="42" fillId="0" borderId="0" applyFill="0" applyBorder="0" applyAlignment="0" applyProtection="0">
      <alignment horizontal="right"/>
    </xf>
    <xf numFmtId="180" fontId="42" fillId="0" borderId="0" applyFill="0" applyBorder="0" applyAlignment="0" applyProtection="0"/>
    <xf numFmtId="207" fontId="10" fillId="2" borderId="8">
      <alignment horizontal="right"/>
    </xf>
    <xf numFmtId="208" fontId="17" fillId="0" borderId="0" applyFont="0" applyFill="0" applyBorder="0" applyAlignment="0" applyProtection="0"/>
    <xf numFmtId="0" fontId="23" fillId="2" borderId="0" applyFont="0" applyBorder="0" applyAlignment="0" applyProtection="0">
      <alignment horizontal="right"/>
      <protection hidden="1"/>
    </xf>
    <xf numFmtId="0" fontId="43" fillId="26" borderId="0" applyNumberFormat="0" applyBorder="0" applyAlignment="0" applyProtection="0"/>
    <xf numFmtId="37" fontId="26" fillId="0" borderId="0" applyFont="0" applyFill="0" applyBorder="0" applyAlignment="0" applyProtection="0"/>
    <xf numFmtId="209" fontId="12" fillId="0" borderId="0" applyFont="0" applyFill="0" applyBorder="0" applyAlignment="0" applyProtection="0"/>
    <xf numFmtId="39" fontId="12" fillId="0" borderId="0" applyFont="0" applyFill="0" applyBorder="0" applyAlignment="0" applyProtection="0"/>
    <xf numFmtId="172" fontId="12" fillId="0" borderId="0" applyFont="0" applyFill="0" applyBorder="0" applyAlignment="0" applyProtection="0"/>
    <xf numFmtId="0" fontId="12" fillId="0" borderId="0"/>
    <xf numFmtId="0" fontId="27" fillId="0" borderId="0" applyNumberFormat="0" applyFill="0" applyBorder="0" applyAlignment="0" applyProtection="0"/>
    <xf numFmtId="0" fontId="25" fillId="0" borderId="0" applyFont="0" applyFill="0" applyBorder="0" applyAlignment="0" applyProtection="0"/>
    <xf numFmtId="210" fontId="25" fillId="0" borderId="0" applyFont="0" applyFill="0" applyBorder="0" applyAlignment="0" applyProtection="0"/>
    <xf numFmtId="0" fontId="14" fillId="29" borderId="16" applyNumberFormat="0" applyFont="0" applyAlignment="0" applyProtection="0"/>
    <xf numFmtId="0" fontId="23" fillId="0" borderId="0" applyFont="0" applyFill="0" applyBorder="0" applyAlignment="0" applyProtection="0"/>
    <xf numFmtId="211" fontId="12" fillId="0" borderId="0" applyFont="0" applyFill="0" applyBorder="0" applyAlignment="0" applyProtection="0"/>
    <xf numFmtId="0" fontId="23" fillId="0" borderId="0" applyFont="0" applyFill="0" applyBorder="0" applyAlignment="0" applyProtection="0"/>
    <xf numFmtId="0" fontId="44" fillId="21" borderId="17" applyNumberFormat="0" applyAlignment="0" applyProtection="0"/>
    <xf numFmtId="212" fontId="17" fillId="0" borderId="0" applyFont="0" applyFill="0" applyBorder="0" applyAlignment="0" applyProtection="0">
      <alignment horizontal="right"/>
    </xf>
    <xf numFmtId="0" fontId="45" fillId="0" borderId="0" applyNumberFormat="0" applyFill="0" applyBorder="0" applyAlignment="0" applyProtection="0"/>
    <xf numFmtId="0" fontId="25" fillId="0" borderId="0"/>
    <xf numFmtId="213" fontId="10" fillId="25" borderId="0"/>
    <xf numFmtId="9" fontId="17" fillId="0" borderId="0" applyFont="0" applyFill="0" applyBorder="0" applyAlignment="0" applyProtection="0">
      <alignment horizontal="right"/>
    </xf>
    <xf numFmtId="214" fontId="10" fillId="0" borderId="0"/>
    <xf numFmtId="0" fontId="12" fillId="0" borderId="0" applyFont="0" applyFill="0" applyBorder="0" applyAlignment="0"/>
    <xf numFmtId="176" fontId="12" fillId="0" borderId="0" applyFont="0" applyFill="0" applyBorder="0" applyAlignment="0" applyProtection="0"/>
    <xf numFmtId="215" fontId="12" fillId="0" borderId="0" applyFont="0" applyFill="0" applyBorder="0" applyAlignment="0" applyProtection="0"/>
    <xf numFmtId="216" fontId="12" fillId="0" borderId="0" applyFill="0" applyBorder="0">
      <alignment horizontal="right"/>
      <protection locked="0"/>
    </xf>
    <xf numFmtId="202" fontId="17" fillId="0" borderId="0" applyFont="0" applyFill="0" applyBorder="0" applyAlignment="0" applyProtection="0"/>
    <xf numFmtId="8" fontId="17" fillId="0" borderId="0" applyFont="0" applyFill="0" applyBorder="0" applyAlignment="0" applyProtection="0"/>
    <xf numFmtId="182" fontId="17" fillId="0" borderId="0" applyFont="0" applyFill="0" applyBorder="0" applyAlignment="0" applyProtection="0">
      <protection locked="0"/>
    </xf>
    <xf numFmtId="201" fontId="17" fillId="0" borderId="0" applyFill="0" applyBorder="0" applyAlignment="0" applyProtection="0"/>
    <xf numFmtId="38" fontId="17" fillId="0" borderId="0" applyFont="0" applyFill="0" applyBorder="0" applyAlignment="0" applyProtection="0"/>
    <xf numFmtId="178" fontId="10" fillId="2" borderId="18">
      <alignment horizontal="right"/>
    </xf>
    <xf numFmtId="217" fontId="46" fillId="2" borderId="0"/>
    <xf numFmtId="218" fontId="10" fillId="2" borderId="0"/>
    <xf numFmtId="0" fontId="47" fillId="0" borderId="0">
      <alignment horizontal="center"/>
    </xf>
    <xf numFmtId="0" fontId="10" fillId="0" borderId="7">
      <alignment horizontal="centerContinuous"/>
    </xf>
    <xf numFmtId="219" fontId="10" fillId="2" borderId="0">
      <alignment horizontal="right"/>
    </xf>
    <xf numFmtId="220" fontId="10" fillId="2" borderId="8">
      <alignment horizontal="right"/>
    </xf>
    <xf numFmtId="221" fontId="12" fillId="0" borderId="0">
      <alignment horizontal="right"/>
      <protection locked="0"/>
    </xf>
    <xf numFmtId="201" fontId="28" fillId="0" borderId="0" applyFont="0" applyFill="0" applyBorder="0" applyAlignment="0" applyProtection="0"/>
    <xf numFmtId="0" fontId="48" fillId="0" borderId="0" applyNumberFormat="0" applyFill="0" applyBorder="0" applyProtection="0">
      <alignment horizontal="right" vertical="center"/>
    </xf>
    <xf numFmtId="0" fontId="49" fillId="23" borderId="10">
      <alignment horizontal="center" vertical="center" wrapText="1"/>
      <protection hidden="1"/>
    </xf>
    <xf numFmtId="182" fontId="17" fillId="0" borderId="0" applyFill="0" applyBorder="0" applyAlignment="0" applyProtection="0">
      <protection locked="0"/>
    </xf>
    <xf numFmtId="222" fontId="28" fillId="0" borderId="0" applyFont="0" applyFill="0" applyBorder="0" applyAlignment="0" applyProtection="0">
      <alignment horizontal="right"/>
    </xf>
    <xf numFmtId="38" fontId="12" fillId="0" borderId="0" applyFont="0" applyFill="0" applyBorder="0" applyAlignment="0" applyProtection="0"/>
    <xf numFmtId="0" fontId="50" fillId="0" borderId="19" applyNumberFormat="0" applyFill="0" applyProtection="0">
      <alignment horizontal="left" vertical="top" wrapText="1"/>
    </xf>
    <xf numFmtId="0" fontId="37" fillId="0" borderId="0" applyNumberFormat="0" applyFill="0" applyBorder="0" applyProtection="0">
      <alignment horizontal="left" vertical="top" wrapText="1"/>
    </xf>
    <xf numFmtId="0" fontId="51" fillId="0" borderId="0" applyNumberFormat="0" applyFill="0" applyProtection="0">
      <alignment horizontal="left" vertical="top" wrapText="1"/>
    </xf>
    <xf numFmtId="0" fontId="52" fillId="0" borderId="0" applyNumberFormat="0" applyFill="0" applyBorder="0" applyProtection="0"/>
    <xf numFmtId="0" fontId="53" fillId="30" borderId="0" applyNumberFormat="0" applyBorder="0" applyProtection="0"/>
    <xf numFmtId="0" fontId="54" fillId="0" borderId="0" applyNumberFormat="0" applyFill="0" applyBorder="0" applyProtection="0">
      <alignment vertical="top"/>
    </xf>
    <xf numFmtId="223" fontId="55" fillId="0" borderId="0" applyFill="0" applyBorder="0" applyProtection="0">
      <alignment horizontal="right" wrapText="1"/>
    </xf>
    <xf numFmtId="224" fontId="55" fillId="0" borderId="0" applyFill="0" applyBorder="0" applyProtection="0">
      <alignment horizontal="right"/>
    </xf>
    <xf numFmtId="4" fontId="25" fillId="0" borderId="0" applyFill="0" applyBorder="0" applyProtection="0">
      <alignment horizontal="right"/>
    </xf>
    <xf numFmtId="194" fontId="56" fillId="0" borderId="0" applyFill="0" applyBorder="0" applyAlignment="0" applyProtection="0"/>
    <xf numFmtId="225" fontId="57" fillId="0" borderId="0" applyFill="0" applyBorder="0" applyAlignment="0" applyProtection="0">
      <alignment horizontal="left"/>
      <protection locked="0"/>
    </xf>
    <xf numFmtId="225" fontId="57" fillId="0" borderId="0" applyFill="0" applyBorder="0" applyAlignment="0" applyProtection="0"/>
    <xf numFmtId="225" fontId="58" fillId="0" borderId="0" applyFill="0" applyBorder="0" applyAlignment="0" applyProtection="0">
      <alignment horizontal="left"/>
      <protection locked="0"/>
    </xf>
    <xf numFmtId="225" fontId="58" fillId="0" borderId="0" applyFill="0" applyBorder="0" applyAlignment="0" applyProtection="0">
      <protection locked="0"/>
    </xf>
    <xf numFmtId="201" fontId="17" fillId="0" borderId="0" applyFill="0" applyBorder="0" applyAlignment="0" applyProtection="0">
      <protection locked="0"/>
    </xf>
    <xf numFmtId="201" fontId="56" fillId="0" borderId="0" applyFill="0" applyBorder="0" applyAlignment="0" applyProtection="0"/>
    <xf numFmtId="49" fontId="59" fillId="0" borderId="0"/>
    <xf numFmtId="226" fontId="12" fillId="0" borderId="0" applyFont="0" applyFill="0" applyBorder="0" applyAlignment="0" applyProtection="0"/>
    <xf numFmtId="227" fontId="12" fillId="0" borderId="0" applyFont="0" applyFill="0" applyBorder="0" applyAlignment="0" applyProtection="0"/>
    <xf numFmtId="0" fontId="60" fillId="0" borderId="0" applyNumberFormat="0" applyFill="0" applyBorder="0" applyAlignment="0" applyProtection="0"/>
    <xf numFmtId="0" fontId="61" fillId="1" borderId="0" applyNumberFormat="0" applyBorder="0" applyProtection="0">
      <alignment horizontal="left" vertical="center"/>
    </xf>
    <xf numFmtId="201" fontId="62" fillId="0" borderId="0" applyNumberFormat="0" applyFill="0" applyBorder="0" applyAlignment="0" applyProtection="0"/>
    <xf numFmtId="0" fontId="12" fillId="0" borderId="0" applyBorder="0"/>
    <xf numFmtId="38" fontId="63" fillId="0" borderId="0" applyFill="0" applyBorder="0" applyAlignment="0" applyProtection="0">
      <alignment horizontal="left"/>
    </xf>
    <xf numFmtId="0" fontId="64" fillId="0" borderId="0"/>
    <xf numFmtId="0" fontId="65" fillId="0" borderId="20" applyNumberFormat="0" applyFill="0" applyAlignment="0" applyProtection="0"/>
    <xf numFmtId="0" fontId="66" fillId="0" borderId="0" applyNumberFormat="0" applyFill="0" applyBorder="0" applyAlignment="0" applyProtection="0"/>
    <xf numFmtId="1" fontId="17" fillId="0" borderId="0" applyFont="0" applyFill="0" applyBorder="0" applyAlignment="0" applyProtection="0"/>
    <xf numFmtId="228" fontId="26" fillId="0" borderId="0" applyFont="0" applyFill="0" applyBorder="0" applyAlignment="0" applyProtection="0"/>
    <xf numFmtId="222" fontId="18" fillId="0" borderId="0" applyNumberFormat="0" applyFill="0" applyBorder="0" applyAlignment="0" applyProtection="0"/>
    <xf numFmtId="9" fontId="82" fillId="0" borderId="0" applyFont="0" applyFill="0" applyBorder="0" applyAlignment="0" applyProtection="0"/>
  </cellStyleXfs>
  <cellXfs count="142">
    <xf numFmtId="0" fontId="0" fillId="0" borderId="0" xfId="0"/>
    <xf numFmtId="0" fontId="2" fillId="0" borderId="1" xfId="0" applyFont="1" applyBorder="1"/>
    <xf numFmtId="14" fontId="3" fillId="0" borderId="0" xfId="0" applyNumberFormat="1" applyFont="1" applyAlignment="1">
      <alignment horizontal="left"/>
    </xf>
    <xf numFmtId="0" fontId="5" fillId="0" borderId="0" xfId="0" applyFont="1" applyAlignment="1">
      <alignment horizontal="right"/>
    </xf>
    <xf numFmtId="0" fontId="6" fillId="0" borderId="0" xfId="0" applyFont="1"/>
    <xf numFmtId="14" fontId="5" fillId="0" borderId="0" xfId="0" applyNumberFormat="1" applyFont="1" applyAlignment="1">
      <alignment horizontal="right"/>
    </xf>
    <xf numFmtId="0" fontId="4" fillId="0" borderId="0" xfId="0" applyFont="1"/>
    <xf numFmtId="165" fontId="5" fillId="0" borderId="0" xfId="0" applyNumberFormat="1" applyFont="1" applyAlignment="1">
      <alignment horizontal="right"/>
    </xf>
    <xf numFmtId="169" fontId="0" fillId="0" borderId="0" xfId="0" applyNumberFormat="1"/>
    <xf numFmtId="169" fontId="4" fillId="0" borderId="0" xfId="0" applyNumberFormat="1" applyFont="1"/>
    <xf numFmtId="0" fontId="0" fillId="0" borderId="1" xfId="0" applyBorder="1"/>
    <xf numFmtId="0" fontId="67" fillId="0" borderId="0" xfId="0" applyFont="1"/>
    <xf numFmtId="14" fontId="68" fillId="0" borderId="0" xfId="0" applyNumberFormat="1" applyFont="1"/>
    <xf numFmtId="0" fontId="1" fillId="0" borderId="2" xfId="0" applyFont="1" applyBorder="1"/>
    <xf numFmtId="0" fontId="67" fillId="0" borderId="2" xfId="0" applyFont="1" applyBorder="1"/>
    <xf numFmtId="0" fontId="0" fillId="0" borderId="2" xfId="0" applyBorder="1"/>
    <xf numFmtId="166" fontId="1" fillId="0" borderId="0" xfId="0" applyNumberFormat="1" applyFont="1"/>
    <xf numFmtId="167" fontId="1" fillId="0" borderId="0" xfId="0" applyNumberFormat="1" applyFont="1"/>
    <xf numFmtId="0" fontId="68" fillId="0" borderId="2" xfId="0" applyFont="1" applyBorder="1"/>
    <xf numFmtId="168" fontId="69" fillId="0" borderId="2" xfId="0" applyNumberFormat="1" applyFont="1" applyBorder="1"/>
    <xf numFmtId="168" fontId="68" fillId="0" borderId="2" xfId="0" applyNumberFormat="1" applyFont="1" applyBorder="1"/>
    <xf numFmtId="0" fontId="68" fillId="0" borderId="0" xfId="0" applyFont="1"/>
    <xf numFmtId="168" fontId="69" fillId="0" borderId="0" xfId="0" applyNumberFormat="1" applyFont="1"/>
    <xf numFmtId="168" fontId="68" fillId="0" borderId="0" xfId="0" applyNumberFormat="1" applyFont="1"/>
    <xf numFmtId="0" fontId="1" fillId="0" borderId="0" xfId="0" applyFont="1"/>
    <xf numFmtId="37" fontId="0" fillId="0" borderId="0" xfId="0" applyNumberFormat="1"/>
    <xf numFmtId="0" fontId="70" fillId="0" borderId="0" xfId="0" applyFont="1"/>
    <xf numFmtId="0" fontId="0" fillId="0" borderId="0" xfId="0" applyAlignment="1">
      <alignment horizontal="left" indent="1"/>
    </xf>
    <xf numFmtId="169" fontId="0" fillId="0" borderId="0" xfId="0" applyNumberFormat="1" applyAlignment="1">
      <alignment horizontal="right"/>
    </xf>
    <xf numFmtId="0" fontId="1" fillId="0" borderId="0" xfId="0" applyFont="1" applyAlignment="1">
      <alignment horizontal="left" indent="1"/>
    </xf>
    <xf numFmtId="3" fontId="6" fillId="0" borderId="0" xfId="0" applyNumberFormat="1" applyFont="1"/>
    <xf numFmtId="166" fontId="6" fillId="0" borderId="0" xfId="0" applyNumberFormat="1" applyFont="1"/>
    <xf numFmtId="167" fontId="6" fillId="0" borderId="0" xfId="0" applyNumberFormat="1" applyFont="1"/>
    <xf numFmtId="168" fontId="3" fillId="0" borderId="2" xfId="0" applyNumberFormat="1" applyFont="1" applyBorder="1"/>
    <xf numFmtId="169" fontId="5" fillId="0" borderId="0" xfId="0" applyNumberFormat="1" applyFont="1"/>
    <xf numFmtId="0" fontId="0" fillId="0" borderId="0" xfId="0" applyAlignment="1">
      <alignment horizontal="left"/>
    </xf>
    <xf numFmtId="0" fontId="1" fillId="0" borderId="0" xfId="0" applyFont="1" applyAlignment="1">
      <alignment horizontal="left"/>
    </xf>
    <xf numFmtId="0" fontId="0" fillId="0" borderId="0" xfId="0" quotePrefix="1" applyAlignment="1">
      <alignment horizontal="left" indent="1"/>
    </xf>
    <xf numFmtId="171" fontId="1" fillId="0" borderId="0" xfId="0" applyNumberFormat="1" applyFont="1"/>
    <xf numFmtId="165" fontId="0" fillId="0" borderId="0" xfId="0" applyNumberFormat="1"/>
    <xf numFmtId="37" fontId="5" fillId="0" borderId="0" xfId="0" applyNumberFormat="1" applyFont="1"/>
    <xf numFmtId="9" fontId="5" fillId="0" borderId="0" xfId="0" applyNumberFormat="1" applyFont="1"/>
    <xf numFmtId="3" fontId="0" fillId="0" borderId="0" xfId="0" applyNumberFormat="1"/>
    <xf numFmtId="37" fontId="1" fillId="0" borderId="0" xfId="0" applyNumberFormat="1" applyFont="1"/>
    <xf numFmtId="10" fontId="4" fillId="0" borderId="0" xfId="0" applyNumberFormat="1" applyFont="1"/>
    <xf numFmtId="0" fontId="0" fillId="0" borderId="0" xfId="0" applyAlignment="1">
      <alignment horizontal="left" indent="2"/>
    </xf>
    <xf numFmtId="174" fontId="0" fillId="0" borderId="0" xfId="0" applyNumberFormat="1"/>
    <xf numFmtId="0" fontId="68" fillId="0" borderId="0" xfId="0" applyFont="1" applyAlignment="1">
      <alignment horizontal="left" indent="1"/>
    </xf>
    <xf numFmtId="14" fontId="0" fillId="0" borderId="0" xfId="0" applyNumberFormat="1"/>
    <xf numFmtId="169" fontId="68" fillId="0" borderId="0" xfId="0" applyNumberFormat="1" applyFont="1"/>
    <xf numFmtId="0" fontId="0" fillId="0" borderId="3" xfId="0" applyBorder="1"/>
    <xf numFmtId="0" fontId="73" fillId="0" borderId="3" xfId="0" applyFont="1" applyBorder="1"/>
    <xf numFmtId="165" fontId="0" fillId="0" borderId="2" xfId="0" applyNumberFormat="1" applyBorder="1"/>
    <xf numFmtId="0" fontId="70" fillId="0" borderId="0" xfId="0" applyFont="1" applyAlignment="1">
      <alignment horizontal="right"/>
    </xf>
    <xf numFmtId="165" fontId="5" fillId="0" borderId="0" xfId="0" applyNumberFormat="1" applyFont="1"/>
    <xf numFmtId="39" fontId="5" fillId="0" borderId="0" xfId="0" applyNumberFormat="1" applyFont="1"/>
    <xf numFmtId="169" fontId="69" fillId="0" borderId="0" xfId="0" applyNumberFormat="1" applyFont="1"/>
    <xf numFmtId="209" fontId="0" fillId="0" borderId="0" xfId="0" applyNumberFormat="1"/>
    <xf numFmtId="0" fontId="4" fillId="0" borderId="0" xfId="0" applyFont="1" applyAlignment="1">
      <alignment horizontal="left" indent="1"/>
    </xf>
    <xf numFmtId="37" fontId="0" fillId="0" borderId="2" xfId="0" applyNumberFormat="1" applyBorder="1"/>
    <xf numFmtId="0" fontId="0" fillId="0" borderId="0" xfId="0" quotePrefix="1" applyAlignment="1">
      <alignment horizontal="left" indent="2"/>
    </xf>
    <xf numFmtId="169" fontId="1" fillId="0" borderId="0" xfId="0" applyNumberFormat="1" applyFont="1"/>
    <xf numFmtId="0" fontId="68" fillId="0" borderId="0" xfId="0" applyFont="1" applyAlignment="1">
      <alignment horizontal="left" indent="3"/>
    </xf>
    <xf numFmtId="0" fontId="68" fillId="0" borderId="0" xfId="0" applyFont="1" applyAlignment="1">
      <alignment horizontal="left" indent="2"/>
    </xf>
    <xf numFmtId="174" fontId="69" fillId="0" borderId="0" xfId="0" applyNumberFormat="1" applyFont="1"/>
    <xf numFmtId="0" fontId="1" fillId="0" borderId="2" xfId="0" applyFont="1" applyBorder="1" applyAlignment="1">
      <alignment horizontal="left"/>
    </xf>
    <xf numFmtId="209" fontId="5" fillId="0" borderId="2" xfId="0" applyNumberFormat="1" applyFont="1" applyBorder="1"/>
    <xf numFmtId="0" fontId="6" fillId="0" borderId="2" xfId="0" applyFont="1" applyBorder="1"/>
    <xf numFmtId="37" fontId="3" fillId="0" borderId="0" xfId="0" applyNumberFormat="1" applyFont="1"/>
    <xf numFmtId="0" fontId="70" fillId="0" borderId="0" xfId="0" applyFont="1" applyAlignment="1">
      <alignment horizontal="left" indent="1"/>
    </xf>
    <xf numFmtId="0" fontId="3" fillId="0" borderId="0" xfId="0" applyFont="1" applyAlignment="1">
      <alignment horizontal="left" indent="1"/>
    </xf>
    <xf numFmtId="0" fontId="74" fillId="0" borderId="0" xfId="0" applyFont="1"/>
    <xf numFmtId="209" fontId="1" fillId="0" borderId="0" xfId="0" applyNumberFormat="1" applyFont="1"/>
    <xf numFmtId="37" fontId="5" fillId="0" borderId="0" xfId="0" applyNumberFormat="1" applyFont="1" applyAlignment="1">
      <alignment horizontal="right"/>
    </xf>
    <xf numFmtId="37" fontId="4" fillId="0" borderId="0" xfId="0" applyNumberFormat="1" applyFont="1"/>
    <xf numFmtId="0" fontId="70" fillId="0" borderId="0" xfId="0" applyFont="1" applyAlignment="1">
      <alignment horizontal="left" indent="2"/>
    </xf>
    <xf numFmtId="0" fontId="1" fillId="0" borderId="0" xfId="0" applyFont="1" applyAlignment="1">
      <alignment horizontal="center"/>
    </xf>
    <xf numFmtId="9" fontId="69" fillId="0" borderId="0" xfId="0" applyNumberFormat="1" applyFont="1"/>
    <xf numFmtId="0" fontId="75" fillId="0" borderId="0" xfId="0" applyFont="1" applyAlignment="1">
      <alignment horizontal="left" indent="1"/>
    </xf>
    <xf numFmtId="174" fontId="4" fillId="0" borderId="0" xfId="0" applyNumberFormat="1" applyFont="1"/>
    <xf numFmtId="165" fontId="4" fillId="0" borderId="0" xfId="0" applyNumberFormat="1" applyFont="1"/>
    <xf numFmtId="173" fontId="4" fillId="0" borderId="0" xfId="0" applyNumberFormat="1" applyFont="1"/>
    <xf numFmtId="209" fontId="7" fillId="0" borderId="0" xfId="0" applyNumberFormat="1" applyFont="1"/>
    <xf numFmtId="209" fontId="6" fillId="0" borderId="0" xfId="0" applyNumberFormat="1" applyFont="1"/>
    <xf numFmtId="209" fontId="5" fillId="0" borderId="0" xfId="0" applyNumberFormat="1" applyFont="1"/>
    <xf numFmtId="209" fontId="4" fillId="0" borderId="0" xfId="0" applyNumberFormat="1" applyFont="1"/>
    <xf numFmtId="170" fontId="5" fillId="0" borderId="0" xfId="0" applyNumberFormat="1" applyFont="1"/>
    <xf numFmtId="169" fontId="69" fillId="0" borderId="0" xfId="0" applyNumberFormat="1" applyFont="1" applyAlignment="1">
      <alignment horizontal="right"/>
    </xf>
    <xf numFmtId="164" fontId="7" fillId="0" borderId="0" xfId="0" applyNumberFormat="1" applyFont="1"/>
    <xf numFmtId="209" fontId="0" fillId="0" borderId="2" xfId="0" applyNumberFormat="1" applyBorder="1"/>
    <xf numFmtId="229" fontId="5" fillId="0" borderId="0" xfId="0" applyNumberFormat="1" applyFont="1" applyAlignment="1">
      <alignment horizontal="right"/>
    </xf>
    <xf numFmtId="229" fontId="0" fillId="0" borderId="0" xfId="0" applyNumberFormat="1" applyAlignment="1">
      <alignment horizontal="right"/>
    </xf>
    <xf numFmtId="209" fontId="71" fillId="0" borderId="0" xfId="0" applyNumberFormat="1" applyFont="1" applyAlignment="1">
      <alignment horizontal="right"/>
    </xf>
    <xf numFmtId="174" fontId="4" fillId="0" borderId="0" xfId="0" applyNumberFormat="1" applyFont="1" applyAlignment="1">
      <alignment horizontal="right"/>
    </xf>
    <xf numFmtId="232" fontId="1" fillId="0" borderId="0" xfId="0" applyNumberFormat="1" applyFont="1"/>
    <xf numFmtId="232" fontId="1" fillId="0" borderId="0" xfId="0" applyNumberFormat="1" applyFont="1" applyAlignment="1">
      <alignment horizontal="right"/>
    </xf>
    <xf numFmtId="209" fontId="4" fillId="0" borderId="0" xfId="0" applyNumberFormat="1" applyFont="1" applyAlignment="1">
      <alignment horizontal="right"/>
    </xf>
    <xf numFmtId="0" fontId="77" fillId="0" borderId="0" xfId="0" applyFont="1" applyAlignment="1">
      <alignment horizontal="right"/>
    </xf>
    <xf numFmtId="233" fontId="5" fillId="0" borderId="0" xfId="0" applyNumberFormat="1" applyFont="1"/>
    <xf numFmtId="209" fontId="0" fillId="0" borderId="23" xfId="0" applyNumberFormat="1" applyBorder="1"/>
    <xf numFmtId="209" fontId="68" fillId="0" borderId="0" xfId="0" applyNumberFormat="1" applyFont="1" applyAlignment="1">
      <alignment horizontal="right"/>
    </xf>
    <xf numFmtId="209" fontId="3" fillId="0" borderId="0" xfId="0" applyNumberFormat="1" applyFont="1"/>
    <xf numFmtId="39" fontId="6" fillId="0" borderId="0" xfId="0" applyNumberFormat="1" applyFont="1" applyAlignment="1">
      <alignment horizontal="right"/>
    </xf>
    <xf numFmtId="0" fontId="74" fillId="0" borderId="0" xfId="0" applyFont="1" applyAlignment="1">
      <alignment horizontal="right"/>
    </xf>
    <xf numFmtId="235" fontId="0" fillId="0" borderId="0" xfId="0" applyNumberFormat="1" applyAlignment="1">
      <alignment horizontal="left"/>
    </xf>
    <xf numFmtId="0" fontId="5" fillId="0" borderId="0" xfId="0" applyFont="1" applyAlignment="1">
      <alignment horizontal="right" indent="1"/>
    </xf>
    <xf numFmtId="0" fontId="0" fillId="0" borderId="0" xfId="0" applyAlignment="1">
      <alignment horizontal="right" indent="1"/>
    </xf>
    <xf numFmtId="0" fontId="0" fillId="0" borderId="2" xfId="0" applyBorder="1" applyAlignment="1">
      <alignment horizontal="right" indent="1"/>
    </xf>
    <xf numFmtId="0" fontId="1" fillId="0" borderId="0" xfId="0" applyFont="1" applyAlignment="1">
      <alignment horizontal="right" indent="1"/>
    </xf>
    <xf numFmtId="14" fontId="68" fillId="0" borderId="0" xfId="0" applyNumberFormat="1" applyFont="1" applyAlignment="1">
      <alignment horizontal="left"/>
    </xf>
    <xf numFmtId="164" fontId="72" fillId="0" borderId="0" xfId="0" applyNumberFormat="1" applyFont="1" applyAlignment="1">
      <alignment horizontal="right"/>
    </xf>
    <xf numFmtId="0" fontId="72" fillId="0" borderId="0" xfId="0" applyFont="1" applyAlignment="1">
      <alignment horizontal="left" indent="1"/>
    </xf>
    <xf numFmtId="3" fontId="6" fillId="0" borderId="2" xfId="0" applyNumberFormat="1" applyFont="1" applyBorder="1"/>
    <xf numFmtId="209" fontId="68" fillId="0" borderId="0" xfId="0" applyNumberFormat="1" applyFont="1"/>
    <xf numFmtId="209" fontId="1" fillId="0" borderId="0" xfId="0" applyNumberFormat="1" applyFont="1" applyAlignment="1">
      <alignment horizontal="right"/>
    </xf>
    <xf numFmtId="234" fontId="5" fillId="0" borderId="0" xfId="0" applyNumberFormat="1" applyFont="1"/>
    <xf numFmtId="230" fontId="80" fillId="0" borderId="0" xfId="186" applyNumberFormat="1" applyFont="1" applyBorder="1" applyAlignment="1" applyProtection="1">
      <alignment horizontal="center"/>
    </xf>
    <xf numFmtId="230" fontId="69" fillId="0" borderId="0" xfId="186" applyNumberFormat="1" applyFont="1" applyBorder="1" applyAlignment="1" applyProtection="1">
      <alignment horizontal="center"/>
    </xf>
    <xf numFmtId="230" fontId="76" fillId="0" borderId="0" xfId="186" applyNumberFormat="1" applyFont="1" applyBorder="1" applyAlignment="1" applyProtection="1">
      <alignment horizontal="center"/>
      <protection locked="0"/>
    </xf>
    <xf numFmtId="230" fontId="76" fillId="0" borderId="0" xfId="186" applyNumberFormat="1" applyFont="1" applyFill="1" applyBorder="1" applyAlignment="1" applyProtection="1">
      <alignment horizontal="center"/>
      <protection locked="0"/>
    </xf>
    <xf numFmtId="230" fontId="81" fillId="0" borderId="0" xfId="186" applyNumberFormat="1" applyFont="1" applyBorder="1" applyAlignment="1" applyProtection="1">
      <alignment horizontal="center"/>
    </xf>
    <xf numFmtId="209" fontId="4" fillId="0" borderId="2" xfId="0" applyNumberFormat="1" applyFont="1" applyBorder="1" applyAlignment="1">
      <alignment horizontal="right"/>
    </xf>
    <xf numFmtId="0" fontId="1" fillId="0" borderId="0" xfId="0" applyFont="1" applyAlignment="1">
      <alignment horizontal="left" indent="2"/>
    </xf>
    <xf numFmtId="232" fontId="7" fillId="31" borderId="23" xfId="0" applyNumberFormat="1" applyFont="1" applyFill="1" applyBorder="1" applyAlignment="1">
      <alignment horizontal="center"/>
    </xf>
    <xf numFmtId="229" fontId="77" fillId="0" borderId="0" xfId="0" applyNumberFormat="1" applyFont="1" applyAlignment="1">
      <alignment horizontal="center"/>
    </xf>
    <xf numFmtId="229" fontId="0" fillId="0" borderId="21" xfId="0" applyNumberFormat="1" applyBorder="1" applyAlignment="1">
      <alignment horizontal="center"/>
    </xf>
    <xf numFmtId="165" fontId="1" fillId="0" borderId="21" xfId="0" applyNumberFormat="1" applyFont="1" applyBorder="1" applyAlignment="1">
      <alignment horizontal="center"/>
    </xf>
    <xf numFmtId="0" fontId="0" fillId="0" borderId="21" xfId="0" applyBorder="1" applyAlignment="1">
      <alignment horizontal="center"/>
    </xf>
    <xf numFmtId="209" fontId="4" fillId="0" borderId="21" xfId="0" applyNumberFormat="1" applyFont="1" applyBorder="1" applyAlignment="1">
      <alignment horizontal="center"/>
    </xf>
    <xf numFmtId="209" fontId="1" fillId="0" borderId="21" xfId="0" applyNumberFormat="1" applyFont="1" applyBorder="1" applyAlignment="1">
      <alignment horizontal="center"/>
    </xf>
    <xf numFmtId="165" fontId="71" fillId="0" borderId="21" xfId="0" applyNumberFormat="1" applyFont="1" applyBorder="1" applyAlignment="1">
      <alignment horizontal="center"/>
    </xf>
    <xf numFmtId="165" fontId="0" fillId="0" borderId="24" xfId="0" applyNumberFormat="1" applyBorder="1" applyAlignment="1">
      <alignment horizontal="center"/>
    </xf>
    <xf numFmtId="174" fontId="0" fillId="0" borderId="22" xfId="0" applyNumberFormat="1" applyBorder="1" applyAlignment="1">
      <alignment horizontal="center"/>
    </xf>
    <xf numFmtId="231" fontId="1" fillId="0" borderId="21" xfId="0" applyNumberFormat="1" applyFont="1" applyBorder="1" applyAlignment="1">
      <alignment horizontal="center"/>
    </xf>
    <xf numFmtId="39" fontId="7" fillId="0" borderId="0" xfId="0" applyNumberFormat="1" applyFont="1" applyAlignment="1">
      <alignment horizontal="right"/>
    </xf>
    <xf numFmtId="209" fontId="4" fillId="0" borderId="2" xfId="0" applyNumberFormat="1" applyFont="1" applyBorder="1"/>
    <xf numFmtId="229" fontId="5" fillId="0" borderId="0" xfId="0" applyNumberFormat="1" applyFont="1"/>
    <xf numFmtId="209" fontId="0" fillId="32" borderId="0" xfId="0" applyNumberFormat="1" applyFill="1"/>
    <xf numFmtId="209" fontId="78" fillId="0" borderId="0" xfId="0" applyNumberFormat="1" applyFont="1"/>
    <xf numFmtId="209" fontId="70" fillId="0" borderId="0" xfId="0" applyNumberFormat="1" applyFont="1"/>
    <xf numFmtId="170" fontId="5" fillId="0" borderId="0" xfId="187" applyNumberFormat="1" applyFont="1"/>
    <xf numFmtId="0" fontId="68" fillId="0" borderId="0" xfId="0" applyFont="1" applyAlignment="1">
      <alignment horizontal="right"/>
    </xf>
  </cellXfs>
  <cellStyles count="188">
    <cellStyle name="$" xfId="1" xr:uid="{00000000-0005-0000-0000-000000000000}"/>
    <cellStyle name="$m" xfId="2" xr:uid="{00000000-0005-0000-0000-000001000000}"/>
    <cellStyle name="$q" xfId="3" xr:uid="{00000000-0005-0000-0000-000002000000}"/>
    <cellStyle name="$q*" xfId="4" xr:uid="{00000000-0005-0000-0000-000003000000}"/>
    <cellStyle name="$q_valuation" xfId="5" xr:uid="{00000000-0005-0000-0000-000004000000}"/>
    <cellStyle name="$qA" xfId="6" xr:uid="{00000000-0005-0000-0000-000005000000}"/>
    <cellStyle name="$qRange" xfId="7" xr:uid="{00000000-0005-0000-0000-000006000000}"/>
    <cellStyle name="%" xfId="8" xr:uid="{00000000-0005-0000-0000-000007000000}"/>
    <cellStyle name="******************************************" xfId="9" xr:uid="{00000000-0005-0000-0000-000008000000}"/>
    <cellStyle name="2 Decimal Places_MA Software Comps - List_AccretionDilution OTGS v16.xls Chart 1" xfId="10" xr:uid="{00000000-0005-0000-0000-000009000000}"/>
    <cellStyle name="20% - Accent1 2" xfId="11" xr:uid="{00000000-0005-0000-0000-00000A000000}"/>
    <cellStyle name="20% - Accent2 2" xfId="12" xr:uid="{00000000-0005-0000-0000-00000B000000}"/>
    <cellStyle name="20% - Accent3 2" xfId="13" xr:uid="{00000000-0005-0000-0000-00000C000000}"/>
    <cellStyle name="20% - Accent4 2" xfId="14" xr:uid="{00000000-0005-0000-0000-00000D000000}"/>
    <cellStyle name="20% - Accent5 2" xfId="15" xr:uid="{00000000-0005-0000-0000-00000E000000}"/>
    <cellStyle name="20% - Accent6 2" xfId="16" xr:uid="{00000000-0005-0000-0000-00000F000000}"/>
    <cellStyle name="40% - Accent1 2" xfId="17" xr:uid="{00000000-0005-0000-0000-000010000000}"/>
    <cellStyle name="40% - Accent2 2" xfId="18" xr:uid="{00000000-0005-0000-0000-000011000000}"/>
    <cellStyle name="40% - Accent3 2" xfId="19" xr:uid="{00000000-0005-0000-0000-000012000000}"/>
    <cellStyle name="40% - Accent4 2" xfId="20" xr:uid="{00000000-0005-0000-0000-000013000000}"/>
    <cellStyle name="40% - Accent5 2" xfId="21" xr:uid="{00000000-0005-0000-0000-000014000000}"/>
    <cellStyle name="40% - Accent6 2" xfId="22" xr:uid="{00000000-0005-0000-0000-000015000000}"/>
    <cellStyle name="60% - Accent1 2" xfId="23" xr:uid="{00000000-0005-0000-0000-000016000000}"/>
    <cellStyle name="60% - Accent2 2" xfId="24" xr:uid="{00000000-0005-0000-0000-000017000000}"/>
    <cellStyle name="60% - Accent3 2" xfId="25" xr:uid="{00000000-0005-0000-0000-000018000000}"/>
    <cellStyle name="60% - Accent4 2" xfId="26" xr:uid="{00000000-0005-0000-0000-000019000000}"/>
    <cellStyle name="60% - Accent5 2" xfId="27" xr:uid="{00000000-0005-0000-0000-00001A000000}"/>
    <cellStyle name="60% - Accent6 2" xfId="28" xr:uid="{00000000-0005-0000-0000-00001B000000}"/>
    <cellStyle name="Accent1 2" xfId="29" xr:uid="{00000000-0005-0000-0000-00001C000000}"/>
    <cellStyle name="Accent2 2" xfId="30" xr:uid="{00000000-0005-0000-0000-00001D000000}"/>
    <cellStyle name="Accent3 2" xfId="31" xr:uid="{00000000-0005-0000-0000-00001E000000}"/>
    <cellStyle name="Accent4 2" xfId="32" xr:uid="{00000000-0005-0000-0000-00001F000000}"/>
    <cellStyle name="Accent5 2" xfId="33" xr:uid="{00000000-0005-0000-0000-000020000000}"/>
    <cellStyle name="Accent6 2" xfId="34" xr:uid="{00000000-0005-0000-0000-000021000000}"/>
    <cellStyle name="AFE" xfId="35" xr:uid="{00000000-0005-0000-0000-000022000000}"/>
    <cellStyle name="Bad 2" xfId="36" xr:uid="{00000000-0005-0000-0000-000023000000}"/>
    <cellStyle name="Balance" xfId="37" xr:uid="{00000000-0005-0000-0000-000024000000}"/>
    <cellStyle name="BalanceSheet" xfId="38" xr:uid="{00000000-0005-0000-0000-000025000000}"/>
    <cellStyle name="Body_$Numeric" xfId="39" xr:uid="{00000000-0005-0000-0000-000026000000}"/>
    <cellStyle name="Bold Header" xfId="40" xr:uid="{00000000-0005-0000-0000-000027000000}"/>
    <cellStyle name="Calculation 2" xfId="41" xr:uid="{00000000-0005-0000-0000-000028000000}"/>
    <cellStyle name="CashFlow" xfId="42" xr:uid="{00000000-0005-0000-0000-000029000000}"/>
    <cellStyle name="Check" xfId="43" xr:uid="{00000000-0005-0000-0000-00002A000000}"/>
    <cellStyle name="Check Cell 2" xfId="44" xr:uid="{00000000-0005-0000-0000-00002B000000}"/>
    <cellStyle name="ColHeading" xfId="45" xr:uid="{00000000-0005-0000-0000-00002C000000}"/>
    <cellStyle name="colheadleft" xfId="46" xr:uid="{00000000-0005-0000-0000-00002D000000}"/>
    <cellStyle name="colheadright" xfId="47" xr:uid="{00000000-0005-0000-0000-00002E000000}"/>
    <cellStyle name="Comma 2" xfId="48" xr:uid="{00000000-0005-0000-0000-00002F000000}"/>
    <cellStyle name="Comma0" xfId="49" xr:uid="{00000000-0005-0000-0000-000030000000}"/>
    <cellStyle name="Comma2" xfId="50" xr:uid="{00000000-0005-0000-0000-000031000000}"/>
    <cellStyle name="Company" xfId="51" xr:uid="{00000000-0005-0000-0000-000032000000}"/>
    <cellStyle name="CurRatio" xfId="52" xr:uid="{00000000-0005-0000-0000-000033000000}"/>
    <cellStyle name="Currency [1]" xfId="53" xr:uid="{00000000-0005-0000-0000-000034000000}"/>
    <cellStyle name="Currency [2]" xfId="54" xr:uid="{00000000-0005-0000-0000-000035000000}"/>
    <cellStyle name="Currency0" xfId="55" xr:uid="{00000000-0005-0000-0000-000036000000}"/>
    <cellStyle name="Currency2" xfId="56" xr:uid="{00000000-0005-0000-0000-000037000000}"/>
    <cellStyle name="d_yield" xfId="57" xr:uid="{00000000-0005-0000-0000-000038000000}"/>
    <cellStyle name="d_yield_CW's MAKER MODEL" xfId="58" xr:uid="{00000000-0005-0000-0000-000039000000}"/>
    <cellStyle name="d_yield_valuation" xfId="59" xr:uid="{00000000-0005-0000-0000-00003A000000}"/>
    <cellStyle name="Date [d-mmm-yy]" xfId="60" xr:uid="{00000000-0005-0000-0000-00003B000000}"/>
    <cellStyle name="Date [mmm-d-yyyy]" xfId="61" xr:uid="{00000000-0005-0000-0000-00003C000000}"/>
    <cellStyle name="Date [mmm-yyyy]" xfId="62" xr:uid="{00000000-0005-0000-0000-00003D000000}"/>
    <cellStyle name="Dates" xfId="63" xr:uid="{00000000-0005-0000-0000-00003E000000}"/>
    <cellStyle name="DateYear" xfId="64" xr:uid="{00000000-0005-0000-0000-00003F000000}"/>
    <cellStyle name="Dezimal_Capital expenditure planning FY 2000" xfId="65" xr:uid="{00000000-0005-0000-0000-000040000000}"/>
    <cellStyle name="Dollar" xfId="66" xr:uid="{00000000-0005-0000-0000-000041000000}"/>
    <cellStyle name="Dollars" xfId="67" xr:uid="{00000000-0005-0000-0000-000042000000}"/>
    <cellStyle name="DollarWhole" xfId="68" xr:uid="{00000000-0005-0000-0000-000043000000}"/>
    <cellStyle name="eps" xfId="69" xr:uid="{00000000-0005-0000-0000-000044000000}"/>
    <cellStyle name="eps$" xfId="70" xr:uid="{00000000-0005-0000-0000-000045000000}"/>
    <cellStyle name="eps$A" xfId="71" xr:uid="{00000000-0005-0000-0000-000046000000}"/>
    <cellStyle name="eps$E" xfId="72" xr:uid="{00000000-0005-0000-0000-000047000000}"/>
    <cellStyle name="eps_CW's MAKER MODEL" xfId="73" xr:uid="{00000000-0005-0000-0000-000048000000}"/>
    <cellStyle name="epsA" xfId="74" xr:uid="{00000000-0005-0000-0000-000049000000}"/>
    <cellStyle name="EPSActual" xfId="75" xr:uid="{00000000-0005-0000-0000-00004A000000}"/>
    <cellStyle name="epsE" xfId="76" xr:uid="{00000000-0005-0000-0000-00004B000000}"/>
    <cellStyle name="EPSEstimate" xfId="77" xr:uid="{00000000-0005-0000-0000-00004C000000}"/>
    <cellStyle name="Euro" xfId="78" xr:uid="{00000000-0005-0000-0000-00004D000000}"/>
    <cellStyle name="Explanatory Text 2" xfId="79" xr:uid="{00000000-0005-0000-0000-00004E000000}"/>
    <cellStyle name="fy_eps$" xfId="80" xr:uid="{00000000-0005-0000-0000-00004F000000}"/>
    <cellStyle name="g_rate" xfId="81" xr:uid="{00000000-0005-0000-0000-000050000000}"/>
    <cellStyle name="g_rate_CW's MAKER MODEL" xfId="82" xr:uid="{00000000-0005-0000-0000-000051000000}"/>
    <cellStyle name="g_rate_valuation" xfId="83" xr:uid="{00000000-0005-0000-0000-000052000000}"/>
    <cellStyle name="General" xfId="84" xr:uid="{00000000-0005-0000-0000-000053000000}"/>
    <cellStyle name="Good 2" xfId="85" xr:uid="{00000000-0005-0000-0000-000054000000}"/>
    <cellStyle name="GrowthRate" xfId="86" xr:uid="{00000000-0005-0000-0000-000055000000}"/>
    <cellStyle name="GrowthSeq" xfId="87" xr:uid="{00000000-0005-0000-0000-000056000000}"/>
    <cellStyle name="Hard Number Input" xfId="88" xr:uid="{00000000-0005-0000-0000-000057000000}"/>
    <cellStyle name="Heading 1 2" xfId="89" xr:uid="{00000000-0005-0000-0000-000058000000}"/>
    <cellStyle name="Heading 2 2" xfId="90" xr:uid="{00000000-0005-0000-0000-000059000000}"/>
    <cellStyle name="Heading 3 2" xfId="91" xr:uid="{00000000-0005-0000-0000-00005A000000}"/>
    <cellStyle name="Heading 4 2" xfId="92" xr:uid="{00000000-0005-0000-0000-00005B000000}"/>
    <cellStyle name="Historical Number" xfId="93" xr:uid="{00000000-0005-0000-0000-00005C000000}"/>
    <cellStyle name="iemens" xfId="94" xr:uid="{00000000-0005-0000-0000-00005D000000}"/>
    <cellStyle name="Income" xfId="95" xr:uid="{00000000-0005-0000-0000-00005E000000}"/>
    <cellStyle name="IncomeStatement" xfId="96" xr:uid="{00000000-0005-0000-0000-00005F000000}"/>
    <cellStyle name="Input 2" xfId="97" xr:uid="{00000000-0005-0000-0000-000060000000}"/>
    <cellStyle name="Input Fixed [0]" xfId="98" xr:uid="{00000000-0005-0000-0000-000061000000}"/>
    <cellStyle name="Integer" xfId="99" xr:uid="{00000000-0005-0000-0000-000062000000}"/>
    <cellStyle name="Inverse Header" xfId="100" xr:uid="{00000000-0005-0000-0000-000063000000}"/>
    <cellStyle name="Item" xfId="101" xr:uid="{00000000-0005-0000-0000-000064000000}"/>
    <cellStyle name="ItemTypeClass" xfId="102" xr:uid="{00000000-0005-0000-0000-000065000000}"/>
    <cellStyle name="Linked Cell 2" xfId="103" xr:uid="{00000000-0005-0000-0000-000066000000}"/>
    <cellStyle name="LTGR" xfId="104" xr:uid="{00000000-0005-0000-0000-000067000000}"/>
    <cellStyle name="m" xfId="105" xr:uid="{00000000-0005-0000-0000-000068000000}"/>
    <cellStyle name="m$" xfId="106" xr:uid="{00000000-0005-0000-0000-000069000000}"/>
    <cellStyle name="m_CW's MAKER MODEL" xfId="107" xr:uid="{00000000-0005-0000-0000-00006A000000}"/>
    <cellStyle name="m_valuation" xfId="108" xr:uid="{00000000-0005-0000-0000-00006B000000}"/>
    <cellStyle name="Margin" xfId="109" xr:uid="{00000000-0005-0000-0000-00006C000000}"/>
    <cellStyle name="Margins" xfId="110" xr:uid="{00000000-0005-0000-0000-00006D000000}"/>
    <cellStyle name="mm" xfId="111" xr:uid="{00000000-0005-0000-0000-00006E000000}"/>
    <cellStyle name="Multiple" xfId="112" xr:uid="{00000000-0005-0000-0000-00006F000000}"/>
    <cellStyle name="NA is zero" xfId="113" xr:uid="{00000000-0005-0000-0000-000070000000}"/>
    <cellStyle name="Neutral 2" xfId="114" xr:uid="{00000000-0005-0000-0000-000071000000}"/>
    <cellStyle name="Normal" xfId="0" builtinId="0"/>
    <cellStyle name="Normal [0]" xfId="115" xr:uid="{00000000-0005-0000-0000-000073000000}"/>
    <cellStyle name="Normal [1]" xfId="116" xr:uid="{00000000-0005-0000-0000-000074000000}"/>
    <cellStyle name="Normal [2]" xfId="117" xr:uid="{00000000-0005-0000-0000-000075000000}"/>
    <cellStyle name="Normal [3]" xfId="118" xr:uid="{00000000-0005-0000-0000-000076000000}"/>
    <cellStyle name="Normal 2" xfId="119" xr:uid="{00000000-0005-0000-0000-000077000000}"/>
    <cellStyle name="Normal Bold" xfId="120" xr:uid="{00000000-0005-0000-0000-000078000000}"/>
    <cellStyle name="Normal Pct" xfId="121" xr:uid="{00000000-0005-0000-0000-000079000000}"/>
    <cellStyle name="Normal_Matrix LBO Model v2 - Tri-State_05_EBITDA" xfId="186" xr:uid="{00000000-0005-0000-0000-00007A000000}"/>
    <cellStyle name="NormalX" xfId="122" xr:uid="{00000000-0005-0000-0000-00007B000000}"/>
    <cellStyle name="Note 2" xfId="123" xr:uid="{00000000-0005-0000-0000-00007C000000}"/>
    <cellStyle name="NPPESalesPct" xfId="124" xr:uid="{00000000-0005-0000-0000-00007D000000}"/>
    <cellStyle name="Number" xfId="125" xr:uid="{00000000-0005-0000-0000-00007E000000}"/>
    <cellStyle name="NWI%S" xfId="126" xr:uid="{00000000-0005-0000-0000-00007F000000}"/>
    <cellStyle name="Output 2" xfId="127" xr:uid="{00000000-0005-0000-0000-000080000000}"/>
    <cellStyle name="P/E" xfId="128" xr:uid="{00000000-0005-0000-0000-000081000000}"/>
    <cellStyle name="Palatino" xfId="129" xr:uid="{00000000-0005-0000-0000-000082000000}"/>
    <cellStyle name="pc1" xfId="130" xr:uid="{00000000-0005-0000-0000-000083000000}"/>
    <cellStyle name="pe" xfId="131" xr:uid="{00000000-0005-0000-0000-000084000000}"/>
    <cellStyle name="PE/LTGR" xfId="132" xr:uid="{00000000-0005-0000-0000-000085000000}"/>
    <cellStyle name="PEG" xfId="133" xr:uid="{00000000-0005-0000-0000-000086000000}"/>
    <cellStyle name="Percent" xfId="187" builtinId="5"/>
    <cellStyle name="Percent [0]" xfId="134" xr:uid="{00000000-0005-0000-0000-000087000000}"/>
    <cellStyle name="Percent [1]" xfId="135" xr:uid="{00000000-0005-0000-0000-000088000000}"/>
    <cellStyle name="Percent [2]" xfId="136" xr:uid="{00000000-0005-0000-0000-000089000000}"/>
    <cellStyle name="PercentChange" xfId="137" xr:uid="{00000000-0005-0000-0000-00008A000000}"/>
    <cellStyle name="PercentPresentation" xfId="138" xr:uid="{00000000-0005-0000-0000-00008B000000}"/>
    <cellStyle name="PerShare" xfId="139" xr:uid="{00000000-0005-0000-0000-00008C000000}"/>
    <cellStyle name="POPS" xfId="140" xr:uid="{00000000-0005-0000-0000-00008D000000}"/>
    <cellStyle name="Presentation" xfId="141" xr:uid="{00000000-0005-0000-0000-00008E000000}"/>
    <cellStyle name="PresentationZero" xfId="142" xr:uid="{00000000-0005-0000-0000-00008F000000}"/>
    <cellStyle name="price" xfId="143" xr:uid="{00000000-0005-0000-0000-000090000000}"/>
    <cellStyle name="q" xfId="144" xr:uid="{00000000-0005-0000-0000-000091000000}"/>
    <cellStyle name="q_CW's MAKER MODEL" xfId="145" xr:uid="{00000000-0005-0000-0000-000092000000}"/>
    <cellStyle name="QEPS-h" xfId="146" xr:uid="{00000000-0005-0000-0000-000093000000}"/>
    <cellStyle name="QEPS-H1" xfId="147" xr:uid="{00000000-0005-0000-0000-000094000000}"/>
    <cellStyle name="qRange" xfId="148" xr:uid="{00000000-0005-0000-0000-000095000000}"/>
    <cellStyle name="range" xfId="149" xr:uid="{00000000-0005-0000-0000-000096000000}"/>
    <cellStyle name="RatioX" xfId="150" xr:uid="{00000000-0005-0000-0000-000097000000}"/>
    <cellStyle name="Report" xfId="151" xr:uid="{00000000-0005-0000-0000-000098000000}"/>
    <cellStyle name="Right" xfId="152" xr:uid="{00000000-0005-0000-0000-000099000000}"/>
    <cellStyle name="SectionHeading" xfId="153" xr:uid="{00000000-0005-0000-0000-00009A000000}"/>
    <cellStyle name="Shares" xfId="154" xr:uid="{00000000-0005-0000-0000-00009B000000}"/>
    <cellStyle name="StockPrice" xfId="155" xr:uid="{00000000-0005-0000-0000-00009C000000}"/>
    <cellStyle name="Style 1" xfId="156" xr:uid="{00000000-0005-0000-0000-00009D000000}"/>
    <cellStyle name="Style 21" xfId="157" xr:uid="{00000000-0005-0000-0000-00009E000000}"/>
    <cellStyle name="Style 22" xfId="158" xr:uid="{00000000-0005-0000-0000-00009F000000}"/>
    <cellStyle name="Style 23" xfId="159" xr:uid="{00000000-0005-0000-0000-0000A0000000}"/>
    <cellStyle name="Style 24" xfId="160" xr:uid="{00000000-0005-0000-0000-0000A1000000}"/>
    <cellStyle name="Style 26" xfId="161" xr:uid="{00000000-0005-0000-0000-0000A2000000}"/>
    <cellStyle name="Style 27" xfId="162" xr:uid="{00000000-0005-0000-0000-0000A3000000}"/>
    <cellStyle name="Style 34" xfId="163" xr:uid="{00000000-0005-0000-0000-0000A4000000}"/>
    <cellStyle name="Style 37" xfId="164" xr:uid="{00000000-0005-0000-0000-0000A5000000}"/>
    <cellStyle name="Style 63" xfId="165" xr:uid="{00000000-0005-0000-0000-0000A6000000}"/>
    <cellStyle name="SubDollar" xfId="166" xr:uid="{00000000-0005-0000-0000-0000A7000000}"/>
    <cellStyle name="SubGrowth" xfId="167" xr:uid="{00000000-0005-0000-0000-0000A8000000}"/>
    <cellStyle name="SubGrowthRate" xfId="168" xr:uid="{00000000-0005-0000-0000-0000A9000000}"/>
    <cellStyle name="SubMargins" xfId="169" xr:uid="{00000000-0005-0000-0000-0000AA000000}"/>
    <cellStyle name="SubPenetration" xfId="170" xr:uid="{00000000-0005-0000-0000-0000AB000000}"/>
    <cellStyle name="Subscribers" xfId="171" xr:uid="{00000000-0005-0000-0000-0000AC000000}"/>
    <cellStyle name="SubVariable" xfId="172" xr:uid="{00000000-0005-0000-0000-0000AD000000}"/>
    <cellStyle name="tcn" xfId="173" xr:uid="{00000000-0005-0000-0000-0000AE000000}"/>
    <cellStyle name="Times [1]" xfId="174" xr:uid="{00000000-0005-0000-0000-0000AF000000}"/>
    <cellStyle name="Times [2]" xfId="175" xr:uid="{00000000-0005-0000-0000-0000B0000000}"/>
    <cellStyle name="Title 2" xfId="176" xr:uid="{00000000-0005-0000-0000-0000B1000000}"/>
    <cellStyle name="title2" xfId="177" xr:uid="{00000000-0005-0000-0000-0000B2000000}"/>
    <cellStyle name="TitleII" xfId="178" xr:uid="{00000000-0005-0000-0000-0000B3000000}"/>
    <cellStyle name="Titles" xfId="179" xr:uid="{00000000-0005-0000-0000-0000B4000000}"/>
    <cellStyle name="TitleSub" xfId="180" xr:uid="{00000000-0005-0000-0000-0000B5000000}"/>
    <cellStyle name="tn" xfId="181" xr:uid="{00000000-0005-0000-0000-0000B6000000}"/>
    <cellStyle name="Total 2" xfId="182" xr:uid="{00000000-0005-0000-0000-0000B7000000}"/>
    <cellStyle name="Warning Text 2" xfId="183" xr:uid="{00000000-0005-0000-0000-0000B8000000}"/>
    <cellStyle name="WholeNumber" xfId="184" xr:uid="{00000000-0005-0000-0000-0000B9000000}"/>
    <cellStyle name="Year&quot;E&quot;" xfId="185" xr:uid="{00000000-0005-0000-0000-0000BA000000}"/>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2.xml"/><Relationship Id="rId4" Type="http://schemas.openxmlformats.org/officeDocument/2006/relationships/externalLink" Target="externalLinks/externalLink1.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DOCUME~1/Owner/LOCALS~1/Temp/Rar$DI00.921/Valuation_2010_Model.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nkumar.WSP/Downloads/DataSet1.xlsb"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istorical Data"/>
      <sheetName val="Forecast Drivers"/>
      <sheetName val="Results"/>
      <sheetName val="Valuation Summary"/>
    </sheetNames>
    <sheetDataSet>
      <sheetData sheetId="0" refreshError="1"/>
      <sheetData sheetId="1">
        <row r="25">
          <cell r="E25">
            <v>0</v>
          </cell>
          <cell r="F25">
            <v>0</v>
          </cell>
          <cell r="G25">
            <v>0</v>
          </cell>
          <cell r="H25">
            <v>0</v>
          </cell>
          <cell r="I25">
            <v>0</v>
          </cell>
          <cell r="J25">
            <v>0</v>
          </cell>
          <cell r="K25">
            <v>0</v>
          </cell>
          <cell r="L25">
            <v>0</v>
          </cell>
          <cell r="M25">
            <v>0</v>
          </cell>
          <cell r="N25">
            <v>0</v>
          </cell>
          <cell r="O25">
            <v>0</v>
          </cell>
          <cell r="P25">
            <v>0</v>
          </cell>
          <cell r="Q25">
            <v>0</v>
          </cell>
          <cell r="R25">
            <v>0</v>
          </cell>
          <cell r="S25">
            <v>0</v>
          </cell>
        </row>
        <row r="330">
          <cell r="D330">
            <v>1</v>
          </cell>
        </row>
      </sheetData>
      <sheetData sheetId="2">
        <row r="142">
          <cell r="F142">
            <v>0</v>
          </cell>
        </row>
        <row r="145">
          <cell r="F145">
            <v>0</v>
          </cell>
          <cell r="G145">
            <v>0</v>
          </cell>
          <cell r="H145">
            <v>0</v>
          </cell>
          <cell r="I145">
            <v>0</v>
          </cell>
          <cell r="J145">
            <v>0</v>
          </cell>
          <cell r="K145">
            <v>0</v>
          </cell>
          <cell r="L145">
            <v>0</v>
          </cell>
          <cell r="M145">
            <v>0</v>
          </cell>
          <cell r="N145">
            <v>0</v>
          </cell>
          <cell r="O145">
            <v>0</v>
          </cell>
          <cell r="P145">
            <v>0</v>
          </cell>
          <cell r="Q145">
            <v>0</v>
          </cell>
          <cell r="R145">
            <v>0</v>
          </cell>
          <cell r="S145">
            <v>0</v>
          </cell>
          <cell r="T145">
            <v>0</v>
          </cell>
          <cell r="U145">
            <v>0</v>
          </cell>
          <cell r="V145">
            <v>0</v>
          </cell>
          <cell r="W145">
            <v>0</v>
          </cell>
          <cell r="X145">
            <v>0</v>
          </cell>
          <cell r="Y145">
            <v>0</v>
          </cell>
          <cell r="Z145">
            <v>0</v>
          </cell>
          <cell r="AA145">
            <v>0</v>
          </cell>
          <cell r="AB145">
            <v>0</v>
          </cell>
          <cell r="AC145">
            <v>0</v>
          </cell>
          <cell r="AD145">
            <v>0</v>
          </cell>
        </row>
        <row r="182">
          <cell r="E182">
            <v>0</v>
          </cell>
          <cell r="F182">
            <v>0</v>
          </cell>
          <cell r="G182">
            <v>0</v>
          </cell>
          <cell r="H182">
            <v>0</v>
          </cell>
          <cell r="I182">
            <v>0</v>
          </cell>
          <cell r="J182">
            <v>0</v>
          </cell>
          <cell r="K182">
            <v>0</v>
          </cell>
          <cell r="L182">
            <v>0</v>
          </cell>
          <cell r="M182">
            <v>0</v>
          </cell>
          <cell r="N182">
            <v>0</v>
          </cell>
          <cell r="O182">
            <v>0</v>
          </cell>
          <cell r="P182">
            <v>0</v>
          </cell>
          <cell r="Q182">
            <v>0</v>
          </cell>
          <cell r="R182">
            <v>0</v>
          </cell>
          <cell r="S182">
            <v>0</v>
          </cell>
          <cell r="T182">
            <v>0</v>
          </cell>
          <cell r="U182">
            <v>0</v>
          </cell>
          <cell r="V182">
            <v>0</v>
          </cell>
          <cell r="W182">
            <v>0</v>
          </cell>
          <cell r="X182">
            <v>0</v>
          </cell>
          <cell r="Y182">
            <v>0</v>
          </cell>
          <cell r="Z182">
            <v>0</v>
          </cell>
          <cell r="AA182">
            <v>0</v>
          </cell>
          <cell r="AB182">
            <v>0</v>
          </cell>
          <cell r="AC182">
            <v>0</v>
          </cell>
          <cell r="AD182">
            <v>0</v>
          </cell>
        </row>
      </sheetData>
      <sheetData sheetId="3"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irc_ans"/>
      <sheetName val="Circ"/>
      <sheetName val="Reg 0"/>
      <sheetName val="Reg_ans"/>
      <sheetName val="CF"/>
      <sheetName val="CF_ans"/>
      <sheetName val="BoostToolkitClipBoard2010"/>
      <sheetName val="DS0"/>
      <sheetName val="DS0_ans"/>
      <sheetName val="Data Set1"/>
      <sheetName val="DataSet2"/>
      <sheetName val="DataSet3"/>
      <sheetName val="Other"/>
      <sheetName val="DataSet4"/>
      <sheetName val="Array0"/>
      <sheetName val="Array1"/>
      <sheetName val="Array2"/>
      <sheetName val="Array3"/>
      <sheetName val="Array4"/>
      <sheetName val="Array5"/>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ow r="5">
          <cell r="B5" t="str">
            <v>iPad</v>
          </cell>
          <cell r="C5">
            <v>500</v>
          </cell>
        </row>
        <row r="6">
          <cell r="B6" t="str">
            <v>iPod</v>
          </cell>
          <cell r="C6">
            <v>200</v>
          </cell>
        </row>
        <row r="7">
          <cell r="B7" t="str">
            <v>iPhone</v>
          </cell>
          <cell r="C7">
            <v>400</v>
          </cell>
        </row>
      </sheetData>
      <sheetData sheetId="15"/>
      <sheetData sheetId="16"/>
      <sheetData sheetId="17"/>
      <sheetData sheetId="18"/>
      <sheetData sheetId="1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185"/>
  <sheetViews>
    <sheetView tabSelected="1" topLeftCell="A69" zoomScaleNormal="100" workbookViewId="0">
      <pane ySplit="5400" topLeftCell="A152" activePane="bottomLeft"/>
      <selection activeCell="F131" sqref="F131:J131"/>
      <selection pane="bottomLeft" activeCell="E178" sqref="E178"/>
    </sheetView>
  </sheetViews>
  <sheetFormatPr defaultRowHeight="15"/>
  <cols>
    <col min="1" max="1" width="1.7109375" customWidth="1"/>
    <col min="2" max="2" width="34.7109375" customWidth="1"/>
    <col min="3" max="10" width="15.7109375" customWidth="1"/>
    <col min="11" max="12" width="12.85546875" customWidth="1"/>
  </cols>
  <sheetData>
    <row r="1" spans="2:10" ht="15.75" thickBot="1"/>
    <row r="2" spans="2:10" ht="27" thickBot="1">
      <c r="B2" s="1" t="str">
        <f>"Leveraged Buyout Model for "&amp;D6</f>
        <v>Leveraged Buyout Model for BMC</v>
      </c>
      <c r="C2" s="10"/>
      <c r="D2" s="10"/>
      <c r="E2" s="10"/>
      <c r="F2" s="10"/>
      <c r="G2" s="10"/>
      <c r="H2" s="10"/>
      <c r="I2" s="10"/>
      <c r="J2" s="10"/>
    </row>
    <row r="3" spans="2:10">
      <c r="B3" s="2" t="s">
        <v>0</v>
      </c>
      <c r="C3" s="11"/>
    </row>
    <row r="4" spans="2:10">
      <c r="B4" s="12"/>
      <c r="D4" s="11"/>
    </row>
    <row r="5" spans="2:10">
      <c r="B5" s="13" t="s">
        <v>115</v>
      </c>
      <c r="C5" s="15"/>
      <c r="D5" s="15"/>
      <c r="F5" s="67" t="s">
        <v>116</v>
      </c>
      <c r="G5" s="15"/>
      <c r="H5" s="15"/>
      <c r="I5" s="15"/>
      <c r="J5" s="15"/>
    </row>
    <row r="6" spans="2:10">
      <c r="B6" s="58" t="s">
        <v>1</v>
      </c>
      <c r="D6" s="3" t="s">
        <v>134</v>
      </c>
    </row>
    <row r="7" spans="2:10">
      <c r="B7" s="58" t="s">
        <v>113</v>
      </c>
      <c r="D7" s="3" t="s">
        <v>134</v>
      </c>
      <c r="F7" s="21" t="s">
        <v>156</v>
      </c>
      <c r="H7" s="123">
        <v>2</v>
      </c>
      <c r="I7" s="94">
        <v>1</v>
      </c>
      <c r="J7" s="95">
        <v>2</v>
      </c>
    </row>
    <row r="8" spans="2:10">
      <c r="B8" s="58" t="s">
        <v>114</v>
      </c>
      <c r="D8" s="55">
        <v>45.42</v>
      </c>
      <c r="H8" s="124" t="str">
        <f>CHOOSE($H$7,I8,J8)</f>
        <v>Explicit offer/share</v>
      </c>
      <c r="I8" s="97" t="s">
        <v>158</v>
      </c>
      <c r="J8" s="97" t="s">
        <v>159</v>
      </c>
    </row>
    <row r="9" spans="2:10">
      <c r="B9" s="58" t="s">
        <v>155</v>
      </c>
      <c r="D9" s="5">
        <v>41400</v>
      </c>
    </row>
    <row r="10" spans="2:10">
      <c r="B10" s="58" t="s">
        <v>2</v>
      </c>
      <c r="D10" s="7" t="s">
        <v>3</v>
      </c>
      <c r="F10" s="6" t="s">
        <v>65</v>
      </c>
      <c r="H10" s="131">
        <f>$D$13</f>
        <v>882.70000000000027</v>
      </c>
      <c r="I10" s="39">
        <f>$D$13</f>
        <v>882.70000000000027</v>
      </c>
      <c r="J10" s="39">
        <f>$D$13</f>
        <v>882.70000000000027</v>
      </c>
    </row>
    <row r="11" spans="2:10">
      <c r="F11" s="6" t="s">
        <v>110</v>
      </c>
      <c r="H11" s="125">
        <f>CHOOSE($H$7,I11,J11)</f>
        <v>7.3252818058230416</v>
      </c>
      <c r="I11" s="90">
        <v>8</v>
      </c>
      <c r="J11" s="91">
        <f>J12/J10</f>
        <v>7.3252818058230416</v>
      </c>
    </row>
    <row r="12" spans="2:10">
      <c r="B12" s="13" t="s">
        <v>170</v>
      </c>
      <c r="C12" s="15"/>
      <c r="D12" s="13"/>
      <c r="F12" s="4" t="s">
        <v>53</v>
      </c>
      <c r="H12" s="126">
        <f>D13*H11</f>
        <v>6466.0262500000008</v>
      </c>
      <c r="I12" s="114">
        <f>I10*I11</f>
        <v>7061.6000000000022</v>
      </c>
      <c r="J12" s="114">
        <f>J17-J14-J15</f>
        <v>6466.0262500000008</v>
      </c>
    </row>
    <row r="13" spans="2:10">
      <c r="B13" s="58" t="s">
        <v>168</v>
      </c>
      <c r="D13" s="39">
        <f>E60</f>
        <v>882.70000000000027</v>
      </c>
      <c r="H13" s="127"/>
    </row>
    <row r="14" spans="2:10">
      <c r="B14" s="58" t="s">
        <v>176</v>
      </c>
      <c r="D14" s="73">
        <v>-1306</v>
      </c>
      <c r="F14" s="58" t="s">
        <v>153</v>
      </c>
      <c r="H14" s="128">
        <f>$D$14</f>
        <v>-1306</v>
      </c>
      <c r="I14" s="96">
        <f>$D$14</f>
        <v>-1306</v>
      </c>
      <c r="J14" s="96">
        <f>$D$14</f>
        <v>-1306</v>
      </c>
    </row>
    <row r="15" spans="2:10">
      <c r="B15" s="58" t="s">
        <v>45</v>
      </c>
      <c r="D15" s="73">
        <v>1581.9</v>
      </c>
      <c r="F15" s="58" t="s">
        <v>151</v>
      </c>
      <c r="H15" s="128">
        <f>$D$15</f>
        <v>1581.9</v>
      </c>
      <c r="I15" s="96">
        <f>$D$15</f>
        <v>1581.9</v>
      </c>
      <c r="J15" s="96">
        <f>$D$15</f>
        <v>1581.9</v>
      </c>
    </row>
    <row r="16" spans="2:10">
      <c r="B16" s="27" t="s">
        <v>169</v>
      </c>
      <c r="D16" s="73">
        <v>180</v>
      </c>
      <c r="H16" s="127"/>
    </row>
    <row r="17" spans="2:18">
      <c r="B17" s="58" t="s">
        <v>157</v>
      </c>
      <c r="D17" s="136">
        <v>7.3</v>
      </c>
      <c r="F17" s="4" t="s">
        <v>66</v>
      </c>
      <c r="H17" s="129">
        <f>H12+SUM(H14:H15)</f>
        <v>6741.9262500000004</v>
      </c>
      <c r="I17" s="114">
        <f>I12+SUM(I14:I15)</f>
        <v>7337.5000000000018</v>
      </c>
      <c r="J17" s="114">
        <f>J18*J20</f>
        <v>6741.9262500000004</v>
      </c>
    </row>
    <row r="18" spans="2:18">
      <c r="C18" s="86"/>
      <c r="F18" t="s">
        <v>18</v>
      </c>
      <c r="H18" s="130">
        <f>Shares!$E$14</f>
        <v>145.77137837837839</v>
      </c>
      <c r="I18" s="92">
        <f>Shares!$E$14</f>
        <v>145.77137837837839</v>
      </c>
      <c r="J18" s="92">
        <f>Shares!$E$14</f>
        <v>145.77137837837839</v>
      </c>
      <c r="K18" s="93"/>
      <c r="L18" s="93"/>
    </row>
    <row r="19" spans="2:18">
      <c r="B19" s="67" t="s">
        <v>127</v>
      </c>
      <c r="C19" s="15"/>
      <c r="D19" s="15"/>
      <c r="H19" s="127"/>
      <c r="K19" s="93"/>
      <c r="L19" s="93"/>
    </row>
    <row r="20" spans="2:18">
      <c r="B20" s="27" t="s">
        <v>67</v>
      </c>
      <c r="D20" s="57">
        <f>H17</f>
        <v>6741.9262500000004</v>
      </c>
      <c r="F20" s="4" t="s">
        <v>111</v>
      </c>
      <c r="H20" s="133">
        <f>H17/H18</f>
        <v>46.25</v>
      </c>
      <c r="I20" s="102">
        <f>I17/I18</f>
        <v>50.335670017155714</v>
      </c>
      <c r="J20" s="134">
        <v>46.25</v>
      </c>
      <c r="K20" s="93"/>
      <c r="L20" s="93"/>
    </row>
    <row r="21" spans="2:18">
      <c r="B21" s="27" t="s">
        <v>69</v>
      </c>
      <c r="D21" s="57">
        <f>-(D14)</f>
        <v>1306</v>
      </c>
      <c r="F21" s="70" t="s">
        <v>112</v>
      </c>
      <c r="H21" s="132">
        <f>H20/$D$8-1</f>
        <v>1.8273888154997753E-2</v>
      </c>
      <c r="I21" s="93">
        <f>I20/$D$8-1</f>
        <v>0.10822699289202364</v>
      </c>
      <c r="J21" s="93">
        <f>J20/$D$8-1</f>
        <v>1.8273888154997753E-2</v>
      </c>
      <c r="K21" s="93"/>
      <c r="L21" s="93"/>
    </row>
    <row r="22" spans="2:18">
      <c r="B22" s="27" t="s">
        <v>175</v>
      </c>
      <c r="D22" s="135">
        <f>H36+H33</f>
        <v>204.52769000000004</v>
      </c>
      <c r="H22" s="70"/>
      <c r="J22" s="46"/>
      <c r="K22" s="93"/>
      <c r="L22" s="93"/>
    </row>
    <row r="23" spans="2:18">
      <c r="B23" s="24" t="s">
        <v>71</v>
      </c>
      <c r="D23" s="72">
        <f>SUM(D20:D22)</f>
        <v>8252.4539400000012</v>
      </c>
      <c r="H23" s="70"/>
      <c r="J23" s="46"/>
      <c r="K23" s="93"/>
      <c r="L23" s="93"/>
    </row>
    <row r="24" spans="2:18">
      <c r="C24" s="86"/>
      <c r="H24" s="70"/>
      <c r="J24" s="46"/>
      <c r="K24" s="93"/>
      <c r="L24" s="93"/>
    </row>
    <row r="25" spans="2:18">
      <c r="B25" s="67" t="s">
        <v>126</v>
      </c>
      <c r="C25" s="15"/>
      <c r="D25" s="15"/>
      <c r="F25" s="13" t="s">
        <v>171</v>
      </c>
      <c r="G25" s="15"/>
      <c r="H25" s="15"/>
      <c r="I25" s="15"/>
      <c r="J25" s="15"/>
    </row>
    <row r="26" spans="2:18" ht="16.5">
      <c r="C26" s="71" t="s">
        <v>119</v>
      </c>
      <c r="D26" s="71" t="s">
        <v>120</v>
      </c>
      <c r="G26" s="103" t="s">
        <v>165</v>
      </c>
      <c r="H26" s="103" t="s">
        <v>173</v>
      </c>
      <c r="I26" s="103" t="s">
        <v>164</v>
      </c>
      <c r="J26" s="103" t="s">
        <v>166</v>
      </c>
    </row>
    <row r="27" spans="2:18">
      <c r="B27" s="58" t="s">
        <v>68</v>
      </c>
      <c r="C27" s="116">
        <f>D27/$D$13</f>
        <v>1.5881953098447941</v>
      </c>
      <c r="D27" s="57">
        <f>MAX(0,D15-D16)</f>
        <v>1401.9</v>
      </c>
      <c r="F27" s="21" t="s">
        <v>163</v>
      </c>
    </row>
    <row r="28" spans="2:18">
      <c r="B28" s="58" t="s">
        <v>28</v>
      </c>
      <c r="C28" s="117">
        <v>0</v>
      </c>
      <c r="D28" s="57">
        <f t="shared" ref="D28:D34" si="0">$D$13*C28</f>
        <v>0</v>
      </c>
      <c r="F28" s="27" t="str">
        <f>B28</f>
        <v>Revolver</v>
      </c>
      <c r="G28" s="34">
        <v>0.01</v>
      </c>
      <c r="H28" s="57">
        <f>D28*G28</f>
        <v>0</v>
      </c>
      <c r="I28" s="115">
        <v>5</v>
      </c>
      <c r="J28" s="96">
        <f>IFERROR(G28*D28/I28, "NM")</f>
        <v>0</v>
      </c>
    </row>
    <row r="29" spans="2:18">
      <c r="B29" s="27" t="s">
        <v>82</v>
      </c>
      <c r="C29" s="118">
        <v>3.27</v>
      </c>
      <c r="D29" s="57">
        <f t="shared" si="0"/>
        <v>2886.429000000001</v>
      </c>
      <c r="F29" s="27" t="str">
        <f>B29</f>
        <v>Term Loan A</v>
      </c>
      <c r="G29" s="34">
        <v>1.4999999999999999E-2</v>
      </c>
      <c r="H29" s="57">
        <f>D29*G29</f>
        <v>43.296435000000017</v>
      </c>
      <c r="I29" s="115">
        <v>7</v>
      </c>
      <c r="J29" s="96">
        <f>IFERROR(G29*D29/I29, "NM")</f>
        <v>6.1852050000000025</v>
      </c>
    </row>
    <row r="30" spans="2:18">
      <c r="B30" s="27" t="s">
        <v>83</v>
      </c>
      <c r="C30" s="118">
        <v>0.76</v>
      </c>
      <c r="D30" s="57">
        <f t="shared" si="0"/>
        <v>670.8520000000002</v>
      </c>
      <c r="F30" s="27" t="str">
        <f>B30</f>
        <v>Term Loan B</v>
      </c>
      <c r="G30" s="34">
        <v>1.4999999999999999E-2</v>
      </c>
      <c r="H30" s="57">
        <f>D30*G30</f>
        <v>10.062780000000002</v>
      </c>
      <c r="I30" s="115">
        <v>7</v>
      </c>
      <c r="J30" s="96">
        <f>IFERROR(G30*D30/I30, "NM")</f>
        <v>1.4375400000000003</v>
      </c>
      <c r="P30" s="24"/>
      <c r="R30" s="72"/>
    </row>
    <row r="31" spans="2:18">
      <c r="B31" s="27" t="s">
        <v>84</v>
      </c>
      <c r="C31" s="118">
        <v>1.85</v>
      </c>
      <c r="D31" s="57">
        <f t="shared" si="0"/>
        <v>1632.9950000000006</v>
      </c>
      <c r="F31" s="27" t="str">
        <f>B31</f>
        <v>Senior Note</v>
      </c>
      <c r="G31" s="34">
        <v>0.01</v>
      </c>
      <c r="H31" s="57">
        <f>D31*G31</f>
        <v>16.329950000000007</v>
      </c>
      <c r="I31" s="115">
        <v>8</v>
      </c>
      <c r="J31" s="96">
        <f>IFERROR(G31*D31/I31, "NM")</f>
        <v>2.0412437500000009</v>
      </c>
      <c r="P31" s="24"/>
      <c r="R31" s="72"/>
    </row>
    <row r="32" spans="2:18">
      <c r="B32" s="27" t="s">
        <v>85</v>
      </c>
      <c r="C32" s="118">
        <v>0</v>
      </c>
      <c r="D32" s="57">
        <f t="shared" si="0"/>
        <v>0</v>
      </c>
      <c r="F32" s="27" t="str">
        <f>B32</f>
        <v>Sub Note</v>
      </c>
      <c r="G32" s="34">
        <v>0</v>
      </c>
      <c r="H32" s="89">
        <f>D32*G32</f>
        <v>0</v>
      </c>
      <c r="I32" s="115">
        <v>0</v>
      </c>
      <c r="J32" s="121" t="str">
        <f>IFERROR(G32*D32/I32, "NM")</f>
        <v>NM</v>
      </c>
      <c r="P32" s="24"/>
      <c r="R32" s="72"/>
    </row>
    <row r="33" spans="1:18">
      <c r="B33" s="27" t="s">
        <v>108</v>
      </c>
      <c r="C33" s="118">
        <v>0</v>
      </c>
      <c r="D33" s="57">
        <f t="shared" si="0"/>
        <v>0</v>
      </c>
      <c r="F33" s="122" t="s">
        <v>163</v>
      </c>
      <c r="H33" s="72">
        <f>SUM(H28:H32)</f>
        <v>69.689165000000031</v>
      </c>
      <c r="I33" s="47"/>
      <c r="J33" s="57">
        <f>SUM(J28:J32)</f>
        <v>9.6639887500000032</v>
      </c>
      <c r="P33" s="24"/>
      <c r="R33" s="72"/>
    </row>
    <row r="34" spans="1:18">
      <c r="B34" s="27" t="s">
        <v>129</v>
      </c>
      <c r="C34" s="119">
        <v>0</v>
      </c>
      <c r="D34" s="57">
        <f t="shared" si="0"/>
        <v>0</v>
      </c>
      <c r="H34" s="72"/>
      <c r="P34" s="24"/>
      <c r="R34" s="72"/>
    </row>
    <row r="35" spans="1:18" ht="16.5">
      <c r="B35" s="27" t="s">
        <v>70</v>
      </c>
      <c r="C35" s="116">
        <f>D35/$D$13</f>
        <v>1.8809085079868568</v>
      </c>
      <c r="D35" s="89">
        <f>D23-SUM(D27:D34)</f>
        <v>1660.277939999999</v>
      </c>
      <c r="F35" s="27"/>
      <c r="G35" s="103" t="s">
        <v>172</v>
      </c>
      <c r="H35" s="103" t="s">
        <v>173</v>
      </c>
      <c r="P35" s="24"/>
      <c r="R35" s="72"/>
    </row>
    <row r="36" spans="1:18">
      <c r="B36" s="36" t="s">
        <v>121</v>
      </c>
      <c r="C36" s="120">
        <f>SUM(C27:C35)</f>
        <v>9.3491038178316508</v>
      </c>
      <c r="D36" s="72">
        <f>SUM(D27:D35)</f>
        <v>8252.4539400000012</v>
      </c>
      <c r="F36" s="122" t="s">
        <v>174</v>
      </c>
      <c r="G36" s="86">
        <v>0.02</v>
      </c>
      <c r="H36" s="72">
        <f>G36*H17</f>
        <v>134.838525</v>
      </c>
    </row>
    <row r="38" spans="1:18">
      <c r="A38" t="s">
        <v>52</v>
      </c>
      <c r="B38" s="13" t="s">
        <v>4</v>
      </c>
      <c r="C38" s="14"/>
      <c r="D38" s="15"/>
      <c r="E38" s="15"/>
      <c r="F38" s="15"/>
      <c r="G38" s="15"/>
      <c r="H38" s="15"/>
      <c r="I38" s="15"/>
      <c r="J38" s="15"/>
    </row>
    <row r="39" spans="1:18">
      <c r="B39" t="s">
        <v>5</v>
      </c>
      <c r="C39" s="16">
        <f>D39-1</f>
        <v>2011</v>
      </c>
      <c r="D39" s="16">
        <f>E39-1</f>
        <v>2012</v>
      </c>
      <c r="E39" s="16">
        <f>YEAR(E40)</f>
        <v>2013</v>
      </c>
      <c r="F39" s="17">
        <f>E39+1</f>
        <v>2014</v>
      </c>
      <c r="G39" s="17">
        <f>F39+1</f>
        <v>2015</v>
      </c>
      <c r="H39" s="17">
        <f>G39+1</f>
        <v>2016</v>
      </c>
      <c r="I39" s="17">
        <f>H39+1</f>
        <v>2017</v>
      </c>
      <c r="J39" s="17">
        <f>I39+1</f>
        <v>2018</v>
      </c>
    </row>
    <row r="40" spans="1:18">
      <c r="B40" s="18" t="s">
        <v>6</v>
      </c>
      <c r="C40" s="19">
        <v>40633</v>
      </c>
      <c r="D40" s="19">
        <v>40999</v>
      </c>
      <c r="E40" s="19">
        <v>41364</v>
      </c>
      <c r="F40" s="20">
        <f>EOMONTH(E40,12)</f>
        <v>41729</v>
      </c>
      <c r="G40" s="20">
        <f>EOMONTH(F40,12)</f>
        <v>42094</v>
      </c>
      <c r="H40" s="20">
        <f>EOMONTH(G40,12)</f>
        <v>42460</v>
      </c>
      <c r="I40" s="20">
        <f>EOMONTH(H40,12)</f>
        <v>42825</v>
      </c>
      <c r="J40" s="20">
        <f>EOMONTH(I40,12)</f>
        <v>43190</v>
      </c>
    </row>
    <row r="41" spans="1:18">
      <c r="B41" s="21"/>
      <c r="C41" s="22"/>
      <c r="D41" s="22"/>
      <c r="E41" s="23"/>
      <c r="F41" s="23"/>
      <c r="G41" s="23"/>
      <c r="H41" s="23"/>
      <c r="I41" s="23"/>
      <c r="J41" s="23"/>
    </row>
    <row r="42" spans="1:18">
      <c r="B42" t="s">
        <v>7</v>
      </c>
      <c r="C42" s="84">
        <v>2065.3000000000002</v>
      </c>
      <c r="D42" s="84">
        <v>2172</v>
      </c>
      <c r="E42" s="84">
        <v>2201.4</v>
      </c>
      <c r="F42" s="85">
        <f>E42*(1+F63)</f>
        <v>2278.4490000000001</v>
      </c>
      <c r="G42" s="85">
        <f>F42*(1+G63)</f>
        <v>2403.7636950000001</v>
      </c>
      <c r="H42" s="85">
        <f>G42*(1+H63)</f>
        <v>2547.9895167000004</v>
      </c>
      <c r="I42" s="85">
        <f>H42*(1+I63)</f>
        <v>2675.3889925350004</v>
      </c>
      <c r="J42" s="85">
        <f>I42*(1+J63)</f>
        <v>2803.8076641766806</v>
      </c>
    </row>
    <row r="43" spans="1:18">
      <c r="B43" t="s">
        <v>8</v>
      </c>
      <c r="C43" s="84">
        <f>-(129.8+169.4+186)</f>
        <v>-485.20000000000005</v>
      </c>
      <c r="D43" s="84">
        <f>-(158.4+198.5+212)</f>
        <v>-568.9</v>
      </c>
      <c r="E43" s="84">
        <f>-(159.6+208.4+224)</f>
        <v>-592</v>
      </c>
      <c r="F43" s="85">
        <f>F44-F42</f>
        <v>-581.59219970234994</v>
      </c>
      <c r="G43" s="85">
        <f>G44-G42</f>
        <v>-601.56095221097917</v>
      </c>
      <c r="H43" s="85">
        <f>H44-H42</f>
        <v>-624.91466176013796</v>
      </c>
      <c r="I43" s="85">
        <f>I44-I42</f>
        <v>-642.78344988546974</v>
      </c>
      <c r="J43" s="85">
        <f>J44-J42</f>
        <v>-659.61801715908905</v>
      </c>
    </row>
    <row r="44" spans="1:18">
      <c r="B44" s="24" t="s">
        <v>9</v>
      </c>
      <c r="C44" s="83">
        <f>SUM(C42:C43)</f>
        <v>1580.1000000000001</v>
      </c>
      <c r="D44" s="83">
        <f>SUM(D42:D43)</f>
        <v>1603.1</v>
      </c>
      <c r="E44" s="83">
        <f>SUM(E42:E43)</f>
        <v>1609.4</v>
      </c>
      <c r="F44" s="83">
        <f>F42*F64</f>
        <v>1696.8568002976501</v>
      </c>
      <c r="G44" s="83">
        <f>G42*G64</f>
        <v>1802.2027427890209</v>
      </c>
      <c r="H44" s="83">
        <f>H42*H64</f>
        <v>1923.0748549398625</v>
      </c>
      <c r="I44" s="83">
        <f>I42*I64</f>
        <v>2032.6055426495307</v>
      </c>
      <c r="J44" s="83">
        <f>J42*J64</f>
        <v>2144.1896470175916</v>
      </c>
    </row>
    <row r="45" spans="1:18">
      <c r="B45" t="s">
        <v>10</v>
      </c>
      <c r="C45" s="84">
        <v>-181.6</v>
      </c>
      <c r="D45" s="84">
        <v>-165.2</v>
      </c>
      <c r="E45" s="84">
        <v>-174.6</v>
      </c>
      <c r="F45" s="85">
        <f>-(F65*F42)</f>
        <v>-184.78313334862591</v>
      </c>
      <c r="G45" s="85">
        <f>-(G65*G42)</f>
        <v>-194.94620568280035</v>
      </c>
      <c r="H45" s="85">
        <f>-(H65*H42)</f>
        <v>-206.64297802376839</v>
      </c>
      <c r="I45" s="85">
        <f>-(I65*I42)</f>
        <v>-216.97512692495681</v>
      </c>
      <c r="J45" s="85">
        <f>-(J65*J42)</f>
        <v>-227.38993301735476</v>
      </c>
    </row>
    <row r="46" spans="1:18">
      <c r="B46" t="s">
        <v>11</v>
      </c>
      <c r="C46" s="84">
        <f>-(611.4+220.7+33.6)</f>
        <v>-865.69999999999993</v>
      </c>
      <c r="D46" s="84">
        <f>-(634+217.9+42.1)</f>
        <v>-894</v>
      </c>
      <c r="E46" s="84">
        <f>-(686.9+238.7+43.8)</f>
        <v>-969.39999999999986</v>
      </c>
      <c r="F46" s="85">
        <f>-F66*F42</f>
        <v>-965.39603068528015</v>
      </c>
      <c r="G46" s="85">
        <f>-G66*G42</f>
        <v>-994.45517542297057</v>
      </c>
      <c r="H46" s="85">
        <f>-H66*H42</f>
        <v>-1028.6425907813489</v>
      </c>
      <c r="I46" s="85">
        <f>-I66*I42</f>
        <v>-1053.3208303950664</v>
      </c>
      <c r="J46" s="85">
        <f>-J66*J42</f>
        <v>-1075.8421536122628</v>
      </c>
    </row>
    <row r="47" spans="1:18">
      <c r="B47" s="24" t="s">
        <v>12</v>
      </c>
      <c r="C47" s="83">
        <f t="shared" ref="C47:J47" si="1">SUM(C44:C46)</f>
        <v>532.8000000000003</v>
      </c>
      <c r="D47" s="83">
        <f t="shared" si="1"/>
        <v>543.89999999999986</v>
      </c>
      <c r="E47" s="83">
        <f t="shared" si="1"/>
        <v>465.40000000000032</v>
      </c>
      <c r="F47" s="83">
        <f t="shared" si="1"/>
        <v>546.67763626374415</v>
      </c>
      <c r="G47" s="83">
        <f t="shared" si="1"/>
        <v>612.80136168324998</v>
      </c>
      <c r="H47" s="83">
        <f t="shared" si="1"/>
        <v>687.78928613474523</v>
      </c>
      <c r="I47" s="83">
        <f t="shared" si="1"/>
        <v>762.3095853295074</v>
      </c>
      <c r="J47" s="83">
        <f t="shared" si="1"/>
        <v>840.95756038797413</v>
      </c>
      <c r="K47" s="25"/>
    </row>
    <row r="48" spans="1:18">
      <c r="B48" t="s">
        <v>13</v>
      </c>
      <c r="C48" s="84">
        <v>15</v>
      </c>
      <c r="D48" s="84">
        <v>10.6</v>
      </c>
      <c r="E48" s="84">
        <v>8.3000000000000007</v>
      </c>
      <c r="F48" s="57">
        <f ca="1">F142</f>
        <v>4.5450722610722618</v>
      </c>
      <c r="G48" s="57">
        <f ca="1">G142</f>
        <v>0.92867132867132884</v>
      </c>
      <c r="H48" s="57">
        <f ca="1">H142</f>
        <v>0.92867132867132884</v>
      </c>
      <c r="I48" s="57">
        <f ca="1">I142</f>
        <v>0.92867132867132884</v>
      </c>
      <c r="J48" s="57">
        <f ca="1">J142</f>
        <v>1.9125669892292783</v>
      </c>
    </row>
    <row r="49" spans="2:11">
      <c r="B49" t="s">
        <v>14</v>
      </c>
      <c r="C49" s="84">
        <v>-19.8</v>
      </c>
      <c r="D49" s="84">
        <v>-23.3</v>
      </c>
      <c r="E49" s="84">
        <v>-47.8</v>
      </c>
      <c r="F49" s="57"/>
      <c r="G49" s="57"/>
      <c r="H49" s="57"/>
      <c r="I49" s="57"/>
      <c r="J49" s="57"/>
    </row>
    <row r="50" spans="2:11">
      <c r="B50" t="s">
        <v>135</v>
      </c>
      <c r="C50" s="84">
        <v>3.3</v>
      </c>
      <c r="D50" s="84">
        <v>-1.2</v>
      </c>
      <c r="E50" s="84">
        <v>2</v>
      </c>
      <c r="F50" s="57">
        <v>0</v>
      </c>
      <c r="G50" s="57">
        <v>0</v>
      </c>
      <c r="H50" s="57">
        <v>0</v>
      </c>
      <c r="I50" s="57">
        <v>0</v>
      </c>
      <c r="J50" s="57">
        <v>0</v>
      </c>
    </row>
    <row r="51" spans="2:11">
      <c r="B51" s="24" t="s">
        <v>15</v>
      </c>
      <c r="C51" s="83">
        <f t="shared" ref="C51:J51" si="2">SUM(C47:C50)</f>
        <v>531.3000000000003</v>
      </c>
      <c r="D51" s="83">
        <f t="shared" si="2"/>
        <v>529.99999999999989</v>
      </c>
      <c r="E51" s="83">
        <f t="shared" si="2"/>
        <v>427.90000000000032</v>
      </c>
      <c r="F51" s="83">
        <f ca="1">SUM(F47:F50)</f>
        <v>551.22270852481643</v>
      </c>
      <c r="G51" s="83">
        <f t="shared" ca="1" si="2"/>
        <v>613.73003301192136</v>
      </c>
      <c r="H51" s="83">
        <f t="shared" ca="1" si="2"/>
        <v>688.71795746341661</v>
      </c>
      <c r="I51" s="83">
        <f t="shared" ca="1" si="2"/>
        <v>763.23825665817878</v>
      </c>
      <c r="J51" s="83">
        <f t="shared" ca="1" si="2"/>
        <v>842.8701273772034</v>
      </c>
    </row>
    <row r="52" spans="2:11">
      <c r="B52" t="s">
        <v>16</v>
      </c>
      <c r="C52" s="84">
        <v>-75.099999999999994</v>
      </c>
      <c r="D52" s="84">
        <v>-129</v>
      </c>
      <c r="E52" s="84">
        <v>-96.9</v>
      </c>
      <c r="F52" s="85">
        <f ca="1">-F67*F51</f>
        <v>-124.82701672366132</v>
      </c>
      <c r="G52" s="85">
        <f ca="1">-G67*G51</f>
        <v>-138.98209908589658</v>
      </c>
      <c r="H52" s="85">
        <f ca="1">-H67*H51</f>
        <v>-155.96347295677734</v>
      </c>
      <c r="I52" s="85">
        <f ca="1">-I67*I51</f>
        <v>-172.8389508534178</v>
      </c>
      <c r="J52" s="85">
        <f ca="1">-J67*J51</f>
        <v>-190.87196855071502</v>
      </c>
    </row>
    <row r="53" spans="2:11">
      <c r="B53" s="24" t="s">
        <v>17</v>
      </c>
      <c r="C53" s="83">
        <f t="shared" ref="C53:J53" si="3">SUM(C51:C52)</f>
        <v>456.20000000000027</v>
      </c>
      <c r="D53" s="83">
        <f t="shared" si="3"/>
        <v>400.99999999999989</v>
      </c>
      <c r="E53" s="83">
        <f t="shared" si="3"/>
        <v>331.00000000000034</v>
      </c>
      <c r="F53" s="83">
        <f t="shared" ca="1" si="3"/>
        <v>426.39569180115512</v>
      </c>
      <c r="G53" s="83">
        <f t="shared" ca="1" si="3"/>
        <v>474.74793392602476</v>
      </c>
      <c r="H53" s="83">
        <f t="shared" ca="1" si="3"/>
        <v>532.7544845066393</v>
      </c>
      <c r="I53" s="83">
        <f t="shared" ca="1" si="3"/>
        <v>590.39930580476096</v>
      </c>
      <c r="J53" s="83">
        <f t="shared" ca="1" si="3"/>
        <v>651.99815882648841</v>
      </c>
    </row>
    <row r="54" spans="2:11">
      <c r="C54" s="25"/>
      <c r="D54" s="25"/>
      <c r="E54" s="25"/>
      <c r="F54" s="25"/>
      <c r="G54" s="25"/>
      <c r="H54" s="25"/>
      <c r="I54" s="25"/>
      <c r="J54" s="25"/>
    </row>
    <row r="55" spans="2:11">
      <c r="B55" s="26" t="s">
        <v>140</v>
      </c>
      <c r="C55" s="25"/>
      <c r="D55" s="25"/>
      <c r="E55" s="25"/>
      <c r="F55" s="25"/>
      <c r="G55" s="25"/>
      <c r="H55" s="25"/>
      <c r="I55" s="25"/>
      <c r="J55" s="25"/>
    </row>
    <row r="56" spans="2:11">
      <c r="B56" s="36" t="s">
        <v>139</v>
      </c>
      <c r="C56" s="57">
        <f t="shared" ref="C56:J56" si="4">C47</f>
        <v>532.8000000000003</v>
      </c>
      <c r="D56" s="57">
        <f t="shared" si="4"/>
        <v>543.89999999999986</v>
      </c>
      <c r="E56" s="57">
        <f t="shared" si="4"/>
        <v>465.40000000000032</v>
      </c>
      <c r="F56" s="57">
        <f t="shared" si="4"/>
        <v>546.67763626374415</v>
      </c>
      <c r="G56" s="57">
        <f t="shared" si="4"/>
        <v>612.80136168324998</v>
      </c>
      <c r="H56" s="57">
        <f t="shared" si="4"/>
        <v>687.78928613474523</v>
      </c>
      <c r="I56" s="57">
        <f t="shared" si="4"/>
        <v>762.3095853295074</v>
      </c>
      <c r="J56" s="57">
        <f t="shared" si="4"/>
        <v>840.95756038797413</v>
      </c>
    </row>
    <row r="57" spans="2:11">
      <c r="B57" s="27" t="s">
        <v>35</v>
      </c>
      <c r="C57" s="84">
        <v>190</v>
      </c>
      <c r="D57" s="84">
        <f>224.6</f>
        <v>224.6</v>
      </c>
      <c r="E57" s="84">
        <f>229</f>
        <v>229</v>
      </c>
      <c r="F57" s="57">
        <f>-(F97+F91+F103)</f>
        <v>223.94686822877298</v>
      </c>
      <c r="G57" s="57">
        <f>-(G97+G91+G103)</f>
        <v>220.60103174603177</v>
      </c>
      <c r="H57" s="57">
        <f>-(H97+H91+H103)</f>
        <v>222.40078105316201</v>
      </c>
      <c r="I57" s="57">
        <f>-(I97+I91+I103)</f>
        <v>224.19373141849334</v>
      </c>
      <c r="J57" s="57">
        <f>-(J97+J91+J103)</f>
        <v>223.00000000000003</v>
      </c>
    </row>
    <row r="58" spans="2:11">
      <c r="B58" s="27" t="s">
        <v>26</v>
      </c>
      <c r="C58" s="84">
        <v>106.5</v>
      </c>
      <c r="D58" s="84">
        <v>127.2</v>
      </c>
      <c r="E58" s="84">
        <v>147.4</v>
      </c>
      <c r="F58" s="57">
        <f>-(F68*SUM(F43,F45,F46))</f>
        <v>161.0547368274718</v>
      </c>
      <c r="G58" s="57">
        <f>-(G68*SUM(G43,G45,G46))</f>
        <v>162.08209116516588</v>
      </c>
      <c r="H58" s="57">
        <f>-(H68*SUM(H43,H45,H46))</f>
        <v>163.69762028974245</v>
      </c>
      <c r="I58" s="57">
        <f>-(I68*SUM(I43,I45,I46))</f>
        <v>163.56828931606964</v>
      </c>
      <c r="J58" s="57">
        <f>-(J68*SUM(J43,J45,J46))</f>
        <v>162.91655861446264</v>
      </c>
    </row>
    <row r="59" spans="2:11">
      <c r="B59" s="27" t="s">
        <v>136</v>
      </c>
      <c r="C59" s="84">
        <v>14.3</v>
      </c>
      <c r="D59" s="84">
        <v>10.8</v>
      </c>
      <c r="E59" s="84">
        <f>36+4.9</f>
        <v>40.9</v>
      </c>
      <c r="F59" s="84">
        <v>16</v>
      </c>
      <c r="G59" s="84">
        <v>5</v>
      </c>
      <c r="H59" s="84">
        <v>5</v>
      </c>
      <c r="I59" s="84">
        <v>0</v>
      </c>
      <c r="J59" s="84">
        <v>0</v>
      </c>
    </row>
    <row r="60" spans="2:11">
      <c r="B60" s="36" t="s">
        <v>27</v>
      </c>
      <c r="C60" s="83">
        <f t="shared" ref="C60:J60" si="5">SUM(C56:C59)</f>
        <v>843.60000000000025</v>
      </c>
      <c r="D60" s="83">
        <f t="shared" si="5"/>
        <v>906.49999999999989</v>
      </c>
      <c r="E60" s="83">
        <f t="shared" si="5"/>
        <v>882.70000000000027</v>
      </c>
      <c r="F60" s="83">
        <f t="shared" si="5"/>
        <v>947.67924131998893</v>
      </c>
      <c r="G60" s="83">
        <f t="shared" si="5"/>
        <v>1000.4844845944476</v>
      </c>
      <c r="H60" s="83">
        <f t="shared" si="5"/>
        <v>1078.8876874776497</v>
      </c>
      <c r="I60" s="83">
        <f t="shared" si="5"/>
        <v>1150.0716060640705</v>
      </c>
      <c r="J60" s="83">
        <f t="shared" si="5"/>
        <v>1226.8741190024368</v>
      </c>
    </row>
    <row r="61" spans="2:11">
      <c r="B61" s="29"/>
      <c r="C61" s="30"/>
      <c r="D61" s="30"/>
      <c r="E61" s="30"/>
      <c r="F61" s="30"/>
      <c r="G61" s="30"/>
      <c r="H61" s="30"/>
      <c r="I61" s="30"/>
      <c r="J61" s="30"/>
    </row>
    <row r="62" spans="2:11">
      <c r="B62" s="26" t="s">
        <v>19</v>
      </c>
      <c r="F62" s="57" t="s">
        <v>154</v>
      </c>
      <c r="K62" s="53" t="s">
        <v>123</v>
      </c>
    </row>
    <row r="63" spans="2:11">
      <c r="B63" s="35" t="s">
        <v>20</v>
      </c>
      <c r="C63" s="28" t="s">
        <v>21</v>
      </c>
      <c r="D63" s="9">
        <f>D42/C42-1</f>
        <v>5.1663196630029384E-2</v>
      </c>
      <c r="E63" s="9">
        <f>E42/D42-1</f>
        <v>1.3535911602210016E-2</v>
      </c>
      <c r="F63" s="34">
        <v>3.5000000000000003E-2</v>
      </c>
      <c r="G63" s="34">
        <v>5.5E-2</v>
      </c>
      <c r="H63" s="34">
        <v>0.06</v>
      </c>
      <c r="I63" s="34">
        <v>0.05</v>
      </c>
      <c r="J63" s="34">
        <v>4.8000000000000001E-2</v>
      </c>
      <c r="K63" s="34"/>
    </row>
    <row r="64" spans="2:11">
      <c r="B64" s="35" t="s">
        <v>22</v>
      </c>
      <c r="C64" s="9">
        <f>C44/C42</f>
        <v>0.76507044981358641</v>
      </c>
      <c r="D64" s="9">
        <f>D44/D42</f>
        <v>0.7380755064456721</v>
      </c>
      <c r="E64" s="9">
        <f>E44/E42</f>
        <v>0.73108022167711462</v>
      </c>
      <c r="F64" s="9">
        <f>AVERAGE(C64:E64)</f>
        <v>0.74474205931212423</v>
      </c>
      <c r="G64" s="9">
        <f t="shared" ref="G64:J68" si="6">F64+$K64</f>
        <v>0.74974205931212423</v>
      </c>
      <c r="H64" s="9">
        <f t="shared" si="6"/>
        <v>0.75474205931212424</v>
      </c>
      <c r="I64" s="9">
        <f t="shared" si="6"/>
        <v>0.75974205931212424</v>
      </c>
      <c r="J64" s="9">
        <f t="shared" si="6"/>
        <v>0.76474205931212424</v>
      </c>
      <c r="K64" s="34">
        <v>5.0000000000000001E-3</v>
      </c>
    </row>
    <row r="65" spans="2:11">
      <c r="B65" s="35" t="s">
        <v>23</v>
      </c>
      <c r="C65" s="9">
        <f t="shared" ref="C65:E66" si="7">-C45/C$42</f>
        <v>8.7929114414370776E-2</v>
      </c>
      <c r="D65" s="9">
        <f t="shared" si="7"/>
        <v>7.605893186003683E-2</v>
      </c>
      <c r="E65" s="9">
        <f t="shared" si="7"/>
        <v>7.9313164349959109E-2</v>
      </c>
      <c r="F65" s="9">
        <f>AVERAGE(C65:E65)</f>
        <v>8.1100403541455576E-2</v>
      </c>
      <c r="G65" s="9">
        <f t="shared" si="6"/>
        <v>8.1100403541455576E-2</v>
      </c>
      <c r="H65" s="9">
        <f t="shared" si="6"/>
        <v>8.1100403541455576E-2</v>
      </c>
      <c r="I65" s="9">
        <f t="shared" si="6"/>
        <v>8.1100403541455576E-2</v>
      </c>
      <c r="J65" s="9">
        <f t="shared" si="6"/>
        <v>8.1100403541455576E-2</v>
      </c>
      <c r="K65" s="34">
        <v>0</v>
      </c>
    </row>
    <row r="66" spans="2:11">
      <c r="B66" s="35" t="s">
        <v>24</v>
      </c>
      <c r="C66" s="9">
        <f t="shared" si="7"/>
        <v>0.41916428606013645</v>
      </c>
      <c r="D66" s="9">
        <f t="shared" si="7"/>
        <v>0.41160220994475138</v>
      </c>
      <c r="E66" s="9">
        <f t="shared" si="7"/>
        <v>0.44035613700372483</v>
      </c>
      <c r="F66" s="9">
        <f>AVERAGE(C66:E66)</f>
        <v>0.42370754433620422</v>
      </c>
      <c r="G66" s="9">
        <f t="shared" si="6"/>
        <v>0.41370754433620421</v>
      </c>
      <c r="H66" s="9">
        <f t="shared" si="6"/>
        <v>0.4037075443362042</v>
      </c>
      <c r="I66" s="9">
        <f t="shared" si="6"/>
        <v>0.3937075443362042</v>
      </c>
      <c r="J66" s="9">
        <f t="shared" si="6"/>
        <v>0.38370754433620419</v>
      </c>
      <c r="K66" s="34">
        <v>-0.01</v>
      </c>
    </row>
    <row r="67" spans="2:11">
      <c r="B67" s="35" t="s">
        <v>25</v>
      </c>
      <c r="C67" s="9">
        <f>-C52/C51</f>
        <v>0.14135140222096734</v>
      </c>
      <c r="D67" s="9">
        <f>-D52/D51</f>
        <v>0.2433962264150944</v>
      </c>
      <c r="E67" s="9">
        <f>-E52/E51</f>
        <v>0.2264547791540078</v>
      </c>
      <c r="F67" s="34">
        <f>E67</f>
        <v>0.2264547791540078</v>
      </c>
      <c r="G67" s="9">
        <f t="shared" si="6"/>
        <v>0.2264547791540078</v>
      </c>
      <c r="H67" s="9">
        <f t="shared" si="6"/>
        <v>0.2264547791540078</v>
      </c>
      <c r="I67" s="9">
        <f t="shared" si="6"/>
        <v>0.2264547791540078</v>
      </c>
      <c r="J67" s="9">
        <f t="shared" si="6"/>
        <v>0.2264547791540078</v>
      </c>
      <c r="K67" s="34">
        <v>0</v>
      </c>
    </row>
    <row r="68" spans="2:11">
      <c r="B68" s="35" t="s">
        <v>33</v>
      </c>
      <c r="C68" s="8">
        <f>-(C58/SUM(C43,C45,C46))</f>
        <v>6.949429037520391E-2</v>
      </c>
      <c r="D68" s="8">
        <f>-(D58/SUM(D43,D45,D46))</f>
        <v>7.8127879122904004E-2</v>
      </c>
      <c r="E68" s="8">
        <f>-(E58/SUM(E43,E45,E46))</f>
        <v>8.4907834101382487E-2</v>
      </c>
      <c r="F68" s="34">
        <v>9.2999999999999999E-2</v>
      </c>
      <c r="G68" s="9">
        <f t="shared" si="6"/>
        <v>9.0499999999999997E-2</v>
      </c>
      <c r="H68" s="9">
        <f t="shared" si="6"/>
        <v>8.7999999999999995E-2</v>
      </c>
      <c r="I68" s="9">
        <f t="shared" si="6"/>
        <v>8.5499999999999993E-2</v>
      </c>
      <c r="J68" s="9">
        <f t="shared" si="6"/>
        <v>8.299999999999999E-2</v>
      </c>
      <c r="K68" s="34">
        <v>-2.5000000000000001E-3</v>
      </c>
    </row>
    <row r="69" spans="2:11">
      <c r="B69" s="29"/>
      <c r="C69" s="30"/>
      <c r="D69" s="30"/>
      <c r="E69" s="30"/>
      <c r="F69" s="30"/>
      <c r="G69" s="30"/>
      <c r="H69" s="30"/>
      <c r="I69" s="30"/>
      <c r="J69" s="30"/>
    </row>
    <row r="70" spans="2:11">
      <c r="B70" s="65" t="s">
        <v>29</v>
      </c>
      <c r="C70" s="112"/>
      <c r="D70" s="112"/>
      <c r="E70" s="112"/>
      <c r="F70" s="112"/>
      <c r="G70" s="112"/>
      <c r="H70" s="112"/>
      <c r="I70" s="112"/>
      <c r="J70" s="112"/>
    </row>
    <row r="71" spans="2:11">
      <c r="B71" t="s">
        <v>5</v>
      </c>
      <c r="C71" s="30"/>
      <c r="D71" s="16">
        <f>D$39</f>
        <v>2012</v>
      </c>
      <c r="E71" s="16">
        <f t="shared" ref="E71:J71" si="8">E$39</f>
        <v>2013</v>
      </c>
      <c r="F71" s="17">
        <f t="shared" si="8"/>
        <v>2014</v>
      </c>
      <c r="G71" s="17">
        <f t="shared" si="8"/>
        <v>2015</v>
      </c>
      <c r="H71" s="17">
        <f t="shared" si="8"/>
        <v>2016</v>
      </c>
      <c r="I71" s="17">
        <f t="shared" si="8"/>
        <v>2017</v>
      </c>
      <c r="J71" s="17">
        <f t="shared" si="8"/>
        <v>2018</v>
      </c>
    </row>
    <row r="72" spans="2:11">
      <c r="B72" s="18" t="s">
        <v>6</v>
      </c>
      <c r="C72" s="112"/>
      <c r="D72" s="20">
        <f>D$40</f>
        <v>40999</v>
      </c>
      <c r="E72" s="20">
        <f t="shared" ref="E72:J72" si="9">E$40</f>
        <v>41364</v>
      </c>
      <c r="F72" s="20">
        <f t="shared" si="9"/>
        <v>41729</v>
      </c>
      <c r="G72" s="20">
        <f t="shared" si="9"/>
        <v>42094</v>
      </c>
      <c r="H72" s="20">
        <f t="shared" si="9"/>
        <v>42460</v>
      </c>
      <c r="I72" s="20">
        <f t="shared" si="9"/>
        <v>42825</v>
      </c>
      <c r="J72" s="20">
        <f t="shared" si="9"/>
        <v>43190</v>
      </c>
    </row>
    <row r="73" spans="2:11">
      <c r="B73" s="21"/>
      <c r="C73" s="30"/>
      <c r="D73" s="30"/>
      <c r="E73" s="30"/>
      <c r="F73" s="30"/>
      <c r="G73" s="30"/>
      <c r="H73" s="30"/>
      <c r="I73" s="30"/>
      <c r="J73" s="30"/>
    </row>
    <row r="74" spans="2:11">
      <c r="B74" s="29" t="s">
        <v>74</v>
      </c>
      <c r="C74" s="38"/>
      <c r="D74" s="82">
        <f>296.7+108+80.1</f>
        <v>484.79999999999995</v>
      </c>
      <c r="E74" s="82">
        <f>265.5+110.4+67.8</f>
        <v>443.7</v>
      </c>
      <c r="F74" s="72">
        <f>IF(F75,F75*F42,E74*(1+F63))</f>
        <v>459.22949999999997</v>
      </c>
      <c r="G74" s="72">
        <f>IF(G75,G75*G42,F74*(1+G63))</f>
        <v>484.4871225</v>
      </c>
      <c r="H74" s="72">
        <f>IF(H75,H75*H42,G74*(1+H63))</f>
        <v>513.55634985000006</v>
      </c>
      <c r="I74" s="72">
        <f>IF(I75,I75*I42,H74*(1+I63))</f>
        <v>539.23416734250009</v>
      </c>
      <c r="J74" s="72">
        <f>IF(J75,J75*J42,I74*(1+J63))</f>
        <v>565.11740737494006</v>
      </c>
    </row>
    <row r="75" spans="2:11">
      <c r="B75" s="45" t="s">
        <v>31</v>
      </c>
      <c r="C75" s="8"/>
      <c r="D75" s="8">
        <f>D74/D42</f>
        <v>0.22320441988950274</v>
      </c>
      <c r="E75" s="8">
        <f>E74/E42</f>
        <v>0.20155355682747342</v>
      </c>
      <c r="F75" s="9">
        <f>E75</f>
        <v>0.20155355682747342</v>
      </c>
      <c r="G75" s="9">
        <f>F75</f>
        <v>0.20155355682747342</v>
      </c>
      <c r="H75" s="9">
        <f>G75</f>
        <v>0.20155355682747342</v>
      </c>
      <c r="I75" s="9">
        <f>H75</f>
        <v>0.20155355682747342</v>
      </c>
      <c r="J75" s="9">
        <f>I75</f>
        <v>0.20155355682747342</v>
      </c>
    </row>
    <row r="76" spans="2:11">
      <c r="B76" s="29" t="s">
        <v>137</v>
      </c>
      <c r="C76" s="38"/>
      <c r="D76" s="82">
        <v>195.1</v>
      </c>
      <c r="E76" s="82">
        <v>213.1</v>
      </c>
      <c r="F76" s="72">
        <f>IF(F77,F77*F42,E76*(1+F63))</f>
        <v>220.55850000000001</v>
      </c>
      <c r="G76" s="72">
        <f>IF(G77,G77*G42,F76*(1+G63))</f>
        <v>232.68921750000001</v>
      </c>
      <c r="H76" s="72">
        <f>IF(H77,H77*H42,G76*(1+H63))</f>
        <v>246.65057055000003</v>
      </c>
      <c r="I76" s="72">
        <f>IF(I77,I77*I42,H76*(1+I63))</f>
        <v>258.98309907750001</v>
      </c>
      <c r="J76" s="72">
        <f>IF(J77,J77*J42,I76*(1+J63))</f>
        <v>271.41428783322004</v>
      </c>
    </row>
    <row r="77" spans="2:11">
      <c r="B77" s="45" t="s">
        <v>138</v>
      </c>
      <c r="C77" s="8"/>
      <c r="D77" s="8">
        <f>D76/D42</f>
        <v>8.9825046040515652E-2</v>
      </c>
      <c r="E77" s="8">
        <f>E76/E42</f>
        <v>9.6802035068592709E-2</v>
      </c>
      <c r="F77" s="9">
        <f>E77</f>
        <v>9.6802035068592709E-2</v>
      </c>
      <c r="G77" s="9">
        <f>F77</f>
        <v>9.6802035068592709E-2</v>
      </c>
      <c r="H77" s="9">
        <f>G77</f>
        <v>9.6802035068592709E-2</v>
      </c>
      <c r="I77" s="9">
        <f>H77</f>
        <v>9.6802035068592709E-2</v>
      </c>
      <c r="J77" s="9">
        <f>I77</f>
        <v>9.6802035068592709E-2</v>
      </c>
    </row>
    <row r="78" spans="2:11">
      <c r="B78" s="29" t="s">
        <v>73</v>
      </c>
      <c r="C78" s="38"/>
      <c r="D78" s="82">
        <f>31.5+1.2</f>
        <v>32.700000000000003</v>
      </c>
      <c r="E78" s="82">
        <f>31.6+10.5</f>
        <v>42.1</v>
      </c>
      <c r="F78" s="72">
        <f>IF(F79,-(F79*F43),E78*F43/E43)</f>
        <v>41.35985068829212</v>
      </c>
      <c r="G78" s="72">
        <f>IF(G79,-(G79*G43),F78*G43/F43)</f>
        <v>42.77992582446322</v>
      </c>
      <c r="H78" s="72">
        <f>IF(H79,-(H79*H43),G78*H43/G43)</f>
        <v>44.440721723144954</v>
      </c>
      <c r="I78" s="72">
        <f>IF(I79,-(I79*I43),H78*I43/H43)</f>
        <v>45.711458175976823</v>
      </c>
      <c r="J78" s="72">
        <f>IF(J79,-(J79*J43),I78*J43/I43)</f>
        <v>46.908646152698736</v>
      </c>
    </row>
    <row r="79" spans="2:11">
      <c r="B79" s="45" t="s">
        <v>32</v>
      </c>
      <c r="C79" s="8"/>
      <c r="D79" s="8">
        <f>-(D78/D43)</f>
        <v>5.7479346106521362E-2</v>
      </c>
      <c r="E79" s="8">
        <f>-(E78/E43)</f>
        <v>7.1114864864864874E-2</v>
      </c>
      <c r="F79" s="9">
        <f>E79</f>
        <v>7.1114864864864874E-2</v>
      </c>
      <c r="G79" s="9">
        <f>F79</f>
        <v>7.1114864864864874E-2</v>
      </c>
      <c r="H79" s="9">
        <f>G79</f>
        <v>7.1114864864864874E-2</v>
      </c>
      <c r="I79" s="9">
        <f>H79</f>
        <v>7.1114864864864874E-2</v>
      </c>
      <c r="J79" s="9">
        <f>I79</f>
        <v>7.1114864864864874E-2</v>
      </c>
    </row>
    <row r="80" spans="2:11">
      <c r="B80" s="29" t="s">
        <v>72</v>
      </c>
      <c r="C80" s="61"/>
      <c r="D80" s="82">
        <f>319.4+1059.5+934.4</f>
        <v>2313.3000000000002</v>
      </c>
      <c r="E80" s="82">
        <f>326.4+1038.6+936.7</f>
        <v>2301.6999999999998</v>
      </c>
      <c r="F80" s="72">
        <f>IF(F81,F81*F42,E80*(1+F63))</f>
        <v>2382.2594999999997</v>
      </c>
      <c r="G80" s="72">
        <f>IF(G81,G81*G42,F80*(1+G63))</f>
        <v>2513.2837724999995</v>
      </c>
      <c r="H80" s="72">
        <f>IF(H81,H81*H42,G80*(1+H63))</f>
        <v>2664.0807988500001</v>
      </c>
      <c r="I80" s="72">
        <f>IF(I81,I81*I42,H80*(1+I63))</f>
        <v>2797.2848387925001</v>
      </c>
      <c r="J80" s="72">
        <f>IF(J81,J81*J42,I80*(1+J63))</f>
        <v>2931.5545110545399</v>
      </c>
    </row>
    <row r="81" spans="2:11">
      <c r="B81" s="45" t="s">
        <v>80</v>
      </c>
      <c r="C81" s="8"/>
      <c r="D81" s="8">
        <f>D80/D42</f>
        <v>1.0650552486187845</v>
      </c>
      <c r="E81" s="9">
        <f>E80/E42</f>
        <v>1.0455619151449076</v>
      </c>
      <c r="F81" s="9">
        <f>E81</f>
        <v>1.0455619151449076</v>
      </c>
      <c r="G81" s="9">
        <f>F81</f>
        <v>1.0455619151449076</v>
      </c>
      <c r="H81" s="9">
        <f>G81</f>
        <v>1.0455619151449076</v>
      </c>
      <c r="I81" s="9">
        <f>H81</f>
        <v>1.0455619151449076</v>
      </c>
      <c r="J81" s="9">
        <f>I81</f>
        <v>1.0455619151449076</v>
      </c>
    </row>
    <row r="82" spans="2:11">
      <c r="B82" s="45"/>
      <c r="C82" s="8"/>
      <c r="D82" s="8"/>
      <c r="E82" s="9"/>
      <c r="F82" s="34"/>
      <c r="G82" s="34"/>
      <c r="H82" s="34"/>
      <c r="I82" s="34"/>
      <c r="J82" s="34"/>
    </row>
    <row r="83" spans="2:11">
      <c r="B83" s="47" t="s">
        <v>117</v>
      </c>
      <c r="C83" s="21"/>
      <c r="D83" s="113">
        <f t="shared" ref="D83:J83" si="10">D74+D76+-D78-D80</f>
        <v>-1666.1000000000004</v>
      </c>
      <c r="E83" s="113">
        <f t="shared" si="10"/>
        <v>-1687</v>
      </c>
      <c r="F83" s="113">
        <f t="shared" si="10"/>
        <v>-1743.8313506882919</v>
      </c>
      <c r="G83" s="113">
        <f t="shared" si="10"/>
        <v>-1838.8873583244626</v>
      </c>
      <c r="H83" s="113">
        <f t="shared" si="10"/>
        <v>-1948.314600173145</v>
      </c>
      <c r="I83" s="113">
        <f t="shared" si="10"/>
        <v>-2044.7790305484768</v>
      </c>
      <c r="J83" s="113">
        <f t="shared" si="10"/>
        <v>-2141.9314619990787</v>
      </c>
    </row>
    <row r="84" spans="2:11">
      <c r="D84" s="40"/>
      <c r="E84" s="40"/>
      <c r="F84" s="25"/>
      <c r="G84" s="25"/>
      <c r="H84" s="25"/>
      <c r="I84" s="25"/>
      <c r="J84" s="25"/>
    </row>
    <row r="85" spans="2:11">
      <c r="B85" s="65" t="s">
        <v>146</v>
      </c>
      <c r="C85" s="66"/>
      <c r="D85" s="66"/>
      <c r="E85" s="66"/>
      <c r="F85" s="59"/>
      <c r="G85" s="59"/>
      <c r="H85" s="59"/>
      <c r="I85" s="59"/>
      <c r="J85" s="59"/>
    </row>
    <row r="86" spans="2:11">
      <c r="B86" t="s">
        <v>5</v>
      </c>
      <c r="C86" s="30"/>
      <c r="D86" s="16">
        <f>D$39</f>
        <v>2012</v>
      </c>
      <c r="E86" s="16">
        <f t="shared" ref="E86:J86" si="11">E$39</f>
        <v>2013</v>
      </c>
      <c r="F86" s="17">
        <f t="shared" si="11"/>
        <v>2014</v>
      </c>
      <c r="G86" s="17">
        <f t="shared" si="11"/>
        <v>2015</v>
      </c>
      <c r="H86" s="17">
        <f t="shared" si="11"/>
        <v>2016</v>
      </c>
      <c r="I86" s="17">
        <f t="shared" si="11"/>
        <v>2017</v>
      </c>
      <c r="J86" s="17">
        <f t="shared" si="11"/>
        <v>2018</v>
      </c>
    </row>
    <row r="87" spans="2:11">
      <c r="B87" s="18" t="s">
        <v>6</v>
      </c>
      <c r="C87" s="112"/>
      <c r="D87" s="20">
        <f>D$40</f>
        <v>40999</v>
      </c>
      <c r="E87" s="20">
        <f t="shared" ref="E87:J87" si="12">E$40</f>
        <v>41364</v>
      </c>
      <c r="F87" s="20">
        <f t="shared" si="12"/>
        <v>41729</v>
      </c>
      <c r="G87" s="20">
        <f t="shared" si="12"/>
        <v>42094</v>
      </c>
      <c r="H87" s="20">
        <f t="shared" si="12"/>
        <v>42460</v>
      </c>
      <c r="I87" s="20">
        <f t="shared" si="12"/>
        <v>42825</v>
      </c>
      <c r="J87" s="20">
        <f t="shared" si="12"/>
        <v>43190</v>
      </c>
    </row>
    <row r="88" spans="2:11">
      <c r="B88" s="62"/>
    </row>
    <row r="89" spans="2:11">
      <c r="B89" s="29" t="s">
        <v>77</v>
      </c>
      <c r="C89" s="24"/>
      <c r="D89" s="82">
        <v>87.8</v>
      </c>
      <c r="E89" s="82">
        <v>85.2</v>
      </c>
      <c r="F89" s="72">
        <f>E89+SUM(F90:F91)</f>
        <v>73.144489795918361</v>
      </c>
      <c r="G89" s="72">
        <f>F89+SUM(G90:G91)</f>
        <v>63.407346938775504</v>
      </c>
      <c r="H89" s="72">
        <f>G89+SUM(H90:H91)</f>
        <v>56.452244897959183</v>
      </c>
      <c r="I89" s="72">
        <f>H89+SUM(I90:I91)</f>
        <v>53.090612244897962</v>
      </c>
      <c r="J89" s="72">
        <f>I89+SUM(J90:J91)</f>
        <v>53.090612244897962</v>
      </c>
      <c r="K89" s="53"/>
    </row>
    <row r="90" spans="2:11">
      <c r="B90" s="60" t="s">
        <v>37</v>
      </c>
      <c r="C90" s="84">
        <v>22</v>
      </c>
      <c r="D90" s="84">
        <v>26.5</v>
      </c>
      <c r="E90" s="84">
        <v>24.5</v>
      </c>
      <c r="F90" s="84">
        <v>26</v>
      </c>
      <c r="G90" s="84">
        <v>28</v>
      </c>
      <c r="H90" s="84">
        <v>30</v>
      </c>
      <c r="I90" s="84">
        <v>29</v>
      </c>
      <c r="J90" s="84">
        <v>31</v>
      </c>
    </row>
    <row r="91" spans="2:11">
      <c r="B91" s="60" t="s">
        <v>76</v>
      </c>
      <c r="C91" s="84">
        <v>-39.1</v>
      </c>
      <c r="D91" s="84">
        <v>-37.799999999999997</v>
      </c>
      <c r="E91" s="84">
        <v>-38.700000000000003</v>
      </c>
      <c r="F91" s="85">
        <f>-(F93*F90)</f>
        <v>-38.055510204081635</v>
      </c>
      <c r="G91" s="85">
        <f>-(G93*G90)</f>
        <v>-37.737142857142857</v>
      </c>
      <c r="H91" s="85">
        <f>-(H93*H90)</f>
        <v>-36.955102040816321</v>
      </c>
      <c r="I91" s="85">
        <f>-(I93*I90)</f>
        <v>-32.361632653061221</v>
      </c>
      <c r="J91" s="85">
        <f>-(J93*J90)</f>
        <v>-30.999999999999993</v>
      </c>
      <c r="K91" s="53" t="s">
        <v>144</v>
      </c>
    </row>
    <row r="92" spans="2:11">
      <c r="B92" s="62" t="s">
        <v>147</v>
      </c>
      <c r="C92" s="9">
        <f t="shared" ref="C92:J92" si="13">-(C90/C42)</f>
        <v>-1.0652205490727738E-2</v>
      </c>
      <c r="D92" s="9">
        <f t="shared" si="13"/>
        <v>-1.220073664825046E-2</v>
      </c>
      <c r="E92" s="9">
        <f t="shared" si="13"/>
        <v>-1.1129281366403197E-2</v>
      </c>
      <c r="F92" s="9">
        <f t="shared" si="13"/>
        <v>-1.1411271439474836E-2</v>
      </c>
      <c r="G92" s="9">
        <f t="shared" si="13"/>
        <v>-1.1648399573652766E-2</v>
      </c>
      <c r="H92" s="9">
        <f t="shared" si="13"/>
        <v>-1.177398878738487E-2</v>
      </c>
      <c r="I92" s="9">
        <f t="shared" si="13"/>
        <v>-1.0839545232830516E-2</v>
      </c>
      <c r="J92" s="9">
        <f t="shared" si="13"/>
        <v>-1.1056393202742366E-2</v>
      </c>
      <c r="K92" s="87" t="s">
        <v>130</v>
      </c>
    </row>
    <row r="93" spans="2:11">
      <c r="B93" s="62" t="s">
        <v>128</v>
      </c>
      <c r="C93" s="49">
        <f>-(C91/C90)</f>
        <v>1.7772727272727273</v>
      </c>
      <c r="D93" s="49">
        <f>-(D91/D90)</f>
        <v>1.4264150943396225</v>
      </c>
      <c r="E93" s="49">
        <f>-(E91/E90)</f>
        <v>1.5795918367346939</v>
      </c>
      <c r="F93" s="49">
        <f>E93+$K$93</f>
        <v>1.4636734693877551</v>
      </c>
      <c r="G93" s="49">
        <f>F93+$K$93</f>
        <v>1.3477551020408163</v>
      </c>
      <c r="H93" s="49">
        <f>G93+$K$93</f>
        <v>1.2318367346938774</v>
      </c>
      <c r="I93" s="49">
        <f>H93+$K$93</f>
        <v>1.1159183673469386</v>
      </c>
      <c r="J93" s="49">
        <f>I93+$K$93</f>
        <v>0.99999999999999978</v>
      </c>
      <c r="K93" s="79">
        <f>IF(K92="Yes",(1-E93)/COLUMNS(F93:J93),0)</f>
        <v>-0.11591836734693879</v>
      </c>
    </row>
    <row r="94" spans="2:11">
      <c r="B94" s="62"/>
      <c r="C94" s="49"/>
      <c r="D94" s="49"/>
      <c r="E94" s="49"/>
      <c r="F94" s="56"/>
      <c r="G94" s="56"/>
      <c r="H94" s="56"/>
      <c r="I94" s="56"/>
      <c r="J94" s="56"/>
    </row>
    <row r="95" spans="2:11">
      <c r="B95" s="29" t="s">
        <v>160</v>
      </c>
      <c r="C95" s="43"/>
      <c r="D95" s="82">
        <v>244.7</v>
      </c>
      <c r="E95" s="82">
        <v>271.39999999999998</v>
      </c>
      <c r="F95" s="72">
        <f>E95+SUM(F96:F97)</f>
        <v>286.50864197530859</v>
      </c>
      <c r="G95" s="72">
        <f>F95+SUM(G96:G97)</f>
        <v>297.64475308641971</v>
      </c>
      <c r="H95" s="72">
        <f>G95+SUM(H96:H97)</f>
        <v>305.19907407407402</v>
      </c>
      <c r="I95" s="72">
        <f>H95+SUM(I96:I97)</f>
        <v>309.36697530864188</v>
      </c>
      <c r="J95" s="72">
        <f>I95+SUM(J96:J97)</f>
        <v>309.36697530864188</v>
      </c>
    </row>
    <row r="96" spans="2:11">
      <c r="B96" s="60" t="s">
        <v>141</v>
      </c>
      <c r="C96" s="84">
        <v>115.8</v>
      </c>
      <c r="D96" s="84">
        <f>132.5</f>
        <v>132.5</v>
      </c>
      <c r="E96" s="84">
        <f>129.6</f>
        <v>129.6</v>
      </c>
      <c r="F96" s="84">
        <v>116</v>
      </c>
      <c r="G96" s="84">
        <v>114</v>
      </c>
      <c r="H96" s="84">
        <v>116</v>
      </c>
      <c r="I96" s="84">
        <v>128</v>
      </c>
      <c r="J96" s="84">
        <v>135</v>
      </c>
    </row>
    <row r="97" spans="2:11">
      <c r="B97" s="60" t="s">
        <v>75</v>
      </c>
      <c r="C97" s="84">
        <v>-75.7</v>
      </c>
      <c r="D97" s="84">
        <v>-93.6</v>
      </c>
      <c r="E97" s="84">
        <v>-108.5</v>
      </c>
      <c r="F97" s="85">
        <f>-(F99*F96)</f>
        <v>-100.89135802469136</v>
      </c>
      <c r="G97" s="85">
        <f t="shared" ref="G97:J97" si="14">-(G99*G96)</f>
        <v>-102.86388888888889</v>
      </c>
      <c r="H97" s="85">
        <f t="shared" si="14"/>
        <v>-108.44567901234569</v>
      </c>
      <c r="I97" s="85">
        <f t="shared" si="14"/>
        <v>-123.83209876543212</v>
      </c>
      <c r="J97" s="85">
        <f t="shared" si="14"/>
        <v>-135.00000000000003</v>
      </c>
      <c r="K97" s="53" t="s">
        <v>144</v>
      </c>
    </row>
    <row r="98" spans="2:11">
      <c r="B98" s="62" t="s">
        <v>142</v>
      </c>
      <c r="C98" s="9">
        <f t="shared" ref="C98:J98" si="15">C96/C42</f>
        <v>5.6069336173921458E-2</v>
      </c>
      <c r="D98" s="9">
        <f t="shared" si="15"/>
        <v>6.1003683241252299E-2</v>
      </c>
      <c r="E98" s="9">
        <f t="shared" si="15"/>
        <v>5.8871627146361398E-2</v>
      </c>
      <c r="F98" s="9">
        <f t="shared" si="15"/>
        <v>5.0911826422272342E-2</v>
      </c>
      <c r="G98" s="9">
        <f t="shared" si="15"/>
        <v>4.7425626835586265E-2</v>
      </c>
      <c r="H98" s="9">
        <f t="shared" si="15"/>
        <v>4.5526089977888165E-2</v>
      </c>
      <c r="I98" s="9">
        <f t="shared" si="15"/>
        <v>4.7843509993182966E-2</v>
      </c>
      <c r="J98" s="9">
        <f t="shared" si="15"/>
        <v>4.8148809108716752E-2</v>
      </c>
      <c r="K98" s="87" t="s">
        <v>130</v>
      </c>
    </row>
    <row r="99" spans="2:11">
      <c r="B99" s="62" t="s">
        <v>143</v>
      </c>
      <c r="C99" s="49">
        <f>-(C97/C96)</f>
        <v>0.65371329879101903</v>
      </c>
      <c r="D99" s="49">
        <f>-(D97/D96)</f>
        <v>0.70641509433962257</v>
      </c>
      <c r="E99" s="49">
        <f>-(E97/E96)</f>
        <v>0.83719135802469136</v>
      </c>
      <c r="F99" s="49">
        <f>E99+$K$99</f>
        <v>0.86975308641975313</v>
      </c>
      <c r="G99" s="49">
        <f>F99+$K$99</f>
        <v>0.9023148148148149</v>
      </c>
      <c r="H99" s="49">
        <f>G99+$K$99</f>
        <v>0.93487654320987668</v>
      </c>
      <c r="I99" s="49">
        <f>H99+$K$99</f>
        <v>0.96743827160493845</v>
      </c>
      <c r="J99" s="49">
        <f>I99+$K$99</f>
        <v>1.0000000000000002</v>
      </c>
      <c r="K99" s="79">
        <f>IF(K98="Yes",(1-E99)/COLUMNS(F99:J99),0)</f>
        <v>3.2561728395061731E-2</v>
      </c>
    </row>
    <row r="100" spans="2:11">
      <c r="B100" s="62"/>
      <c r="C100" s="49"/>
      <c r="D100" s="49"/>
      <c r="E100" s="49"/>
      <c r="F100" s="56"/>
      <c r="G100" s="56"/>
      <c r="H100" s="56"/>
      <c r="I100" s="56"/>
      <c r="J100" s="56"/>
    </row>
    <row r="101" spans="2:11">
      <c r="B101" s="29" t="s">
        <v>145</v>
      </c>
      <c r="D101" s="82">
        <v>257.5</v>
      </c>
      <c r="E101" s="82">
        <v>189.8</v>
      </c>
      <c r="F101" s="72">
        <f>E101+SUM(F102:F103)</f>
        <v>189.8</v>
      </c>
      <c r="G101" s="72">
        <f>F101+SUM(G102:G103)</f>
        <v>189.8</v>
      </c>
      <c r="H101" s="72">
        <f>G101+SUM(H102:H103)</f>
        <v>189.8</v>
      </c>
      <c r="I101" s="72">
        <f>H101+SUM(I102:I103)</f>
        <v>189.8</v>
      </c>
      <c r="J101" s="72">
        <f>I101+SUM(J102:J103)</f>
        <v>189.8</v>
      </c>
    </row>
    <row r="102" spans="2:11">
      <c r="B102" s="60" t="s">
        <v>141</v>
      </c>
      <c r="C102" s="98">
        <v>0</v>
      </c>
      <c r="D102" s="84">
        <v>0</v>
      </c>
      <c r="E102" s="84">
        <v>0</v>
      </c>
      <c r="F102" s="84">
        <f>-F103</f>
        <v>85</v>
      </c>
      <c r="G102" s="84">
        <f t="shared" ref="G102:J102" si="16">-G103</f>
        <v>80</v>
      </c>
      <c r="H102" s="84">
        <f t="shared" si="16"/>
        <v>77</v>
      </c>
      <c r="I102" s="84">
        <f t="shared" si="16"/>
        <v>68</v>
      </c>
      <c r="J102" s="84">
        <f t="shared" si="16"/>
        <v>57</v>
      </c>
    </row>
    <row r="103" spans="2:11">
      <c r="B103" s="60" t="s">
        <v>75</v>
      </c>
      <c r="C103" s="84">
        <v>-79.099999999999994</v>
      </c>
      <c r="D103" s="84">
        <v>-97.7</v>
      </c>
      <c r="E103" s="84">
        <v>-86.9</v>
      </c>
      <c r="F103" s="84">
        <v>-85</v>
      </c>
      <c r="G103" s="84">
        <v>-80</v>
      </c>
      <c r="H103" s="84">
        <v>-77</v>
      </c>
      <c r="I103" s="84">
        <v>-68</v>
      </c>
      <c r="J103" s="84">
        <v>-57</v>
      </c>
    </row>
    <row r="104" spans="2:11">
      <c r="B104" s="27"/>
      <c r="C104" s="57"/>
      <c r="D104" s="57"/>
      <c r="E104" s="57"/>
      <c r="F104" s="46"/>
      <c r="G104" s="46"/>
      <c r="H104" s="46"/>
      <c r="I104" s="46"/>
      <c r="J104" s="46"/>
    </row>
    <row r="105" spans="2:11">
      <c r="B105" s="29" t="s">
        <v>161</v>
      </c>
      <c r="D105" s="82">
        <f>240.2+1700.1</f>
        <v>1940.3</v>
      </c>
      <c r="E105" s="82">
        <f>229.3+1705.9</f>
        <v>1935.2</v>
      </c>
      <c r="F105" s="72">
        <f>E105</f>
        <v>1935.2</v>
      </c>
      <c r="G105" s="72">
        <f>F105</f>
        <v>1935.2</v>
      </c>
      <c r="H105" s="72">
        <f>G105</f>
        <v>1935.2</v>
      </c>
      <c r="I105" s="72">
        <f>H105</f>
        <v>1935.2</v>
      </c>
      <c r="J105" s="72">
        <f>I105</f>
        <v>1935.2</v>
      </c>
    </row>
    <row r="106" spans="2:11">
      <c r="B106" s="29"/>
      <c r="D106" s="82"/>
      <c r="E106" s="82"/>
      <c r="F106" s="72"/>
      <c r="G106" s="72"/>
      <c r="H106" s="72"/>
      <c r="I106" s="72"/>
      <c r="J106" s="72"/>
    </row>
    <row r="107" spans="2:11">
      <c r="B107" s="29" t="s">
        <v>79</v>
      </c>
      <c r="D107" s="82">
        <v>232.4</v>
      </c>
      <c r="E107" s="82">
        <v>252</v>
      </c>
      <c r="F107" s="72">
        <f>E107</f>
        <v>252</v>
      </c>
      <c r="G107" s="72">
        <f>F107</f>
        <v>252</v>
      </c>
      <c r="H107" s="72">
        <f t="shared" ref="H107" si="17">G107</f>
        <v>252</v>
      </c>
      <c r="I107" s="72">
        <f t="shared" ref="I107" si="18">H107</f>
        <v>252</v>
      </c>
      <c r="J107" s="72">
        <f t="shared" ref="J107" si="19">I107</f>
        <v>252</v>
      </c>
    </row>
    <row r="108" spans="2:11">
      <c r="B108" s="27"/>
      <c r="C108" s="40"/>
      <c r="D108" s="40"/>
      <c r="E108" s="40"/>
      <c r="F108" s="25"/>
      <c r="G108" s="25"/>
      <c r="H108" s="25"/>
      <c r="I108" s="25"/>
      <c r="J108" s="25"/>
    </row>
    <row r="109" spans="2:11">
      <c r="B109" s="13" t="s">
        <v>34</v>
      </c>
      <c r="C109" s="20"/>
      <c r="D109" s="20"/>
      <c r="E109" s="20"/>
      <c r="F109" s="20"/>
      <c r="G109" s="20"/>
      <c r="H109" s="20"/>
      <c r="I109" s="20"/>
      <c r="J109" s="20"/>
    </row>
    <row r="110" spans="2:11">
      <c r="B110" s="12" t="str">
        <f>B39</f>
        <v xml:space="preserve">Fiscal year  </v>
      </c>
      <c r="C110" s="31"/>
      <c r="D110" s="31"/>
      <c r="E110" s="31"/>
      <c r="F110" s="32">
        <f t="shared" ref="F110:J111" si="20">F39</f>
        <v>2014</v>
      </c>
      <c r="G110" s="32">
        <f t="shared" si="20"/>
        <v>2015</v>
      </c>
      <c r="H110" s="32">
        <f t="shared" si="20"/>
        <v>2016</v>
      </c>
      <c r="I110" s="32">
        <f t="shared" si="20"/>
        <v>2017</v>
      </c>
      <c r="J110" s="32">
        <f t="shared" si="20"/>
        <v>2018</v>
      </c>
    </row>
    <row r="111" spans="2:11">
      <c r="B111" s="15" t="str">
        <f>B40</f>
        <v>Fiscal year end date</v>
      </c>
      <c r="C111" s="33"/>
      <c r="D111" s="33"/>
      <c r="E111" s="33"/>
      <c r="F111" s="33">
        <f t="shared" si="20"/>
        <v>41729</v>
      </c>
      <c r="G111" s="33">
        <f t="shared" si="20"/>
        <v>42094</v>
      </c>
      <c r="H111" s="33">
        <f t="shared" si="20"/>
        <v>42460</v>
      </c>
      <c r="I111" s="33">
        <f t="shared" si="20"/>
        <v>42825</v>
      </c>
      <c r="J111" s="33">
        <f t="shared" si="20"/>
        <v>43190</v>
      </c>
    </row>
    <row r="113" spans="2:10">
      <c r="B113" t="s">
        <v>17</v>
      </c>
      <c r="C113" s="42"/>
      <c r="D113" s="42"/>
      <c r="E113" s="42"/>
      <c r="F113" s="57">
        <f ca="1">F53</f>
        <v>426.39569180115512</v>
      </c>
      <c r="G113" s="57">
        <f ca="1">G53</f>
        <v>474.74793392602476</v>
      </c>
      <c r="H113" s="57">
        <f ca="1">H53</f>
        <v>532.7544845066393</v>
      </c>
      <c r="I113" s="57">
        <f ca="1">I53</f>
        <v>590.39930580476096</v>
      </c>
      <c r="J113" s="57">
        <f ca="1">J53</f>
        <v>651.99815882648841</v>
      </c>
    </row>
    <row r="114" spans="2:10">
      <c r="B114" t="s">
        <v>35</v>
      </c>
      <c r="C114" s="42"/>
      <c r="D114" s="42"/>
      <c r="E114" s="42"/>
      <c r="F114" s="39">
        <f t="shared" ref="F114:J115" si="21">F57</f>
        <v>223.94686822877298</v>
      </c>
      <c r="G114" s="39">
        <f t="shared" si="21"/>
        <v>220.60103174603177</v>
      </c>
      <c r="H114" s="39">
        <f t="shared" si="21"/>
        <v>222.40078105316201</v>
      </c>
      <c r="I114" s="39">
        <f t="shared" si="21"/>
        <v>224.19373141849334</v>
      </c>
      <c r="J114" s="39">
        <f t="shared" si="21"/>
        <v>223.00000000000003</v>
      </c>
    </row>
    <row r="115" spans="2:10">
      <c r="B115" t="s">
        <v>26</v>
      </c>
      <c r="C115" s="42"/>
      <c r="D115" s="42"/>
      <c r="E115" s="42"/>
      <c r="F115" s="57">
        <f t="shared" si="21"/>
        <v>161.0547368274718</v>
      </c>
      <c r="G115" s="57">
        <f t="shared" si="21"/>
        <v>162.08209116516588</v>
      </c>
      <c r="H115" s="57">
        <f t="shared" si="21"/>
        <v>163.69762028974245</v>
      </c>
      <c r="I115" s="57">
        <f t="shared" si="21"/>
        <v>163.56828931606964</v>
      </c>
      <c r="J115" s="57">
        <f t="shared" si="21"/>
        <v>162.91655861446264</v>
      </c>
    </row>
    <row r="116" spans="2:10">
      <c r="B116" t="s">
        <v>78</v>
      </c>
      <c r="C116" s="25"/>
      <c r="D116" s="25"/>
      <c r="E116" s="25"/>
      <c r="F116" s="57">
        <f>E83-F83</f>
        <v>56.831350688291877</v>
      </c>
      <c r="G116" s="57">
        <f>F83-G83</f>
        <v>95.056007636170762</v>
      </c>
      <c r="H116" s="57">
        <f>G83-H83</f>
        <v>109.42724184868234</v>
      </c>
      <c r="I116" s="57">
        <f>H83-I83</f>
        <v>96.464430375331858</v>
      </c>
      <c r="J116" s="57">
        <f>I83-J83</f>
        <v>97.152431450601853</v>
      </c>
    </row>
    <row r="117" spans="2:10">
      <c r="B117" t="s">
        <v>118</v>
      </c>
      <c r="C117" s="25"/>
      <c r="D117" s="25"/>
      <c r="E117" s="25"/>
      <c r="F117" s="57">
        <f>E105-F105+F107-E107</f>
        <v>0</v>
      </c>
      <c r="G117" s="57">
        <f>F105-G105+G107-F107</f>
        <v>0</v>
      </c>
      <c r="H117" s="57">
        <f>G105-H105+H107-G107</f>
        <v>0</v>
      </c>
      <c r="I117" s="57">
        <f>H105-I105+I107-H107</f>
        <v>0</v>
      </c>
      <c r="J117" s="57">
        <f>I105-J105+J107-I107</f>
        <v>0</v>
      </c>
    </row>
    <row r="118" spans="2:10">
      <c r="B118" t="s">
        <v>125</v>
      </c>
      <c r="C118" s="25"/>
      <c r="D118" s="25"/>
      <c r="E118" s="25"/>
      <c r="F118" s="137"/>
      <c r="G118" s="137"/>
      <c r="H118" s="137"/>
      <c r="I118" s="137"/>
      <c r="J118" s="137"/>
    </row>
    <row r="119" spans="2:10">
      <c r="B119" s="24" t="s">
        <v>36</v>
      </c>
      <c r="F119" s="72">
        <f ca="1">SUM(F113:F118)</f>
        <v>868.22864754569173</v>
      </c>
      <c r="G119" s="72">
        <f ca="1">SUM(G113:G118)</f>
        <v>952.48706447339305</v>
      </c>
      <c r="H119" s="72">
        <f ca="1">SUM(H113:H118)</f>
        <v>1028.2801276982261</v>
      </c>
      <c r="I119" s="72">
        <f ca="1">SUM(I113:I118)</f>
        <v>1074.6257569146558</v>
      </c>
      <c r="J119" s="72">
        <f ca="1">SUM(J113:J118)</f>
        <v>1135.067148891553</v>
      </c>
    </row>
    <row r="121" spans="2:10">
      <c r="B121" t="s">
        <v>37</v>
      </c>
      <c r="F121" s="57">
        <f>-(F90)</f>
        <v>-26</v>
      </c>
      <c r="G121" s="57">
        <f>-(G90)</f>
        <v>-28</v>
      </c>
      <c r="H121" s="57">
        <f>-(H90)</f>
        <v>-30</v>
      </c>
      <c r="I121" s="57">
        <f>-(I90)</f>
        <v>-29</v>
      </c>
      <c r="J121" s="57">
        <f>-(J90)</f>
        <v>-31</v>
      </c>
    </row>
    <row r="122" spans="2:10">
      <c r="B122" t="s">
        <v>162</v>
      </c>
      <c r="F122" s="57">
        <f>-(F96+F102)</f>
        <v>-201</v>
      </c>
      <c r="G122" s="57">
        <f>-(G96+G102)</f>
        <v>-194</v>
      </c>
      <c r="H122" s="57">
        <f>-(H96+H102)</f>
        <v>-193</v>
      </c>
      <c r="I122" s="57">
        <f>-(I96+I102)</f>
        <v>-196</v>
      </c>
      <c r="J122" s="57">
        <f>-(J96+J102)</f>
        <v>-192</v>
      </c>
    </row>
    <row r="123" spans="2:10">
      <c r="B123" s="24" t="s">
        <v>38</v>
      </c>
      <c r="F123" s="72">
        <f>SUM(F121:F122)</f>
        <v>-227</v>
      </c>
      <c r="G123" s="72">
        <f>SUM(G121:G122)</f>
        <v>-222</v>
      </c>
      <c r="H123" s="72">
        <f>SUM(H121:H122)</f>
        <v>-223</v>
      </c>
      <c r="I123" s="72">
        <f>SUM(I121:I122)</f>
        <v>-225</v>
      </c>
      <c r="J123" s="72">
        <f>SUM(J121:J122)</f>
        <v>-223</v>
      </c>
    </row>
    <row r="125" spans="2:10">
      <c r="B125" t="s">
        <v>94</v>
      </c>
      <c r="F125" s="137">
        <f>-(F159+F167+F175+F181)</f>
        <v>-322.1855000000001</v>
      </c>
      <c r="G125" s="137">
        <f t="shared" ref="G125:J125" ca="1" si="22">-(G159+G167+G175+G181)</f>
        <v>-177.86405000000008</v>
      </c>
      <c r="H125" s="137">
        <f t="shared" ca="1" si="22"/>
        <v>-177.86405000000008</v>
      </c>
      <c r="I125" s="137">
        <f t="shared" ca="1" si="22"/>
        <v>-177.86405000000008</v>
      </c>
      <c r="J125" s="137">
        <f t="shared" ca="1" si="22"/>
        <v>-33.542600000000014</v>
      </c>
    </row>
    <row r="126" spans="2:10">
      <c r="B126" t="s">
        <v>131</v>
      </c>
      <c r="F126" s="137"/>
      <c r="G126" s="137"/>
      <c r="H126" s="137"/>
      <c r="I126" s="137"/>
      <c r="J126" s="137"/>
    </row>
    <row r="127" spans="2:10">
      <c r="B127" s="78" t="s">
        <v>99</v>
      </c>
      <c r="C127" s="24"/>
      <c r="D127" s="24"/>
      <c r="E127" s="24"/>
      <c r="F127" s="72">
        <f ca="1">F119+F123+SUM(F125:F126)</f>
        <v>319.04314754569162</v>
      </c>
      <c r="G127" s="72">
        <f ca="1">G119+G123+SUM(G125:G126)</f>
        <v>552.62301447339291</v>
      </c>
      <c r="H127" s="72">
        <f ca="1">H119+H123+SUM(H125:H126)</f>
        <v>627.41607769822599</v>
      </c>
      <c r="I127" s="72">
        <f ca="1">I119+I123+SUM(I125:I126)</f>
        <v>671.76170691465563</v>
      </c>
      <c r="J127" s="72">
        <f ca="1">J119+J123+SUM(J125:J126)</f>
        <v>878.52454889155297</v>
      </c>
    </row>
    <row r="128" spans="2:10">
      <c r="B128" t="s">
        <v>28</v>
      </c>
      <c r="F128" s="137">
        <f ca="1">F152</f>
        <v>0</v>
      </c>
      <c r="G128" s="137">
        <f t="shared" ref="G128:J128" ca="1" si="23">G152</f>
        <v>0</v>
      </c>
      <c r="H128" s="137">
        <f t="shared" ca="1" si="23"/>
        <v>0</v>
      </c>
      <c r="I128" s="137">
        <f t="shared" ca="1" si="23"/>
        <v>0</v>
      </c>
      <c r="J128" s="137">
        <f t="shared" ca="1" si="23"/>
        <v>0</v>
      </c>
    </row>
    <row r="129" spans="2:10">
      <c r="B129" s="78" t="s">
        <v>96</v>
      </c>
      <c r="C129" s="24"/>
      <c r="D129" s="24"/>
      <c r="E129" s="24"/>
      <c r="F129" s="72">
        <f ca="1">SUM(F127:F128)</f>
        <v>319.04314754569162</v>
      </c>
      <c r="G129" s="72">
        <f ca="1">SUM(G127:G128)</f>
        <v>552.62301447339291</v>
      </c>
      <c r="H129" s="72">
        <f ca="1">SUM(H127:H128)</f>
        <v>627.41607769822599</v>
      </c>
      <c r="I129" s="72">
        <f ca="1">SUM(I127:I128)</f>
        <v>671.76170691465563</v>
      </c>
      <c r="J129" s="72">
        <f ca="1">SUM(J127:J128)</f>
        <v>878.52454889155297</v>
      </c>
    </row>
    <row r="130" spans="2:10">
      <c r="B130" s="35" t="s">
        <v>98</v>
      </c>
      <c r="F130" s="137">
        <f ca="1">-F160</f>
        <v>-319.04314754569162</v>
      </c>
      <c r="G130" s="137">
        <f t="shared" ref="G130:J130" ca="1" si="24">-G160</f>
        <v>-552.62301447339291</v>
      </c>
      <c r="H130" s="137">
        <f t="shared" ca="1" si="24"/>
        <v>-627.41607769822599</v>
      </c>
      <c r="I130" s="137">
        <f t="shared" ca="1" si="24"/>
        <v>-665.73951028269005</v>
      </c>
      <c r="J130" s="137">
        <f t="shared" ca="1" si="24"/>
        <v>0</v>
      </c>
    </row>
    <row r="131" spans="2:10">
      <c r="B131" s="35" t="s">
        <v>100</v>
      </c>
      <c r="F131" s="137">
        <f ca="1">-F168</f>
        <v>0</v>
      </c>
      <c r="G131" s="137">
        <f t="shared" ref="G131:J131" ca="1" si="25">-G168</f>
        <v>0</v>
      </c>
      <c r="H131" s="137">
        <f t="shared" ca="1" si="25"/>
        <v>0</v>
      </c>
      <c r="I131" s="137">
        <f t="shared" ca="1" si="25"/>
        <v>-6.0221966319655849</v>
      </c>
      <c r="J131" s="137">
        <f t="shared" ca="1" si="25"/>
        <v>-497.11680336803465</v>
      </c>
    </row>
    <row r="132" spans="2:10">
      <c r="B132" s="24" t="s">
        <v>39</v>
      </c>
      <c r="F132" s="72">
        <f ca="1">SUM(F129:F131)</f>
        <v>0</v>
      </c>
      <c r="G132" s="72">
        <f ca="1">SUM(G129:G131)</f>
        <v>0</v>
      </c>
      <c r="H132" s="72">
        <f ca="1">SUM(H129:H131)</f>
        <v>0</v>
      </c>
      <c r="I132" s="72">
        <f ca="1">SUM(I129:I131)</f>
        <v>0</v>
      </c>
      <c r="J132" s="72">
        <f ca="1">SUM(J129:J131)</f>
        <v>381.40774552351832</v>
      </c>
    </row>
    <row r="133" spans="2:10">
      <c r="B133" s="24"/>
      <c r="F133" s="43"/>
      <c r="G133" s="43"/>
      <c r="H133" s="43"/>
      <c r="I133" s="43"/>
      <c r="J133" s="43"/>
    </row>
    <row r="134" spans="2:10">
      <c r="B134" s="65" t="s">
        <v>103</v>
      </c>
      <c r="C134" s="15"/>
      <c r="D134" s="15"/>
      <c r="E134" s="15"/>
      <c r="F134" s="15"/>
      <c r="G134" s="15"/>
      <c r="H134" s="15"/>
      <c r="I134" s="15"/>
      <c r="J134" s="15"/>
    </row>
    <row r="135" spans="2:10">
      <c r="B135" s="12" t="str">
        <f t="shared" ref="B135:J135" si="26">B39</f>
        <v xml:space="preserve">Fiscal year  </v>
      </c>
      <c r="C135" s="31">
        <f t="shared" si="26"/>
        <v>2011</v>
      </c>
      <c r="D135" s="31">
        <f t="shared" si="26"/>
        <v>2012</v>
      </c>
      <c r="E135" s="31">
        <f t="shared" si="26"/>
        <v>2013</v>
      </c>
      <c r="F135" s="32">
        <f t="shared" si="26"/>
        <v>2014</v>
      </c>
      <c r="G135" s="32">
        <f t="shared" si="26"/>
        <v>2015</v>
      </c>
      <c r="H135" s="32">
        <f t="shared" si="26"/>
        <v>2016</v>
      </c>
      <c r="I135" s="32">
        <f t="shared" si="26"/>
        <v>2017</v>
      </c>
      <c r="J135" s="32">
        <f t="shared" si="26"/>
        <v>2018</v>
      </c>
    </row>
    <row r="136" spans="2:10">
      <c r="B136" s="15" t="str">
        <f t="shared" ref="B136:J136" si="27">B40</f>
        <v>Fiscal year end date</v>
      </c>
      <c r="C136" s="33">
        <f t="shared" si="27"/>
        <v>40633</v>
      </c>
      <c r="D136" s="33">
        <f t="shared" si="27"/>
        <v>40999</v>
      </c>
      <c r="E136" s="33">
        <f t="shared" si="27"/>
        <v>41364</v>
      </c>
      <c r="F136" s="33">
        <f t="shared" si="27"/>
        <v>41729</v>
      </c>
      <c r="G136" s="33">
        <f t="shared" si="27"/>
        <v>42094</v>
      </c>
      <c r="H136" s="33">
        <f t="shared" si="27"/>
        <v>42460</v>
      </c>
      <c r="I136" s="33">
        <f t="shared" si="27"/>
        <v>42825</v>
      </c>
      <c r="J136" s="33">
        <f t="shared" si="27"/>
        <v>43190</v>
      </c>
    </row>
    <row r="137" spans="2:10">
      <c r="B137" s="36"/>
    </row>
    <row r="138" spans="2:10">
      <c r="B138" s="27" t="s">
        <v>101</v>
      </c>
      <c r="F138" s="99">
        <f>D16</f>
        <v>180</v>
      </c>
      <c r="G138" s="57">
        <f ca="1">F140</f>
        <v>180</v>
      </c>
      <c r="H138" s="57">
        <f ca="1">G140</f>
        <v>180</v>
      </c>
      <c r="I138" s="57">
        <f ca="1">H140</f>
        <v>180</v>
      </c>
      <c r="J138" s="57">
        <f ca="1">I140</f>
        <v>180</v>
      </c>
    </row>
    <row r="139" spans="2:10">
      <c r="B139" s="37" t="s">
        <v>30</v>
      </c>
      <c r="F139" s="57">
        <f ca="1">F132</f>
        <v>0</v>
      </c>
      <c r="G139" s="57">
        <f ca="1">G132</f>
        <v>0</v>
      </c>
      <c r="H139" s="57">
        <f ca="1">H132</f>
        <v>0</v>
      </c>
      <c r="I139" s="57">
        <f ca="1">I132</f>
        <v>0</v>
      </c>
      <c r="J139" s="57">
        <f ca="1">J132</f>
        <v>381.40774552351832</v>
      </c>
    </row>
    <row r="140" spans="2:10">
      <c r="B140" s="29" t="s">
        <v>102</v>
      </c>
      <c r="C140" s="24"/>
      <c r="D140" s="82">
        <f>1496.9+86.1+52.6</f>
        <v>1635.6</v>
      </c>
      <c r="E140" s="82">
        <f>1379.2+131.2+71.5</f>
        <v>1581.9</v>
      </c>
      <c r="F140" s="72">
        <f ca="1">SUM(F138:F139)</f>
        <v>180</v>
      </c>
      <c r="G140" s="72">
        <f ca="1">SUM(G138:G139)</f>
        <v>180</v>
      </c>
      <c r="H140" s="72">
        <f ca="1">SUM(H138:H139)</f>
        <v>180</v>
      </c>
      <c r="I140" s="72">
        <f ca="1">SUM(I138:I139)</f>
        <v>180</v>
      </c>
      <c r="J140" s="72">
        <f ca="1">SUM(J138:J139)</f>
        <v>561.40774552351832</v>
      </c>
    </row>
    <row r="141" spans="2:10">
      <c r="B141" s="27" t="s">
        <v>46</v>
      </c>
      <c r="D141" s="81">
        <f>D142/AVERAGE(C140:D140)</f>
        <v>6.4808021521154321E-3</v>
      </c>
      <c r="E141" s="81">
        <f>E142/AVERAGE(D140:E140)</f>
        <v>5.1592851592851601E-3</v>
      </c>
      <c r="F141" s="44">
        <f>E141</f>
        <v>5.1592851592851601E-3</v>
      </c>
      <c r="G141" s="44">
        <f>F141</f>
        <v>5.1592851592851601E-3</v>
      </c>
      <c r="H141" s="44">
        <f>G141</f>
        <v>5.1592851592851601E-3</v>
      </c>
      <c r="I141" s="44">
        <f>H141</f>
        <v>5.1592851592851601E-3</v>
      </c>
      <c r="J141" s="44">
        <f>I141</f>
        <v>5.1592851592851601E-3</v>
      </c>
    </row>
    <row r="142" spans="2:10">
      <c r="B142" s="27" t="s">
        <v>13</v>
      </c>
      <c r="C142" s="25"/>
      <c r="D142" s="57">
        <f>D48</f>
        <v>10.6</v>
      </c>
      <c r="E142" s="57">
        <f>E48</f>
        <v>8.3000000000000007</v>
      </c>
      <c r="F142" s="138">
        <f ca="1">IF($D$10="OFF",AVERAGE(E140,F140)*F141,0)</f>
        <v>4.5450722610722618</v>
      </c>
      <c r="G142" s="57">
        <f t="shared" ref="G142:J142" ca="1" si="28">IF($D$10="OFF",AVERAGE(F140,G140)*G141,0)</f>
        <v>0.92867132867132884</v>
      </c>
      <c r="H142" s="57">
        <f t="shared" ca="1" si="28"/>
        <v>0.92867132867132884</v>
      </c>
      <c r="I142" s="57">
        <f t="shared" ca="1" si="28"/>
        <v>0.92867132867132884</v>
      </c>
      <c r="J142" s="57">
        <f t="shared" ca="1" si="28"/>
        <v>1.9125669892292783</v>
      </c>
    </row>
    <row r="143" spans="2:10">
      <c r="B143" s="27"/>
      <c r="C143" s="25"/>
      <c r="D143" s="25"/>
      <c r="E143" s="25"/>
      <c r="F143" s="25"/>
      <c r="G143" s="25"/>
      <c r="H143" s="25"/>
      <c r="I143" s="25"/>
      <c r="J143" s="25"/>
    </row>
    <row r="144" spans="2:10">
      <c r="B144" s="26" t="s">
        <v>28</v>
      </c>
      <c r="D144" s="53"/>
      <c r="E144" s="53"/>
      <c r="F144" s="25"/>
      <c r="G144" s="25"/>
      <c r="H144" s="25"/>
      <c r="I144" s="25"/>
      <c r="J144" s="25"/>
    </row>
    <row r="145" spans="2:10">
      <c r="B145" s="45" t="s">
        <v>106</v>
      </c>
      <c r="F145" s="57">
        <f>F138</f>
        <v>180</v>
      </c>
      <c r="G145" s="57">
        <f t="shared" ref="G145:J145" ca="1" si="29">G138</f>
        <v>180</v>
      </c>
      <c r="H145" s="57">
        <f t="shared" ca="1" si="29"/>
        <v>180</v>
      </c>
      <c r="I145" s="57">
        <f t="shared" ca="1" si="29"/>
        <v>180</v>
      </c>
      <c r="J145" s="57">
        <f t="shared" ca="1" si="29"/>
        <v>180</v>
      </c>
    </row>
    <row r="146" spans="2:10">
      <c r="B146" s="45" t="s">
        <v>42</v>
      </c>
      <c r="F146" s="57">
        <f>-$D$16</f>
        <v>-180</v>
      </c>
      <c r="G146" s="57">
        <f t="shared" ref="G146:J146" si="30">-$D$16</f>
        <v>-180</v>
      </c>
      <c r="H146" s="57">
        <f t="shared" si="30"/>
        <v>-180</v>
      </c>
      <c r="I146" s="57">
        <f t="shared" si="30"/>
        <v>-180</v>
      </c>
      <c r="J146" s="57">
        <f t="shared" si="30"/>
        <v>-180</v>
      </c>
    </row>
    <row r="147" spans="2:10">
      <c r="B147" s="45" t="s">
        <v>43</v>
      </c>
      <c r="F147" s="57">
        <f>SUM(F145:F146)</f>
        <v>0</v>
      </c>
      <c r="G147" s="57">
        <f t="shared" ref="G147:J147" ca="1" si="31">SUM(G145:G146)</f>
        <v>0</v>
      </c>
      <c r="H147" s="57">
        <f t="shared" ca="1" si="31"/>
        <v>0</v>
      </c>
      <c r="I147" s="57">
        <f t="shared" ca="1" si="31"/>
        <v>0</v>
      </c>
      <c r="J147" s="57">
        <f t="shared" ca="1" si="31"/>
        <v>0</v>
      </c>
    </row>
    <row r="148" spans="2:10">
      <c r="B148" s="75" t="s">
        <v>44</v>
      </c>
      <c r="C148" s="26"/>
      <c r="D148" s="26"/>
      <c r="E148" s="26"/>
      <c r="F148" s="139">
        <f ca="1">F127</f>
        <v>319.04314754569162</v>
      </c>
      <c r="G148" s="57">
        <f t="shared" ref="G148:J148" ca="1" si="32">G127</f>
        <v>552.62301447339291</v>
      </c>
      <c r="H148" s="57">
        <f t="shared" ca="1" si="32"/>
        <v>627.41607769822599</v>
      </c>
      <c r="I148" s="57">
        <f t="shared" ca="1" si="32"/>
        <v>671.76170691465563</v>
      </c>
      <c r="J148" s="57">
        <f t="shared" ca="1" si="32"/>
        <v>878.52454889155297</v>
      </c>
    </row>
    <row r="149" spans="2:10">
      <c r="B149" s="63" t="s">
        <v>107</v>
      </c>
      <c r="C149" s="21"/>
      <c r="D149" s="21"/>
      <c r="E149" s="21"/>
      <c r="F149" s="57">
        <f ca="1">SUM(F147:F148)</f>
        <v>319.04314754569162</v>
      </c>
      <c r="G149" s="57">
        <f t="shared" ref="G149:J149" ca="1" si="33">SUM(G147:G148)</f>
        <v>552.62301447339291</v>
      </c>
      <c r="H149" s="57">
        <f t="shared" ca="1" si="33"/>
        <v>627.41607769822599</v>
      </c>
      <c r="I149" s="57">
        <f t="shared" ca="1" si="33"/>
        <v>671.76170691465563</v>
      </c>
      <c r="J149" s="57">
        <f t="shared" ca="1" si="33"/>
        <v>878.52454889155297</v>
      </c>
    </row>
    <row r="151" spans="2:10">
      <c r="B151" s="27" t="s">
        <v>104</v>
      </c>
      <c r="F151" s="99">
        <f>D28</f>
        <v>0</v>
      </c>
      <c r="G151" s="57">
        <f ca="1">F153</f>
        <v>0</v>
      </c>
      <c r="H151" s="57">
        <f t="shared" ref="H151:J151" ca="1" si="34">G153</f>
        <v>0</v>
      </c>
      <c r="I151" s="57">
        <f t="shared" ca="1" si="34"/>
        <v>0</v>
      </c>
      <c r="J151" s="57">
        <f t="shared" ca="1" si="34"/>
        <v>0</v>
      </c>
    </row>
    <row r="152" spans="2:10">
      <c r="B152" s="37" t="s">
        <v>30</v>
      </c>
      <c r="F152" s="57">
        <f ca="1">-MIN(F151,F149)</f>
        <v>0</v>
      </c>
      <c r="G152" s="57">
        <f t="shared" ref="G152:J152" ca="1" si="35">-MIN(G151,G149)</f>
        <v>0</v>
      </c>
      <c r="H152" s="57">
        <f t="shared" ca="1" si="35"/>
        <v>0</v>
      </c>
      <c r="I152" s="57">
        <f t="shared" ca="1" si="35"/>
        <v>0</v>
      </c>
      <c r="J152" s="57">
        <f t="shared" ca="1" si="35"/>
        <v>0</v>
      </c>
    </row>
    <row r="153" spans="2:10">
      <c r="B153" s="29" t="s">
        <v>105</v>
      </c>
      <c r="D153" t="s">
        <v>177</v>
      </c>
      <c r="E153" t="s">
        <v>178</v>
      </c>
      <c r="F153" s="72">
        <f ca="1">SUM(F151:F152)</f>
        <v>0</v>
      </c>
      <c r="G153" s="72">
        <f t="shared" ref="G153:J153" ca="1" si="36">SUM(G151:G152)</f>
        <v>0</v>
      </c>
      <c r="H153" s="72">
        <f t="shared" ca="1" si="36"/>
        <v>0</v>
      </c>
      <c r="I153" s="72">
        <f t="shared" ca="1" si="36"/>
        <v>0</v>
      </c>
      <c r="J153" s="72">
        <f t="shared" ca="1" si="36"/>
        <v>0</v>
      </c>
    </row>
    <row r="154" spans="2:10">
      <c r="B154" s="63" t="s">
        <v>40</v>
      </c>
      <c r="D154" s="140">
        <v>0.8</v>
      </c>
      <c r="E154" s="140">
        <v>0.65</v>
      </c>
      <c r="F154" s="113">
        <f>MIN(350,$D$154*F74+$E$154*F76)</f>
        <v>350</v>
      </c>
      <c r="G154" s="113">
        <f t="shared" ref="G154:J154" si="37">MIN(350,$D$154*G74+$E$154*G76)</f>
        <v>350</v>
      </c>
      <c r="H154" s="113">
        <f t="shared" si="37"/>
        <v>350</v>
      </c>
      <c r="I154" s="113">
        <f t="shared" si="37"/>
        <v>350</v>
      </c>
      <c r="J154" s="113">
        <f t="shared" si="37"/>
        <v>350</v>
      </c>
    </row>
    <row r="155" spans="2:10">
      <c r="B155" s="63" t="s">
        <v>41</v>
      </c>
      <c r="F155" s="141" t="str">
        <f ca="1">IF(F153&gt;F154,"OVERDRAWN","OK")</f>
        <v>OK</v>
      </c>
      <c r="G155" s="141" t="str">
        <f t="shared" ref="G155:J155" ca="1" si="38">IF(G153&gt;G154,"OVERDRAWN","OK")</f>
        <v>OK</v>
      </c>
      <c r="H155" s="141" t="str">
        <f t="shared" ca="1" si="38"/>
        <v>OK</v>
      </c>
      <c r="I155" s="141" t="str">
        <f t="shared" ca="1" si="38"/>
        <v>OK</v>
      </c>
      <c r="J155" s="141" t="str">
        <f t="shared" ca="1" si="38"/>
        <v>OK</v>
      </c>
    </row>
    <row r="157" spans="2:10">
      <c r="B157" s="26" t="s">
        <v>82</v>
      </c>
    </row>
    <row r="158" spans="2:10">
      <c r="B158" s="27" t="s">
        <v>86</v>
      </c>
      <c r="F158" s="99">
        <f>D29</f>
        <v>2886.429000000001</v>
      </c>
      <c r="G158" s="57">
        <f ca="1">F161</f>
        <v>2278.742952454309</v>
      </c>
      <c r="H158" s="57">
        <f t="shared" ref="H158:J158" ca="1" si="39">G161</f>
        <v>1581.7984879809162</v>
      </c>
      <c r="I158" s="57">
        <f t="shared" ca="1" si="39"/>
        <v>810.06096028269008</v>
      </c>
      <c r="J158" s="57">
        <f t="shared" ca="1" si="39"/>
        <v>0</v>
      </c>
    </row>
    <row r="159" spans="2:10">
      <c r="B159" s="27" t="s">
        <v>95</v>
      </c>
      <c r="F159" s="85">
        <f>MIN(F158,F162*$F$158)</f>
        <v>288.64290000000011</v>
      </c>
      <c r="G159" s="85">
        <f t="shared" ref="G159:J159" ca="1" si="40">MIN(G158,G162*$F$158)</f>
        <v>144.32145000000006</v>
      </c>
      <c r="H159" s="85">
        <f t="shared" ca="1" si="40"/>
        <v>144.32145000000006</v>
      </c>
      <c r="I159" s="85">
        <f t="shared" ca="1" si="40"/>
        <v>144.32145000000006</v>
      </c>
      <c r="J159" s="85">
        <f t="shared" ca="1" si="40"/>
        <v>0</v>
      </c>
    </row>
    <row r="160" spans="2:10">
      <c r="B160" s="27" t="s">
        <v>97</v>
      </c>
      <c r="F160" s="85">
        <f ca="1">MIN(F163,(F158-F159))</f>
        <v>319.04314754569162</v>
      </c>
      <c r="G160" s="85">
        <f t="shared" ref="G160:J160" ca="1" si="41">MIN(G163,(G158-G159))</f>
        <v>552.62301447339291</v>
      </c>
      <c r="H160" s="85">
        <f t="shared" ca="1" si="41"/>
        <v>627.41607769822599</v>
      </c>
      <c r="I160" s="85">
        <f t="shared" ca="1" si="41"/>
        <v>665.73951028269005</v>
      </c>
      <c r="J160" s="85">
        <f t="shared" ca="1" si="41"/>
        <v>0</v>
      </c>
    </row>
    <row r="161" spans="2:10">
      <c r="B161" s="29" t="s">
        <v>89</v>
      </c>
      <c r="C161" s="24"/>
      <c r="D161" s="76"/>
      <c r="E161" s="24"/>
      <c r="F161" s="83">
        <f ca="1">F158-F159-F160</f>
        <v>2278.742952454309</v>
      </c>
      <c r="G161" s="83">
        <f t="shared" ref="G161:J161" ca="1" si="42">G158-G159-G160</f>
        <v>1581.7984879809162</v>
      </c>
      <c r="H161" s="83">
        <f t="shared" ca="1" si="42"/>
        <v>810.06096028269008</v>
      </c>
      <c r="I161" s="83">
        <f t="shared" ca="1" si="42"/>
        <v>0</v>
      </c>
      <c r="J161" s="83">
        <f t="shared" ca="1" si="42"/>
        <v>0</v>
      </c>
    </row>
    <row r="162" spans="2:10">
      <c r="B162" s="63" t="s">
        <v>109</v>
      </c>
      <c r="C162" s="21"/>
      <c r="E162" s="53" t="s">
        <v>133</v>
      </c>
      <c r="F162" s="64">
        <v>0.1</v>
      </c>
      <c r="G162" s="64">
        <v>0.05</v>
      </c>
      <c r="H162" s="64">
        <v>0.05</v>
      </c>
      <c r="I162" s="64">
        <v>0.05</v>
      </c>
      <c r="J162" s="64">
        <v>0.05</v>
      </c>
    </row>
    <row r="163" spans="2:10">
      <c r="B163" s="63" t="s">
        <v>132</v>
      </c>
      <c r="C163" s="21"/>
      <c r="E163" s="77">
        <v>1</v>
      </c>
      <c r="F163" s="100">
        <f ca="1">$E$163*(F149+F152)</f>
        <v>319.04314754569162</v>
      </c>
      <c r="G163" s="100">
        <f t="shared" ref="G163:J163" ca="1" si="43">$E$163*(G149+G152)</f>
        <v>552.62301447339291</v>
      </c>
      <c r="H163" s="100">
        <f t="shared" ca="1" si="43"/>
        <v>627.41607769822599</v>
      </c>
      <c r="I163" s="100">
        <f t="shared" ca="1" si="43"/>
        <v>671.76170691465563</v>
      </c>
      <c r="J163" s="100">
        <f t="shared" ca="1" si="43"/>
        <v>878.52454889155297</v>
      </c>
    </row>
    <row r="164" spans="2:10">
      <c r="B164" s="27"/>
      <c r="F164" s="74"/>
      <c r="G164" s="74"/>
      <c r="H164" s="74"/>
      <c r="I164" s="74"/>
      <c r="J164" s="74"/>
    </row>
    <row r="165" spans="2:10">
      <c r="B165" s="26" t="s">
        <v>83</v>
      </c>
      <c r="F165" s="25"/>
    </row>
    <row r="166" spans="2:10">
      <c r="B166" s="27" t="s">
        <v>87</v>
      </c>
      <c r="F166" s="99">
        <f>D30</f>
        <v>670.8520000000002</v>
      </c>
      <c r="G166" s="57">
        <f ca="1">F169</f>
        <v>637.30940000000021</v>
      </c>
      <c r="H166" s="57">
        <f t="shared" ref="H166:J166" ca="1" si="44">G169</f>
        <v>603.76680000000022</v>
      </c>
      <c r="I166" s="57">
        <f t="shared" ca="1" si="44"/>
        <v>570.22420000000022</v>
      </c>
      <c r="J166" s="57">
        <f t="shared" ca="1" si="44"/>
        <v>530.65940336803465</v>
      </c>
    </row>
    <row r="167" spans="2:10">
      <c r="B167" s="27" t="s">
        <v>81</v>
      </c>
      <c r="F167" s="85">
        <f>MIN(F166,$F$166*F170)</f>
        <v>33.542600000000014</v>
      </c>
      <c r="G167" s="85">
        <f t="shared" ref="G167:J167" ca="1" si="45">MIN(G166,$F$166*G170)</f>
        <v>33.542600000000014</v>
      </c>
      <c r="H167" s="85">
        <f t="shared" ca="1" si="45"/>
        <v>33.542600000000014</v>
      </c>
      <c r="I167" s="85">
        <f t="shared" ca="1" si="45"/>
        <v>33.542600000000014</v>
      </c>
      <c r="J167" s="85">
        <f t="shared" ca="1" si="45"/>
        <v>33.542600000000014</v>
      </c>
    </row>
    <row r="168" spans="2:10">
      <c r="B168" s="27" t="s">
        <v>97</v>
      </c>
      <c r="F168" s="85">
        <f ca="1">MIN(F171,(F166-F167))</f>
        <v>0</v>
      </c>
      <c r="G168" s="85">
        <f t="shared" ref="G168:J168" ca="1" si="46">MIN(G171,(G166-G167))</f>
        <v>0</v>
      </c>
      <c r="H168" s="85">
        <f t="shared" ca="1" si="46"/>
        <v>0</v>
      </c>
      <c r="I168" s="85">
        <f t="shared" ca="1" si="46"/>
        <v>6.0221966319655849</v>
      </c>
      <c r="J168" s="85">
        <f t="shared" ca="1" si="46"/>
        <v>497.11680336803465</v>
      </c>
    </row>
    <row r="169" spans="2:10">
      <c r="B169" s="29" t="s">
        <v>88</v>
      </c>
      <c r="C169" s="24"/>
      <c r="F169" s="83">
        <f ca="1">F166-F167-F168</f>
        <v>637.30940000000021</v>
      </c>
      <c r="G169" s="83">
        <f t="shared" ref="G169:J169" ca="1" si="47">G166-G167-G168</f>
        <v>603.76680000000022</v>
      </c>
      <c r="H169" s="83">
        <f t="shared" ca="1" si="47"/>
        <v>570.22420000000022</v>
      </c>
      <c r="I169" s="83">
        <f t="shared" ca="1" si="47"/>
        <v>530.65940336803465</v>
      </c>
      <c r="J169" s="83">
        <f t="shared" ca="1" si="47"/>
        <v>0</v>
      </c>
    </row>
    <row r="170" spans="2:10">
      <c r="B170" s="63" t="s">
        <v>109</v>
      </c>
      <c r="C170" s="21"/>
      <c r="E170" s="53" t="s">
        <v>133</v>
      </c>
      <c r="F170" s="64">
        <v>0.05</v>
      </c>
      <c r="G170" s="64">
        <v>0.05</v>
      </c>
      <c r="H170" s="64">
        <v>0.05</v>
      </c>
      <c r="I170" s="64">
        <v>0.05</v>
      </c>
      <c r="J170" s="64">
        <v>0.05</v>
      </c>
    </row>
    <row r="171" spans="2:10">
      <c r="B171" s="63" t="s">
        <v>122</v>
      </c>
      <c r="C171" s="21"/>
      <c r="E171" s="77">
        <v>1</v>
      </c>
      <c r="F171" s="101">
        <f ca="1">$E$171*(F149+F152-F160)</f>
        <v>0</v>
      </c>
      <c r="G171" s="101">
        <f t="shared" ref="G171:J171" ca="1" si="48">$E$171*(G149+G152-G160)</f>
        <v>0</v>
      </c>
      <c r="H171" s="101">
        <f t="shared" ca="1" si="48"/>
        <v>0</v>
      </c>
      <c r="I171" s="101">
        <f t="shared" ca="1" si="48"/>
        <v>6.0221966319655849</v>
      </c>
      <c r="J171" s="101">
        <f t="shared" ca="1" si="48"/>
        <v>878.52454889155297</v>
      </c>
    </row>
    <row r="172" spans="2:10">
      <c r="B172" s="63"/>
      <c r="C172" s="21"/>
      <c r="D172" s="21"/>
      <c r="E172" s="21"/>
      <c r="F172" s="68"/>
      <c r="G172" s="68"/>
      <c r="H172" s="68"/>
      <c r="I172" s="68"/>
      <c r="J172" s="68"/>
    </row>
    <row r="173" spans="2:10">
      <c r="B173" s="26" t="s">
        <v>84</v>
      </c>
      <c r="F173" s="25"/>
    </row>
    <row r="174" spans="2:10">
      <c r="B174" s="27" t="s">
        <v>91</v>
      </c>
      <c r="F174" s="99">
        <f>D31</f>
        <v>1632.9950000000006</v>
      </c>
      <c r="G174" s="57">
        <f>F176</f>
        <v>1632.9950000000006</v>
      </c>
      <c r="H174" s="57">
        <f t="shared" ref="H174:J174" si="49">G176</f>
        <v>1632.9950000000006</v>
      </c>
      <c r="I174" s="57">
        <f t="shared" si="49"/>
        <v>1632.9950000000006</v>
      </c>
      <c r="J174" s="57">
        <f t="shared" si="49"/>
        <v>1632.9950000000006</v>
      </c>
    </row>
    <row r="175" spans="2:10">
      <c r="B175" s="27" t="s">
        <v>81</v>
      </c>
      <c r="F175" s="85">
        <f>MIN(F174,$F$174*F177)</f>
        <v>0</v>
      </c>
      <c r="G175" s="85">
        <f t="shared" ref="G175:J175" si="50">MIN(G174,$F$174*G177)</f>
        <v>0</v>
      </c>
      <c r="H175" s="85">
        <f t="shared" si="50"/>
        <v>0</v>
      </c>
      <c r="I175" s="85">
        <f t="shared" si="50"/>
        <v>0</v>
      </c>
      <c r="J175" s="85">
        <f t="shared" si="50"/>
        <v>0</v>
      </c>
    </row>
    <row r="176" spans="2:10">
      <c r="B176" s="29" t="s">
        <v>90</v>
      </c>
      <c r="C176" s="24"/>
      <c r="D176" s="24"/>
      <c r="E176" s="24"/>
      <c r="F176" s="83">
        <f>F174-F175</f>
        <v>1632.9950000000006</v>
      </c>
      <c r="G176" s="83">
        <f t="shared" ref="G176:J176" si="51">G174-G175</f>
        <v>1632.9950000000006</v>
      </c>
      <c r="H176" s="83">
        <f t="shared" si="51"/>
        <v>1632.9950000000006</v>
      </c>
      <c r="I176" s="83">
        <f t="shared" si="51"/>
        <v>1632.9950000000006</v>
      </c>
      <c r="J176" s="83">
        <f t="shared" si="51"/>
        <v>1632.9950000000006</v>
      </c>
    </row>
    <row r="177" spans="2:10">
      <c r="B177" s="63" t="s">
        <v>109</v>
      </c>
      <c r="F177" s="64">
        <v>0</v>
      </c>
      <c r="G177" s="64">
        <v>0</v>
      </c>
      <c r="H177" s="64">
        <v>0</v>
      </c>
      <c r="I177" s="64">
        <v>0</v>
      </c>
      <c r="J177" s="64">
        <v>0</v>
      </c>
    </row>
    <row r="178" spans="2:10">
      <c r="B178" s="63"/>
      <c r="F178" s="64"/>
      <c r="G178" s="64"/>
      <c r="H178" s="64"/>
      <c r="I178" s="64"/>
      <c r="J178" s="64"/>
    </row>
    <row r="179" spans="2:10">
      <c r="B179" s="26" t="s">
        <v>85</v>
      </c>
      <c r="F179" s="25"/>
    </row>
    <row r="180" spans="2:10">
      <c r="B180" s="27" t="s">
        <v>93</v>
      </c>
      <c r="F180" s="99">
        <f>D32</f>
        <v>0</v>
      </c>
      <c r="G180" s="57">
        <f>F183</f>
        <v>0</v>
      </c>
      <c r="H180" s="57">
        <f t="shared" ref="H180:J180" si="52">G183</f>
        <v>0</v>
      </c>
      <c r="I180" s="57">
        <f t="shared" si="52"/>
        <v>0</v>
      </c>
      <c r="J180" s="57">
        <f t="shared" si="52"/>
        <v>0</v>
      </c>
    </row>
    <row r="181" spans="2:10">
      <c r="B181" s="27" t="s">
        <v>81</v>
      </c>
      <c r="D181" s="53"/>
      <c r="F181" s="85">
        <f>MIN(F180,$F$180*F184)</f>
        <v>0</v>
      </c>
      <c r="G181" s="85">
        <f t="shared" ref="G181:J181" si="53">MIN(G180,$F$180*G184)</f>
        <v>0</v>
      </c>
      <c r="H181" s="85">
        <f t="shared" si="53"/>
        <v>0</v>
      </c>
      <c r="I181" s="85">
        <f t="shared" si="53"/>
        <v>0</v>
      </c>
      <c r="J181" s="85">
        <f t="shared" si="53"/>
        <v>0</v>
      </c>
    </row>
    <row r="182" spans="2:10">
      <c r="B182" s="47" t="s">
        <v>124</v>
      </c>
      <c r="F182" s="85"/>
      <c r="G182" s="85"/>
      <c r="H182" s="85"/>
      <c r="I182" s="85"/>
      <c r="J182" s="85"/>
    </row>
    <row r="183" spans="2:10">
      <c r="B183" s="29" t="s">
        <v>92</v>
      </c>
      <c r="C183" s="24"/>
      <c r="D183" s="41"/>
      <c r="E183" s="24"/>
      <c r="F183" s="83">
        <f>F180-F181+F182</f>
        <v>0</v>
      </c>
      <c r="G183" s="83">
        <f t="shared" ref="G183:J183" si="54">G180-G181+G182</f>
        <v>0</v>
      </c>
      <c r="H183" s="83">
        <f t="shared" si="54"/>
        <v>0</v>
      </c>
      <c r="I183" s="83">
        <f t="shared" si="54"/>
        <v>0</v>
      </c>
      <c r="J183" s="83">
        <f t="shared" si="54"/>
        <v>0</v>
      </c>
    </row>
    <row r="184" spans="2:10">
      <c r="B184" s="63" t="s">
        <v>109</v>
      </c>
      <c r="F184" s="64">
        <v>0</v>
      </c>
      <c r="G184" s="64">
        <v>0</v>
      </c>
      <c r="H184" s="64">
        <v>0</v>
      </c>
      <c r="I184" s="64">
        <v>0</v>
      </c>
      <c r="J184" s="64">
        <v>0</v>
      </c>
    </row>
    <row r="185" spans="2:10">
      <c r="B185" s="63"/>
      <c r="F185" s="64"/>
      <c r="G185" s="64"/>
      <c r="H185" s="64"/>
      <c r="I185" s="64"/>
      <c r="J185" s="64"/>
    </row>
  </sheetData>
  <dataValidations disablePrompts="1" count="5">
    <dataValidation type="list" allowBlank="1" showInputMessage="1" showErrorMessage="1" sqref="B3" xr:uid="{00000000-0002-0000-0000-000000000000}">
      <formula1>"$ bns except per share, $ mm except per share,$ in thousands except per share"</formula1>
    </dataValidation>
    <dataValidation type="list" allowBlank="1" showInputMessage="1" showErrorMessage="1" sqref="D10" xr:uid="{00000000-0002-0000-0000-000001000000}">
      <formula1>"ON,OFF"</formula1>
    </dataValidation>
    <dataValidation type="list" allowBlank="1" showInputMessage="1" showErrorMessage="1" sqref="K92 K98" xr:uid="{00000000-0002-0000-0000-000002000000}">
      <formula1>"Yes,No"</formula1>
    </dataValidation>
    <dataValidation type="list" allowBlank="1" showInputMessage="1" showErrorMessage="1" sqref="H7" xr:uid="{00000000-0002-0000-0000-000003000000}">
      <formula1>$I$7:$J$7</formula1>
    </dataValidation>
    <dataValidation allowBlank="1" showInputMessage="1" showErrorMessage="1" promptTitle="Input transaction fee assumption" prompt="Includes legal, accounting and advisory related fees.  Input as a % of the offer value." sqref="G36 C18" xr:uid="{00000000-0002-0000-0000-000004000000}"/>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E28"/>
  <sheetViews>
    <sheetView zoomScaleNormal="100" workbookViewId="0"/>
  </sheetViews>
  <sheetFormatPr defaultRowHeight="15"/>
  <cols>
    <col min="1" max="1" width="1.7109375" customWidth="1"/>
    <col min="2" max="2" width="36.5703125" bestFit="1" customWidth="1"/>
    <col min="3" max="5" width="15.85546875" customWidth="1"/>
  </cols>
  <sheetData>
    <row r="1" spans="2:5" ht="15.75" thickBot="1"/>
    <row r="2" spans="2:5" ht="27" thickBot="1">
      <c r="B2" s="1" t="str">
        <f>"Diluted shares for "&amp;LBO!D6</f>
        <v>Diluted shares for BMC</v>
      </c>
      <c r="C2" s="10"/>
      <c r="D2" s="10"/>
      <c r="E2" s="10"/>
    </row>
    <row r="3" spans="2:5">
      <c r="B3" s="109" t="str">
        <f>LBO!B3</f>
        <v>$ mm except per share</v>
      </c>
    </row>
    <row r="4" spans="2:5">
      <c r="B4" s="27"/>
    </row>
    <row r="5" spans="2:5">
      <c r="B5" s="27" t="s">
        <v>148</v>
      </c>
      <c r="E5" s="88">
        <v>46.25</v>
      </c>
    </row>
    <row r="6" spans="2:5">
      <c r="B6" s="111" t="str">
        <f>IF(E6&lt;&gt;E5,"Please ensure offer price matches offer price in model.","")</f>
        <v/>
      </c>
      <c r="E6" s="110">
        <f>LBO!H20</f>
        <v>46.25</v>
      </c>
    </row>
    <row r="7" spans="2:5">
      <c r="B7" s="58" t="s">
        <v>152</v>
      </c>
      <c r="E7" s="54">
        <f>143.973</f>
        <v>143.97300000000001</v>
      </c>
    </row>
    <row r="8" spans="2:5">
      <c r="B8" s="27" t="s">
        <v>55</v>
      </c>
      <c r="E8" s="80">
        <f>E28</f>
        <v>10.7</v>
      </c>
    </row>
    <row r="9" spans="2:5">
      <c r="B9" s="27" t="s">
        <v>47</v>
      </c>
      <c r="E9" s="39">
        <f>SUMPRODUCT(D18:D27,E18:E27)</f>
        <v>411.70000000000005</v>
      </c>
    </row>
    <row r="10" spans="2:5">
      <c r="B10" s="27" t="s">
        <v>48</v>
      </c>
      <c r="E10" s="39">
        <f>E9/E5</f>
        <v>8.9016216216216222</v>
      </c>
    </row>
    <row r="11" spans="2:5">
      <c r="B11" s="27" t="s">
        <v>49</v>
      </c>
      <c r="E11" s="39">
        <f>E8-E10</f>
        <v>1.7983783783783771</v>
      </c>
    </row>
    <row r="12" spans="2:5">
      <c r="B12" s="27" t="s">
        <v>50</v>
      </c>
      <c r="E12" s="54">
        <v>0</v>
      </c>
    </row>
    <row r="13" spans="2:5">
      <c r="B13" s="27"/>
      <c r="E13" s="54"/>
    </row>
    <row r="14" spans="2:5">
      <c r="B14" s="36" t="s">
        <v>51</v>
      </c>
      <c r="D14" s="57"/>
      <c r="E14" s="39">
        <f>E7+E11+E12</f>
        <v>145.77137837837839</v>
      </c>
    </row>
    <row r="15" spans="2:5">
      <c r="B15" s="36"/>
      <c r="D15" s="57"/>
      <c r="E15" s="39"/>
    </row>
    <row r="16" spans="2:5">
      <c r="B16" s="65" t="s">
        <v>167</v>
      </c>
      <c r="C16" s="15"/>
      <c r="D16" s="89"/>
      <c r="E16" s="52"/>
    </row>
    <row r="17" spans="2:5">
      <c r="C17" s="69" t="s">
        <v>149</v>
      </c>
      <c r="D17" s="69" t="s">
        <v>54</v>
      </c>
      <c r="E17" s="69" t="s">
        <v>150</v>
      </c>
    </row>
    <row r="18" spans="2:5">
      <c r="B18" s="104">
        <v>1</v>
      </c>
      <c r="C18" s="105">
        <v>0.2</v>
      </c>
      <c r="D18" s="105">
        <v>15</v>
      </c>
      <c r="E18" s="106">
        <f t="shared" ref="E18:E27" si="0">IF(D18&lt;$E$5,C18,0)</f>
        <v>0.2</v>
      </c>
    </row>
    <row r="19" spans="2:5">
      <c r="B19" s="104">
        <f>B18+1</f>
        <v>2</v>
      </c>
      <c r="C19" s="105">
        <v>0.7</v>
      </c>
      <c r="D19" s="105">
        <v>18</v>
      </c>
      <c r="E19" s="106">
        <f t="shared" si="0"/>
        <v>0.7</v>
      </c>
    </row>
    <row r="20" spans="2:5">
      <c r="B20" s="104">
        <f t="shared" ref="B20:B24" si="1">B19+1</f>
        <v>3</v>
      </c>
      <c r="C20" s="105">
        <v>0.1</v>
      </c>
      <c r="D20" s="105">
        <v>22</v>
      </c>
      <c r="E20" s="106">
        <f t="shared" si="0"/>
        <v>0.1</v>
      </c>
    </row>
    <row r="21" spans="2:5">
      <c r="B21" s="104">
        <f t="shared" si="1"/>
        <v>4</v>
      </c>
      <c r="C21" s="105">
        <v>0.3</v>
      </c>
      <c r="D21" s="105">
        <v>28</v>
      </c>
      <c r="E21" s="106">
        <f t="shared" si="0"/>
        <v>0.3</v>
      </c>
    </row>
    <row r="22" spans="2:5">
      <c r="B22" s="104">
        <f t="shared" si="1"/>
        <v>5</v>
      </c>
      <c r="C22" s="105">
        <v>0.3</v>
      </c>
      <c r="D22" s="105">
        <v>32</v>
      </c>
      <c r="E22" s="106">
        <f t="shared" si="0"/>
        <v>0.3</v>
      </c>
    </row>
    <row r="23" spans="2:5">
      <c r="B23" s="104">
        <f t="shared" si="1"/>
        <v>6</v>
      </c>
      <c r="C23" s="105">
        <v>0.4</v>
      </c>
      <c r="D23" s="105">
        <v>36</v>
      </c>
      <c r="E23" s="106">
        <f t="shared" si="0"/>
        <v>0.4</v>
      </c>
    </row>
    <row r="24" spans="2:5">
      <c r="B24" s="104">
        <f t="shared" si="1"/>
        <v>7</v>
      </c>
      <c r="C24" s="105">
        <v>1.3</v>
      </c>
      <c r="D24" s="105">
        <v>39</v>
      </c>
      <c r="E24" s="106">
        <f t="shared" si="0"/>
        <v>1.3</v>
      </c>
    </row>
    <row r="25" spans="2:5">
      <c r="B25" s="104">
        <f t="shared" ref="B25:B26" si="2">B24+1</f>
        <v>8</v>
      </c>
      <c r="C25" s="105">
        <v>7.4</v>
      </c>
      <c r="D25" s="105">
        <v>42</v>
      </c>
      <c r="E25" s="106">
        <f t="shared" si="0"/>
        <v>7.4</v>
      </c>
    </row>
    <row r="26" spans="2:5">
      <c r="B26" s="104">
        <f t="shared" si="2"/>
        <v>9</v>
      </c>
      <c r="C26" s="105"/>
      <c r="D26" s="105"/>
      <c r="E26" s="106">
        <f t="shared" si="0"/>
        <v>0</v>
      </c>
    </row>
    <row r="27" spans="2:5">
      <c r="B27" s="104">
        <f t="shared" ref="B27" si="3">B26+1</f>
        <v>10</v>
      </c>
      <c r="C27" s="105"/>
      <c r="D27" s="105"/>
      <c r="E27" s="107">
        <f t="shared" si="0"/>
        <v>0</v>
      </c>
    </row>
    <row r="28" spans="2:5">
      <c r="E28" s="108">
        <f>SUM(E18:E27)</f>
        <v>10.7</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F268"/>
  <sheetViews>
    <sheetView zoomScaleNormal="100" workbookViewId="0"/>
  </sheetViews>
  <sheetFormatPr defaultRowHeight="15"/>
  <cols>
    <col min="1" max="1" width="19.42578125" bestFit="1" customWidth="1"/>
    <col min="2" max="5" width="9.28515625" bestFit="1" customWidth="1"/>
    <col min="6" max="6" width="10" bestFit="1" customWidth="1"/>
    <col min="9" max="9" width="9.28515625" bestFit="1" customWidth="1"/>
  </cols>
  <sheetData>
    <row r="2" spans="1:6" ht="18" thickBot="1">
      <c r="A2" s="51" t="s">
        <v>58</v>
      </c>
      <c r="B2" s="50"/>
      <c r="C2" s="50"/>
      <c r="D2" s="50"/>
      <c r="E2" s="50"/>
      <c r="F2" s="50"/>
    </row>
    <row r="4" spans="1:6">
      <c r="A4" t="s">
        <v>59</v>
      </c>
      <c r="E4" s="24">
        <f>MAX(E8:E268)</f>
        <v>46.33</v>
      </c>
    </row>
    <row r="5" spans="1:6">
      <c r="A5" t="s">
        <v>60</v>
      </c>
      <c r="E5" s="24">
        <f>MIN(E8:E268)</f>
        <v>37.51</v>
      </c>
    </row>
    <row r="7" spans="1:6">
      <c r="A7" t="s">
        <v>61</v>
      </c>
      <c r="B7" t="s">
        <v>62</v>
      </c>
      <c r="C7" t="s">
        <v>56</v>
      </c>
      <c r="D7" t="s">
        <v>57</v>
      </c>
      <c r="E7" s="24" t="s">
        <v>63</v>
      </c>
      <c r="F7" t="s">
        <v>64</v>
      </c>
    </row>
    <row r="8" spans="1:6">
      <c r="A8" s="48">
        <v>41400</v>
      </c>
      <c r="B8">
        <v>45.5</v>
      </c>
      <c r="C8">
        <v>45.71</v>
      </c>
      <c r="D8">
        <v>45.07</v>
      </c>
      <c r="E8" s="24">
        <v>45.42</v>
      </c>
      <c r="F8">
        <v>34229100</v>
      </c>
    </row>
    <row r="9" spans="1:6">
      <c r="A9" s="48">
        <v>41397</v>
      </c>
      <c r="B9">
        <v>45.67</v>
      </c>
      <c r="C9">
        <v>45.77</v>
      </c>
      <c r="D9">
        <v>45.35</v>
      </c>
      <c r="E9" s="24">
        <v>45.42</v>
      </c>
      <c r="F9">
        <v>2058200</v>
      </c>
    </row>
    <row r="10" spans="1:6">
      <c r="A10" s="48">
        <v>41396</v>
      </c>
      <c r="B10">
        <v>45.45</v>
      </c>
      <c r="C10">
        <v>45.49</v>
      </c>
      <c r="D10">
        <v>44.97</v>
      </c>
      <c r="E10" s="24">
        <v>45.24</v>
      </c>
      <c r="F10">
        <v>3022300</v>
      </c>
    </row>
    <row r="11" spans="1:6">
      <c r="A11" s="48">
        <v>41395</v>
      </c>
      <c r="B11">
        <v>45.84</v>
      </c>
      <c r="C11">
        <v>45.96</v>
      </c>
      <c r="D11">
        <v>45.25</v>
      </c>
      <c r="E11" s="24">
        <v>45.39</v>
      </c>
      <c r="F11">
        <v>2306800</v>
      </c>
    </row>
    <row r="12" spans="1:6">
      <c r="A12" s="48">
        <v>41394</v>
      </c>
      <c r="B12">
        <v>45.34</v>
      </c>
      <c r="C12">
        <v>45.52</v>
      </c>
      <c r="D12">
        <v>45.17</v>
      </c>
      <c r="E12" s="24">
        <v>45.48</v>
      </c>
      <c r="F12">
        <v>2096700</v>
      </c>
    </row>
    <row r="13" spans="1:6">
      <c r="A13" s="48">
        <v>41393</v>
      </c>
      <c r="B13">
        <v>45.5</v>
      </c>
      <c r="C13">
        <v>45.7</v>
      </c>
      <c r="D13">
        <v>45.28</v>
      </c>
      <c r="E13" s="24">
        <v>45.43</v>
      </c>
      <c r="F13">
        <v>2294400</v>
      </c>
    </row>
    <row r="14" spans="1:6">
      <c r="A14" s="48">
        <v>41390</v>
      </c>
      <c r="B14">
        <v>45.68</v>
      </c>
      <c r="C14">
        <v>45.86</v>
      </c>
      <c r="D14">
        <v>45.53</v>
      </c>
      <c r="E14" s="24">
        <v>45.6</v>
      </c>
      <c r="F14">
        <v>1694700</v>
      </c>
    </row>
    <row r="15" spans="1:6">
      <c r="A15" s="48">
        <v>41389</v>
      </c>
      <c r="B15">
        <v>45.07</v>
      </c>
      <c r="C15">
        <v>45.83</v>
      </c>
      <c r="D15">
        <v>44.87</v>
      </c>
      <c r="E15" s="24">
        <v>45.69</v>
      </c>
      <c r="F15">
        <v>2360900</v>
      </c>
    </row>
    <row r="16" spans="1:6">
      <c r="A16" s="48">
        <v>41388</v>
      </c>
      <c r="B16">
        <v>45</v>
      </c>
      <c r="C16">
        <v>45.62</v>
      </c>
      <c r="D16">
        <v>44.22</v>
      </c>
      <c r="E16" s="24">
        <v>44.9</v>
      </c>
      <c r="F16">
        <v>6814000</v>
      </c>
    </row>
    <row r="17" spans="1:6">
      <c r="A17" s="48">
        <v>41387</v>
      </c>
      <c r="B17">
        <v>44.05</v>
      </c>
      <c r="C17">
        <v>44.29</v>
      </c>
      <c r="D17">
        <v>43.66</v>
      </c>
      <c r="E17" s="24">
        <v>44.13</v>
      </c>
      <c r="F17">
        <v>2856300</v>
      </c>
    </row>
    <row r="18" spans="1:6">
      <c r="A18" s="48">
        <v>41386</v>
      </c>
      <c r="B18">
        <v>44.08</v>
      </c>
      <c r="C18">
        <v>44.09</v>
      </c>
      <c r="D18">
        <v>43.41</v>
      </c>
      <c r="E18" s="24">
        <v>43.88</v>
      </c>
      <c r="F18">
        <v>1078900</v>
      </c>
    </row>
    <row r="19" spans="1:6">
      <c r="A19" s="48">
        <v>41383</v>
      </c>
      <c r="B19">
        <v>43.56</v>
      </c>
      <c r="C19">
        <v>44.08</v>
      </c>
      <c r="D19">
        <v>43.3</v>
      </c>
      <c r="E19" s="24">
        <v>43.86</v>
      </c>
      <c r="F19">
        <v>1367800</v>
      </c>
    </row>
    <row r="20" spans="1:6">
      <c r="A20" s="48">
        <v>41382</v>
      </c>
      <c r="B20">
        <v>44.21</v>
      </c>
      <c r="C20">
        <v>44.25</v>
      </c>
      <c r="D20">
        <v>43.44</v>
      </c>
      <c r="E20" s="24">
        <v>43.75</v>
      </c>
      <c r="F20">
        <v>1451300</v>
      </c>
    </row>
    <row r="21" spans="1:6">
      <c r="A21" s="48">
        <v>41381</v>
      </c>
      <c r="B21">
        <v>44.51</v>
      </c>
      <c r="C21">
        <v>44.68</v>
      </c>
      <c r="D21">
        <v>43.54</v>
      </c>
      <c r="E21" s="24">
        <v>44.03</v>
      </c>
      <c r="F21">
        <v>2156400</v>
      </c>
    </row>
    <row r="22" spans="1:6">
      <c r="A22" s="48">
        <v>41380</v>
      </c>
      <c r="B22">
        <v>44.59</v>
      </c>
      <c r="C22">
        <v>45.03</v>
      </c>
      <c r="D22">
        <v>44.5</v>
      </c>
      <c r="E22" s="24">
        <v>44.88</v>
      </c>
      <c r="F22">
        <v>1223400</v>
      </c>
    </row>
    <row r="23" spans="1:6">
      <c r="A23" s="48">
        <v>41379</v>
      </c>
      <c r="B23">
        <v>44.9</v>
      </c>
      <c r="C23">
        <v>45</v>
      </c>
      <c r="D23">
        <v>44.32</v>
      </c>
      <c r="E23" s="24">
        <v>44.32</v>
      </c>
      <c r="F23">
        <v>1273900</v>
      </c>
    </row>
    <row r="24" spans="1:6">
      <c r="A24" s="48">
        <v>41376</v>
      </c>
      <c r="B24">
        <v>45.02</v>
      </c>
      <c r="C24">
        <v>45.02</v>
      </c>
      <c r="D24">
        <v>44.65</v>
      </c>
      <c r="E24" s="24">
        <v>44.93</v>
      </c>
      <c r="F24">
        <v>1566600</v>
      </c>
    </row>
    <row r="25" spans="1:6">
      <c r="A25" s="48">
        <v>41375</v>
      </c>
      <c r="B25">
        <v>44.72</v>
      </c>
      <c r="C25">
        <v>45.65</v>
      </c>
      <c r="D25">
        <v>44.53</v>
      </c>
      <c r="E25" s="24">
        <v>45.02</v>
      </c>
      <c r="F25">
        <v>4248900</v>
      </c>
    </row>
    <row r="26" spans="1:6">
      <c r="A26" s="48">
        <v>41374</v>
      </c>
      <c r="B26">
        <v>44.45</v>
      </c>
      <c r="C26">
        <v>44.93</v>
      </c>
      <c r="D26">
        <v>44.37</v>
      </c>
      <c r="E26" s="24">
        <v>44.75</v>
      </c>
      <c r="F26">
        <v>2023200</v>
      </c>
    </row>
    <row r="27" spans="1:6">
      <c r="A27" s="48">
        <v>41373</v>
      </c>
      <c r="B27">
        <v>44.5</v>
      </c>
      <c r="C27">
        <v>44.62</v>
      </c>
      <c r="D27">
        <v>43.98</v>
      </c>
      <c r="E27" s="24">
        <v>44.34</v>
      </c>
      <c r="F27">
        <v>1952800</v>
      </c>
    </row>
    <row r="28" spans="1:6">
      <c r="A28" s="48">
        <v>41372</v>
      </c>
      <c r="B28">
        <v>45.05</v>
      </c>
      <c r="C28">
        <v>45.1</v>
      </c>
      <c r="D28">
        <v>44.42</v>
      </c>
      <c r="E28" s="24">
        <v>44.45</v>
      </c>
      <c r="F28">
        <v>1625500</v>
      </c>
    </row>
    <row r="29" spans="1:6">
      <c r="A29" s="48">
        <v>41369</v>
      </c>
      <c r="B29">
        <v>44.55</v>
      </c>
      <c r="C29">
        <v>45.28</v>
      </c>
      <c r="D29">
        <v>44.03</v>
      </c>
      <c r="E29" s="24">
        <v>45.11</v>
      </c>
      <c r="F29">
        <v>1635700</v>
      </c>
    </row>
    <row r="30" spans="1:6">
      <c r="A30" s="48">
        <v>41368</v>
      </c>
      <c r="B30">
        <v>45.42</v>
      </c>
      <c r="C30">
        <v>45.59</v>
      </c>
      <c r="D30">
        <v>44.93</v>
      </c>
      <c r="E30" s="24">
        <v>45.14</v>
      </c>
      <c r="F30">
        <v>1004100</v>
      </c>
    </row>
    <row r="31" spans="1:6">
      <c r="A31" s="48">
        <v>41367</v>
      </c>
      <c r="B31">
        <v>46.09</v>
      </c>
      <c r="C31">
        <v>46.3</v>
      </c>
      <c r="D31">
        <v>45.07</v>
      </c>
      <c r="E31" s="24">
        <v>45.44</v>
      </c>
      <c r="F31">
        <v>1471300</v>
      </c>
    </row>
    <row r="32" spans="1:6">
      <c r="A32" s="48">
        <v>41366</v>
      </c>
      <c r="B32">
        <v>46.19</v>
      </c>
      <c r="C32">
        <v>46.49</v>
      </c>
      <c r="D32">
        <v>46.03</v>
      </c>
      <c r="E32" s="24">
        <v>46.06</v>
      </c>
      <c r="F32">
        <v>1169600</v>
      </c>
    </row>
    <row r="33" spans="1:6">
      <c r="A33" s="48">
        <v>41365</v>
      </c>
      <c r="B33">
        <v>46.29</v>
      </c>
      <c r="C33">
        <v>46.5</v>
      </c>
      <c r="D33">
        <v>45.87</v>
      </c>
      <c r="E33" s="24">
        <v>46.02</v>
      </c>
      <c r="F33">
        <v>1124600</v>
      </c>
    </row>
    <row r="34" spans="1:6">
      <c r="A34" s="48">
        <v>41362</v>
      </c>
      <c r="B34">
        <v>46.33</v>
      </c>
      <c r="C34">
        <v>46.33</v>
      </c>
      <c r="D34">
        <v>46.33</v>
      </c>
      <c r="E34" s="24">
        <v>46.33</v>
      </c>
      <c r="F34">
        <v>0</v>
      </c>
    </row>
    <row r="35" spans="1:6">
      <c r="A35" s="48">
        <v>41361</v>
      </c>
      <c r="B35">
        <v>45.61</v>
      </c>
      <c r="C35">
        <v>46.48</v>
      </c>
      <c r="D35">
        <v>45.61</v>
      </c>
      <c r="E35" s="24">
        <v>46.33</v>
      </c>
      <c r="F35">
        <v>1145800</v>
      </c>
    </row>
    <row r="36" spans="1:6">
      <c r="A36" s="48">
        <v>41360</v>
      </c>
      <c r="B36">
        <v>45.63</v>
      </c>
      <c r="C36">
        <v>45.92</v>
      </c>
      <c r="D36">
        <v>45.25</v>
      </c>
      <c r="E36" s="24">
        <v>45.73</v>
      </c>
      <c r="F36">
        <v>1127000</v>
      </c>
    </row>
    <row r="37" spans="1:6">
      <c r="A37" s="48">
        <v>41359</v>
      </c>
      <c r="B37">
        <v>45.86</v>
      </c>
      <c r="C37">
        <v>46.18</v>
      </c>
      <c r="D37">
        <v>45.66</v>
      </c>
      <c r="E37" s="24">
        <v>45.78</v>
      </c>
      <c r="F37">
        <v>1283100</v>
      </c>
    </row>
    <row r="38" spans="1:6">
      <c r="A38" s="48">
        <v>41358</v>
      </c>
      <c r="B38">
        <v>45.95</v>
      </c>
      <c r="C38">
        <v>46.05</v>
      </c>
      <c r="D38">
        <v>45.49</v>
      </c>
      <c r="E38" s="24">
        <v>45.7</v>
      </c>
      <c r="F38">
        <v>1757200</v>
      </c>
    </row>
    <row r="39" spans="1:6">
      <c r="A39" s="48">
        <v>41355</v>
      </c>
      <c r="B39">
        <v>45.49</v>
      </c>
      <c r="C39">
        <v>45.93</v>
      </c>
      <c r="D39">
        <v>45.39</v>
      </c>
      <c r="E39" s="24">
        <v>45.74</v>
      </c>
      <c r="F39">
        <v>2110000</v>
      </c>
    </row>
    <row r="40" spans="1:6">
      <c r="A40" s="48">
        <v>41354</v>
      </c>
      <c r="B40">
        <v>43.61</v>
      </c>
      <c r="C40">
        <v>47.98</v>
      </c>
      <c r="D40">
        <v>43.5</v>
      </c>
      <c r="E40" s="24">
        <v>45.48</v>
      </c>
      <c r="F40">
        <v>6592300</v>
      </c>
    </row>
    <row r="41" spans="1:6">
      <c r="A41" s="48">
        <v>41353</v>
      </c>
      <c r="B41">
        <v>44.03</v>
      </c>
      <c r="C41">
        <v>44.45</v>
      </c>
      <c r="D41">
        <v>43.83</v>
      </c>
      <c r="E41" s="24">
        <v>43.99</v>
      </c>
      <c r="F41">
        <v>914200</v>
      </c>
    </row>
    <row r="42" spans="1:6">
      <c r="A42" s="48">
        <v>41352</v>
      </c>
      <c r="B42">
        <v>44.09</v>
      </c>
      <c r="C42">
        <v>44.16</v>
      </c>
      <c r="D42">
        <v>43.4</v>
      </c>
      <c r="E42" s="24">
        <v>43.68</v>
      </c>
      <c r="F42">
        <v>1214500</v>
      </c>
    </row>
    <row r="43" spans="1:6">
      <c r="A43" s="48">
        <v>41351</v>
      </c>
      <c r="B43">
        <v>43.65</v>
      </c>
      <c r="C43">
        <v>44.4</v>
      </c>
      <c r="D43">
        <v>43.56</v>
      </c>
      <c r="E43" s="24">
        <v>43.98</v>
      </c>
      <c r="F43">
        <v>1173700</v>
      </c>
    </row>
    <row r="44" spans="1:6">
      <c r="A44" s="48">
        <v>41348</v>
      </c>
      <c r="B44">
        <v>44.12</v>
      </c>
      <c r="C44">
        <v>44.69</v>
      </c>
      <c r="D44">
        <v>44.09</v>
      </c>
      <c r="E44" s="24">
        <v>44.12</v>
      </c>
      <c r="F44">
        <v>2730000</v>
      </c>
    </row>
    <row r="45" spans="1:6">
      <c r="A45" s="48">
        <v>41347</v>
      </c>
      <c r="B45">
        <v>43.88</v>
      </c>
      <c r="C45">
        <v>44.5</v>
      </c>
      <c r="D45">
        <v>43.83</v>
      </c>
      <c r="E45" s="24">
        <v>44.29</v>
      </c>
      <c r="F45">
        <v>2030500</v>
      </c>
    </row>
    <row r="46" spans="1:6">
      <c r="A46" s="48">
        <v>41346</v>
      </c>
      <c r="B46">
        <v>43.72</v>
      </c>
      <c r="C46">
        <v>44.12</v>
      </c>
      <c r="D46">
        <v>43.62</v>
      </c>
      <c r="E46" s="24">
        <v>43.66</v>
      </c>
      <c r="F46">
        <v>1725200</v>
      </c>
    </row>
    <row r="47" spans="1:6">
      <c r="A47" s="48">
        <v>41345</v>
      </c>
      <c r="B47">
        <v>43</v>
      </c>
      <c r="C47">
        <v>43.77</v>
      </c>
      <c r="D47">
        <v>43</v>
      </c>
      <c r="E47" s="24">
        <v>43.72</v>
      </c>
      <c r="F47">
        <v>1969000</v>
      </c>
    </row>
    <row r="48" spans="1:6">
      <c r="A48" s="48">
        <v>41344</v>
      </c>
      <c r="B48">
        <v>42.88</v>
      </c>
      <c r="C48">
        <v>43.48</v>
      </c>
      <c r="D48">
        <v>42.81</v>
      </c>
      <c r="E48" s="24">
        <v>43.4</v>
      </c>
      <c r="F48">
        <v>1858400</v>
      </c>
    </row>
    <row r="49" spans="1:6">
      <c r="A49" s="48">
        <v>41341</v>
      </c>
      <c r="B49">
        <v>42.46</v>
      </c>
      <c r="C49">
        <v>43.13</v>
      </c>
      <c r="D49">
        <v>42.35</v>
      </c>
      <c r="E49" s="24">
        <v>42.91</v>
      </c>
      <c r="F49">
        <v>1595900</v>
      </c>
    </row>
    <row r="50" spans="1:6">
      <c r="A50" s="48">
        <v>41340</v>
      </c>
      <c r="B50">
        <v>42.2</v>
      </c>
      <c r="C50">
        <v>42.55</v>
      </c>
      <c r="D50">
        <v>42.18</v>
      </c>
      <c r="E50" s="24">
        <v>42.33</v>
      </c>
      <c r="F50">
        <v>844600</v>
      </c>
    </row>
    <row r="51" spans="1:6">
      <c r="A51" s="48">
        <v>41339</v>
      </c>
      <c r="B51">
        <v>42.34</v>
      </c>
      <c r="C51">
        <v>42.63</v>
      </c>
      <c r="D51">
        <v>42.18</v>
      </c>
      <c r="E51" s="24">
        <v>42.22</v>
      </c>
      <c r="F51">
        <v>1318300</v>
      </c>
    </row>
    <row r="52" spans="1:6">
      <c r="A52" s="48">
        <v>41338</v>
      </c>
      <c r="B52">
        <v>41.41</v>
      </c>
      <c r="C52">
        <v>42.77</v>
      </c>
      <c r="D52">
        <v>41.37</v>
      </c>
      <c r="E52" s="24">
        <v>42.32</v>
      </c>
      <c r="F52">
        <v>2841500</v>
      </c>
    </row>
    <row r="53" spans="1:6">
      <c r="A53" s="48">
        <v>41337</v>
      </c>
      <c r="B53">
        <v>40.35</v>
      </c>
      <c r="C53">
        <v>40.880000000000003</v>
      </c>
      <c r="D53">
        <v>40.35</v>
      </c>
      <c r="E53" s="24">
        <v>40.799999999999997</v>
      </c>
      <c r="F53">
        <v>1428200</v>
      </c>
    </row>
    <row r="54" spans="1:6">
      <c r="A54" s="48">
        <v>41334</v>
      </c>
      <c r="B54">
        <v>39.83</v>
      </c>
      <c r="C54">
        <v>40.69</v>
      </c>
      <c r="D54">
        <v>39.46</v>
      </c>
      <c r="E54" s="24">
        <v>40.43</v>
      </c>
      <c r="F54">
        <v>1672500</v>
      </c>
    </row>
    <row r="55" spans="1:6">
      <c r="A55" s="48">
        <v>41333</v>
      </c>
      <c r="B55">
        <v>40.17</v>
      </c>
      <c r="C55">
        <v>40.619999999999997</v>
      </c>
      <c r="D55">
        <v>40.049999999999997</v>
      </c>
      <c r="E55" s="24">
        <v>40.11</v>
      </c>
      <c r="F55">
        <v>2814900</v>
      </c>
    </row>
    <row r="56" spans="1:6">
      <c r="A56" s="48">
        <v>41332</v>
      </c>
      <c r="B56">
        <v>40.01</v>
      </c>
      <c r="C56">
        <v>40.53</v>
      </c>
      <c r="D56">
        <v>39.880000000000003</v>
      </c>
      <c r="E56" s="24">
        <v>40.06</v>
      </c>
      <c r="F56">
        <v>1715200</v>
      </c>
    </row>
    <row r="57" spans="1:6">
      <c r="A57" s="48">
        <v>41331</v>
      </c>
      <c r="B57">
        <v>40.200000000000003</v>
      </c>
      <c r="C57">
        <v>40.270000000000003</v>
      </c>
      <c r="D57">
        <v>39.549999999999997</v>
      </c>
      <c r="E57" s="24">
        <v>40.03</v>
      </c>
      <c r="F57">
        <v>1904600</v>
      </c>
    </row>
    <row r="58" spans="1:6">
      <c r="A58" s="48">
        <v>41330</v>
      </c>
      <c r="B58">
        <v>40.61</v>
      </c>
      <c r="C58">
        <v>40.9</v>
      </c>
      <c r="D58">
        <v>40.06</v>
      </c>
      <c r="E58" s="24">
        <v>40.1</v>
      </c>
      <c r="F58">
        <v>1926800</v>
      </c>
    </row>
    <row r="59" spans="1:6">
      <c r="A59" s="48">
        <v>41327</v>
      </c>
      <c r="B59">
        <v>40.619999999999997</v>
      </c>
      <c r="C59">
        <v>40.74</v>
      </c>
      <c r="D59">
        <v>40.4</v>
      </c>
      <c r="E59" s="24">
        <v>40.54</v>
      </c>
      <c r="F59">
        <v>1363200</v>
      </c>
    </row>
    <row r="60" spans="1:6">
      <c r="A60" s="48">
        <v>41326</v>
      </c>
      <c r="B60">
        <v>41.09</v>
      </c>
      <c r="C60">
        <v>41.2</v>
      </c>
      <c r="D60">
        <v>40.15</v>
      </c>
      <c r="E60" s="24">
        <v>40.46</v>
      </c>
      <c r="F60">
        <v>1580100</v>
      </c>
    </row>
    <row r="61" spans="1:6">
      <c r="A61" s="48">
        <v>41325</v>
      </c>
      <c r="B61">
        <v>41.62</v>
      </c>
      <c r="C61">
        <v>42.13</v>
      </c>
      <c r="D61">
        <v>41.1</v>
      </c>
      <c r="E61" s="24">
        <v>41.11</v>
      </c>
      <c r="F61">
        <v>1591200</v>
      </c>
    </row>
    <row r="62" spans="1:6">
      <c r="A62" s="48">
        <v>41324</v>
      </c>
      <c r="B62">
        <v>41.42</v>
      </c>
      <c r="C62">
        <v>41.79</v>
      </c>
      <c r="D62">
        <v>41.2</v>
      </c>
      <c r="E62" s="24">
        <v>41.59</v>
      </c>
      <c r="F62">
        <v>1148200</v>
      </c>
    </row>
    <row r="63" spans="1:6">
      <c r="A63" s="48">
        <v>41323</v>
      </c>
      <c r="B63">
        <v>41.37</v>
      </c>
      <c r="C63">
        <v>41.37</v>
      </c>
      <c r="D63">
        <v>41.37</v>
      </c>
      <c r="E63" s="24">
        <v>41.37</v>
      </c>
      <c r="F63">
        <v>0</v>
      </c>
    </row>
    <row r="64" spans="1:6">
      <c r="A64" s="48">
        <v>41320</v>
      </c>
      <c r="B64">
        <v>41.29</v>
      </c>
      <c r="C64">
        <v>41.82</v>
      </c>
      <c r="D64">
        <v>41.27</v>
      </c>
      <c r="E64" s="24">
        <v>41.37</v>
      </c>
      <c r="F64">
        <v>1437300</v>
      </c>
    </row>
    <row r="65" spans="1:6">
      <c r="A65" s="48">
        <v>41319</v>
      </c>
      <c r="B65">
        <v>41</v>
      </c>
      <c r="C65">
        <v>41.57</v>
      </c>
      <c r="D65">
        <v>40.92</v>
      </c>
      <c r="E65" s="24">
        <v>41.46</v>
      </c>
      <c r="F65">
        <v>1182500</v>
      </c>
    </row>
    <row r="66" spans="1:6">
      <c r="A66" s="48">
        <v>41318</v>
      </c>
      <c r="B66">
        <v>41.28</v>
      </c>
      <c r="C66">
        <v>41.43</v>
      </c>
      <c r="D66">
        <v>40.97</v>
      </c>
      <c r="E66" s="24">
        <v>41.09</v>
      </c>
      <c r="F66">
        <v>1813600</v>
      </c>
    </row>
    <row r="67" spans="1:6">
      <c r="A67" s="48">
        <v>41317</v>
      </c>
      <c r="B67">
        <v>41.4</v>
      </c>
      <c r="C67">
        <v>41.59</v>
      </c>
      <c r="D67">
        <v>41.17</v>
      </c>
      <c r="E67" s="24">
        <v>41.24</v>
      </c>
      <c r="F67">
        <v>1378100</v>
      </c>
    </row>
    <row r="68" spans="1:6">
      <c r="A68" s="48">
        <v>41316</v>
      </c>
      <c r="B68">
        <v>41.8</v>
      </c>
      <c r="C68">
        <v>41.86</v>
      </c>
      <c r="D68">
        <v>40.94</v>
      </c>
      <c r="E68" s="24">
        <v>41.4</v>
      </c>
      <c r="F68">
        <v>2472600</v>
      </c>
    </row>
    <row r="69" spans="1:6">
      <c r="A69" s="48">
        <v>41313</v>
      </c>
      <c r="B69">
        <v>42</v>
      </c>
      <c r="C69">
        <v>42.46</v>
      </c>
      <c r="D69">
        <v>41.56</v>
      </c>
      <c r="E69" s="24">
        <v>41.86</v>
      </c>
      <c r="F69">
        <v>1231600</v>
      </c>
    </row>
    <row r="70" spans="1:6">
      <c r="A70" s="48">
        <v>41312</v>
      </c>
      <c r="B70">
        <v>41.6</v>
      </c>
      <c r="C70">
        <v>41.98</v>
      </c>
      <c r="D70">
        <v>41.49</v>
      </c>
      <c r="E70" s="24">
        <v>41.95</v>
      </c>
      <c r="F70">
        <v>1919200</v>
      </c>
    </row>
    <row r="71" spans="1:6">
      <c r="A71" s="48">
        <v>41311</v>
      </c>
      <c r="B71">
        <v>41.91</v>
      </c>
      <c r="C71">
        <v>42.17</v>
      </c>
      <c r="D71">
        <v>41.6</v>
      </c>
      <c r="E71" s="24">
        <v>41.85</v>
      </c>
      <c r="F71">
        <v>2420600</v>
      </c>
    </row>
    <row r="72" spans="1:6">
      <c r="A72" s="48">
        <v>41310</v>
      </c>
      <c r="B72">
        <v>41.84</v>
      </c>
      <c r="C72">
        <v>42.25</v>
      </c>
      <c r="D72">
        <v>41.59</v>
      </c>
      <c r="E72" s="24">
        <v>42.1</v>
      </c>
      <c r="F72">
        <v>1671600</v>
      </c>
    </row>
    <row r="73" spans="1:6">
      <c r="A73" s="48">
        <v>41309</v>
      </c>
      <c r="B73">
        <v>41.81</v>
      </c>
      <c r="C73">
        <v>42.21</v>
      </c>
      <c r="D73">
        <v>41.55</v>
      </c>
      <c r="E73" s="24">
        <v>41.56</v>
      </c>
      <c r="F73">
        <v>1851700</v>
      </c>
    </row>
    <row r="74" spans="1:6">
      <c r="A74" s="48">
        <v>41306</v>
      </c>
      <c r="B74">
        <v>41.97</v>
      </c>
      <c r="C74">
        <v>42.44</v>
      </c>
      <c r="D74">
        <v>41.63</v>
      </c>
      <c r="E74" s="24">
        <v>42.17</v>
      </c>
      <c r="F74">
        <v>1643200</v>
      </c>
    </row>
    <row r="75" spans="1:6">
      <c r="A75" s="48">
        <v>41305</v>
      </c>
      <c r="B75">
        <v>41.34</v>
      </c>
      <c r="C75">
        <v>41.95</v>
      </c>
      <c r="D75">
        <v>41.34</v>
      </c>
      <c r="E75" s="24">
        <v>41.55</v>
      </c>
      <c r="F75">
        <v>1523700</v>
      </c>
    </row>
    <row r="76" spans="1:6">
      <c r="A76" s="48">
        <v>41304</v>
      </c>
      <c r="B76">
        <v>41.65</v>
      </c>
      <c r="C76">
        <v>41.85</v>
      </c>
      <c r="D76">
        <v>41.22</v>
      </c>
      <c r="E76" s="24">
        <v>41.47</v>
      </c>
      <c r="F76">
        <v>2894600</v>
      </c>
    </row>
    <row r="77" spans="1:6">
      <c r="A77" s="48">
        <v>41303</v>
      </c>
      <c r="B77">
        <v>40</v>
      </c>
      <c r="C77">
        <v>41.71</v>
      </c>
      <c r="D77">
        <v>40</v>
      </c>
      <c r="E77" s="24">
        <v>41.71</v>
      </c>
      <c r="F77">
        <v>4776700</v>
      </c>
    </row>
    <row r="78" spans="1:6">
      <c r="A78" s="48">
        <v>41302</v>
      </c>
      <c r="B78">
        <v>44.8</v>
      </c>
      <c r="C78">
        <v>44.99</v>
      </c>
      <c r="D78">
        <v>44.42</v>
      </c>
      <c r="E78" s="24">
        <v>44.48</v>
      </c>
      <c r="F78">
        <v>1739200</v>
      </c>
    </row>
    <row r="79" spans="1:6">
      <c r="A79" s="48">
        <v>41299</v>
      </c>
      <c r="B79">
        <v>44.25</v>
      </c>
      <c r="C79">
        <v>44.82</v>
      </c>
      <c r="D79">
        <v>44.1</v>
      </c>
      <c r="E79" s="24">
        <v>44.5</v>
      </c>
      <c r="F79">
        <v>1062100</v>
      </c>
    </row>
    <row r="80" spans="1:6">
      <c r="A80" s="48">
        <v>41298</v>
      </c>
      <c r="B80">
        <v>43.86</v>
      </c>
      <c r="C80">
        <v>44.53</v>
      </c>
      <c r="D80">
        <v>43.85</v>
      </c>
      <c r="E80" s="24">
        <v>44.05</v>
      </c>
      <c r="F80">
        <v>993700</v>
      </c>
    </row>
    <row r="81" spans="1:6">
      <c r="A81" s="48">
        <v>41297</v>
      </c>
      <c r="B81">
        <v>43.73</v>
      </c>
      <c r="C81">
        <v>44.22</v>
      </c>
      <c r="D81">
        <v>43.54</v>
      </c>
      <c r="E81" s="24">
        <v>43.91</v>
      </c>
      <c r="F81">
        <v>1443000</v>
      </c>
    </row>
    <row r="82" spans="1:6">
      <c r="A82" s="48">
        <v>41296</v>
      </c>
      <c r="B82">
        <v>43.7</v>
      </c>
      <c r="C82">
        <v>43.83</v>
      </c>
      <c r="D82">
        <v>43.22</v>
      </c>
      <c r="E82" s="24">
        <v>43.36</v>
      </c>
      <c r="F82">
        <v>1117200</v>
      </c>
    </row>
    <row r="83" spans="1:6">
      <c r="A83" s="48">
        <v>41295</v>
      </c>
      <c r="B83">
        <v>43.81</v>
      </c>
      <c r="C83">
        <v>43.81</v>
      </c>
      <c r="D83">
        <v>43.81</v>
      </c>
      <c r="E83" s="24">
        <v>43.81</v>
      </c>
      <c r="F83">
        <v>0</v>
      </c>
    </row>
    <row r="84" spans="1:6">
      <c r="A84" s="48">
        <v>41292</v>
      </c>
      <c r="B84">
        <v>42.87</v>
      </c>
      <c r="C84">
        <v>43.82</v>
      </c>
      <c r="D84">
        <v>42.87</v>
      </c>
      <c r="E84" s="24">
        <v>43.81</v>
      </c>
      <c r="F84">
        <v>2141600</v>
      </c>
    </row>
    <row r="85" spans="1:6">
      <c r="A85" s="48">
        <v>41291</v>
      </c>
      <c r="B85">
        <v>42.82</v>
      </c>
      <c r="C85">
        <v>42.95</v>
      </c>
      <c r="D85">
        <v>42.65</v>
      </c>
      <c r="E85" s="24">
        <v>42.76</v>
      </c>
      <c r="F85">
        <v>995600</v>
      </c>
    </row>
    <row r="86" spans="1:6">
      <c r="A86" s="48">
        <v>41290</v>
      </c>
      <c r="B86">
        <v>42.61</v>
      </c>
      <c r="C86">
        <v>42.83</v>
      </c>
      <c r="D86">
        <v>42.17</v>
      </c>
      <c r="E86" s="24">
        <v>42.62</v>
      </c>
      <c r="F86">
        <v>1140500</v>
      </c>
    </row>
    <row r="87" spans="1:6">
      <c r="A87" s="48">
        <v>41289</v>
      </c>
      <c r="B87">
        <v>42.25</v>
      </c>
      <c r="C87">
        <v>42.82</v>
      </c>
      <c r="D87">
        <v>42.2</v>
      </c>
      <c r="E87" s="24">
        <v>42.65</v>
      </c>
      <c r="F87">
        <v>1545100</v>
      </c>
    </row>
    <row r="88" spans="1:6">
      <c r="A88" s="48">
        <v>41288</v>
      </c>
      <c r="B88">
        <v>42.49</v>
      </c>
      <c r="C88">
        <v>42.86</v>
      </c>
      <c r="D88">
        <v>42.28</v>
      </c>
      <c r="E88" s="24">
        <v>42.64</v>
      </c>
      <c r="F88">
        <v>957400</v>
      </c>
    </row>
    <row r="89" spans="1:6">
      <c r="A89" s="48">
        <v>41285</v>
      </c>
      <c r="B89">
        <v>42.25</v>
      </c>
      <c r="C89">
        <v>42.76</v>
      </c>
      <c r="D89">
        <v>42.13</v>
      </c>
      <c r="E89" s="24">
        <v>42.68</v>
      </c>
      <c r="F89">
        <v>1276800</v>
      </c>
    </row>
    <row r="90" spans="1:6">
      <c r="A90" s="48">
        <v>41284</v>
      </c>
      <c r="B90">
        <v>42.02</v>
      </c>
      <c r="C90">
        <v>42.41</v>
      </c>
      <c r="D90">
        <v>41.88</v>
      </c>
      <c r="E90" s="24">
        <v>42.23</v>
      </c>
      <c r="F90">
        <v>1810400</v>
      </c>
    </row>
    <row r="91" spans="1:6">
      <c r="A91" s="48">
        <v>41283</v>
      </c>
      <c r="B91">
        <v>41.05</v>
      </c>
      <c r="C91">
        <v>41.95</v>
      </c>
      <c r="D91">
        <v>41.01</v>
      </c>
      <c r="E91" s="24">
        <v>41.82</v>
      </c>
      <c r="F91">
        <v>1743400</v>
      </c>
    </row>
    <row r="92" spans="1:6">
      <c r="A92" s="48">
        <v>41282</v>
      </c>
      <c r="B92">
        <v>40.24</v>
      </c>
      <c r="C92">
        <v>41.08</v>
      </c>
      <c r="D92">
        <v>40.17</v>
      </c>
      <c r="E92" s="24">
        <v>40.92</v>
      </c>
      <c r="F92">
        <v>1186000</v>
      </c>
    </row>
    <row r="93" spans="1:6">
      <c r="A93" s="48">
        <v>41281</v>
      </c>
      <c r="B93">
        <v>40.700000000000003</v>
      </c>
      <c r="C93">
        <v>40.9</v>
      </c>
      <c r="D93">
        <v>40.28</v>
      </c>
      <c r="E93" s="24">
        <v>40.42</v>
      </c>
      <c r="F93">
        <v>916100</v>
      </c>
    </row>
    <row r="94" spans="1:6">
      <c r="A94" s="48">
        <v>41278</v>
      </c>
      <c r="B94">
        <v>40.92</v>
      </c>
      <c r="C94">
        <v>41.17</v>
      </c>
      <c r="D94">
        <v>40.72</v>
      </c>
      <c r="E94" s="24">
        <v>40.93</v>
      </c>
      <c r="F94">
        <v>818000</v>
      </c>
    </row>
    <row r="95" spans="1:6">
      <c r="A95" s="48">
        <v>41277</v>
      </c>
      <c r="B95">
        <v>41.04</v>
      </c>
      <c r="C95">
        <v>41.23</v>
      </c>
      <c r="D95">
        <v>40.68</v>
      </c>
      <c r="E95" s="24">
        <v>40.76</v>
      </c>
      <c r="F95">
        <v>976000</v>
      </c>
    </row>
    <row r="96" spans="1:6">
      <c r="A96" s="48">
        <v>41276</v>
      </c>
      <c r="B96">
        <v>40.28</v>
      </c>
      <c r="C96">
        <v>41.09</v>
      </c>
      <c r="D96">
        <v>40.21</v>
      </c>
      <c r="E96" s="24">
        <v>41.09</v>
      </c>
      <c r="F96">
        <v>2498700</v>
      </c>
    </row>
    <row r="97" spans="1:6">
      <c r="A97" s="48">
        <v>41275</v>
      </c>
      <c r="B97">
        <v>39.619999999999997</v>
      </c>
      <c r="C97">
        <v>39.619999999999997</v>
      </c>
      <c r="D97">
        <v>39.619999999999997</v>
      </c>
      <c r="E97" s="24">
        <v>39.619999999999997</v>
      </c>
      <c r="F97">
        <v>0</v>
      </c>
    </row>
    <row r="98" spans="1:6">
      <c r="A98" s="48">
        <v>41274</v>
      </c>
      <c r="B98">
        <v>39.56</v>
      </c>
      <c r="C98">
        <v>39.75</v>
      </c>
      <c r="D98">
        <v>39.31</v>
      </c>
      <c r="E98" s="24">
        <v>39.619999999999997</v>
      </c>
      <c r="F98">
        <v>1433100</v>
      </c>
    </row>
    <row r="99" spans="1:6">
      <c r="A99" s="48">
        <v>41271</v>
      </c>
      <c r="B99">
        <v>39.72</v>
      </c>
      <c r="C99">
        <v>39.880000000000003</v>
      </c>
      <c r="D99">
        <v>39.450000000000003</v>
      </c>
      <c r="E99" s="24">
        <v>39.56</v>
      </c>
      <c r="F99">
        <v>799400</v>
      </c>
    </row>
    <row r="100" spans="1:6">
      <c r="A100" s="48">
        <v>41270</v>
      </c>
      <c r="B100">
        <v>40.35</v>
      </c>
      <c r="C100">
        <v>40.39</v>
      </c>
      <c r="D100">
        <v>39.409999999999997</v>
      </c>
      <c r="E100" s="24">
        <v>39.880000000000003</v>
      </c>
      <c r="F100">
        <v>1381500</v>
      </c>
    </row>
    <row r="101" spans="1:6">
      <c r="A101" s="48">
        <v>41269</v>
      </c>
      <c r="B101">
        <v>40.74</v>
      </c>
      <c r="C101">
        <v>40.97</v>
      </c>
      <c r="D101">
        <v>40.29</v>
      </c>
      <c r="E101" s="24">
        <v>40.39</v>
      </c>
      <c r="F101">
        <v>982900</v>
      </c>
    </row>
    <row r="102" spans="1:6">
      <c r="A102" s="48">
        <v>41268</v>
      </c>
      <c r="B102">
        <v>40.869999999999997</v>
      </c>
      <c r="C102">
        <v>40.869999999999997</v>
      </c>
      <c r="D102">
        <v>40.869999999999997</v>
      </c>
      <c r="E102" s="24">
        <v>40.869999999999997</v>
      </c>
      <c r="F102">
        <v>0</v>
      </c>
    </row>
    <row r="103" spans="1:6">
      <c r="A103" s="48">
        <v>41267</v>
      </c>
      <c r="B103">
        <v>40.83</v>
      </c>
      <c r="C103">
        <v>41.04</v>
      </c>
      <c r="D103">
        <v>40.450000000000003</v>
      </c>
      <c r="E103" s="24">
        <v>40.869999999999997</v>
      </c>
      <c r="F103">
        <v>446900</v>
      </c>
    </row>
    <row r="104" spans="1:6">
      <c r="A104" s="48">
        <v>41264</v>
      </c>
      <c r="B104">
        <v>40.86</v>
      </c>
      <c r="C104">
        <v>41.1</v>
      </c>
      <c r="D104">
        <v>40.29</v>
      </c>
      <c r="E104" s="24">
        <v>40.71</v>
      </c>
      <c r="F104">
        <v>2968100</v>
      </c>
    </row>
    <row r="105" spans="1:6">
      <c r="A105" s="48">
        <v>41263</v>
      </c>
      <c r="B105">
        <v>41.98</v>
      </c>
      <c r="C105">
        <v>42.04</v>
      </c>
      <c r="D105">
        <v>41.79</v>
      </c>
      <c r="E105" s="24">
        <v>41.94</v>
      </c>
      <c r="F105">
        <v>1632100</v>
      </c>
    </row>
    <row r="106" spans="1:6">
      <c r="A106" s="48">
        <v>41262</v>
      </c>
      <c r="B106">
        <v>41.79</v>
      </c>
      <c r="C106">
        <v>42.3</v>
      </c>
      <c r="D106">
        <v>41.69</v>
      </c>
      <c r="E106" s="24">
        <v>41.91</v>
      </c>
      <c r="F106">
        <v>2858900</v>
      </c>
    </row>
    <row r="107" spans="1:6">
      <c r="A107" s="48">
        <v>41261</v>
      </c>
      <c r="B107">
        <v>41.11</v>
      </c>
      <c r="C107">
        <v>41.69</v>
      </c>
      <c r="D107">
        <v>40.82</v>
      </c>
      <c r="E107" s="24">
        <v>41.67</v>
      </c>
      <c r="F107">
        <v>2153400</v>
      </c>
    </row>
    <row r="108" spans="1:6">
      <c r="A108" s="48">
        <v>41260</v>
      </c>
      <c r="B108">
        <v>40.159999999999997</v>
      </c>
      <c r="C108">
        <v>41.1</v>
      </c>
      <c r="D108">
        <v>39.99</v>
      </c>
      <c r="E108" s="24">
        <v>41.08</v>
      </c>
      <c r="F108">
        <v>2233600</v>
      </c>
    </row>
    <row r="109" spans="1:6">
      <c r="A109" s="48">
        <v>41257</v>
      </c>
      <c r="B109">
        <v>39.729999999999997</v>
      </c>
      <c r="C109">
        <v>40.32</v>
      </c>
      <c r="D109">
        <v>39.61</v>
      </c>
      <c r="E109" s="24">
        <v>40.18</v>
      </c>
      <c r="F109">
        <v>995400</v>
      </c>
    </row>
    <row r="110" spans="1:6">
      <c r="A110" s="48">
        <v>41256</v>
      </c>
      <c r="B110">
        <v>40.68</v>
      </c>
      <c r="C110">
        <v>40.98</v>
      </c>
      <c r="D110">
        <v>39.799999999999997</v>
      </c>
      <c r="E110" s="24">
        <v>39.89</v>
      </c>
      <c r="F110">
        <v>1573100</v>
      </c>
    </row>
    <row r="111" spans="1:6">
      <c r="A111" s="48">
        <v>41255</v>
      </c>
      <c r="B111">
        <v>41.59</v>
      </c>
      <c r="C111">
        <v>41.6</v>
      </c>
      <c r="D111">
        <v>40.67</v>
      </c>
      <c r="E111" s="24">
        <v>40.799999999999997</v>
      </c>
      <c r="F111">
        <v>2112200</v>
      </c>
    </row>
    <row r="112" spans="1:6">
      <c r="A112" s="48">
        <v>41254</v>
      </c>
      <c r="B112">
        <v>41.3</v>
      </c>
      <c r="C112">
        <v>41.59</v>
      </c>
      <c r="D112">
        <v>40.950000000000003</v>
      </c>
      <c r="E112" s="24">
        <v>41.53</v>
      </c>
      <c r="F112">
        <v>1884300</v>
      </c>
    </row>
    <row r="113" spans="1:6">
      <c r="A113" s="48">
        <v>41253</v>
      </c>
      <c r="B113">
        <v>40.51</v>
      </c>
      <c r="C113">
        <v>41.42</v>
      </c>
      <c r="D113">
        <v>40.51</v>
      </c>
      <c r="E113" s="24">
        <v>41.42</v>
      </c>
      <c r="F113">
        <v>1126200</v>
      </c>
    </row>
    <row r="114" spans="1:6">
      <c r="A114" s="48">
        <v>41250</v>
      </c>
      <c r="B114">
        <v>41.01</v>
      </c>
      <c r="C114">
        <v>41.05</v>
      </c>
      <c r="D114">
        <v>40.69</v>
      </c>
      <c r="E114" s="24">
        <v>40.81</v>
      </c>
      <c r="F114">
        <v>1099200</v>
      </c>
    </row>
    <row r="115" spans="1:6">
      <c r="A115" s="48">
        <v>41249</v>
      </c>
      <c r="B115">
        <v>40.22</v>
      </c>
      <c r="C115">
        <v>40.74</v>
      </c>
      <c r="D115">
        <v>40.03</v>
      </c>
      <c r="E115" s="24">
        <v>40.729999999999997</v>
      </c>
      <c r="F115">
        <v>732200</v>
      </c>
    </row>
    <row r="116" spans="1:6">
      <c r="A116" s="48">
        <v>41248</v>
      </c>
      <c r="B116">
        <v>40.28</v>
      </c>
      <c r="C116">
        <v>40.380000000000003</v>
      </c>
      <c r="D116">
        <v>39.869999999999997</v>
      </c>
      <c r="E116" s="24">
        <v>40.200000000000003</v>
      </c>
      <c r="F116">
        <v>1217500</v>
      </c>
    </row>
    <row r="117" spans="1:6">
      <c r="A117" s="48">
        <v>41247</v>
      </c>
      <c r="B117">
        <v>40.6</v>
      </c>
      <c r="C117">
        <v>40.74</v>
      </c>
      <c r="D117">
        <v>40.22</v>
      </c>
      <c r="E117" s="24">
        <v>40.42</v>
      </c>
      <c r="F117">
        <v>937400</v>
      </c>
    </row>
    <row r="118" spans="1:6">
      <c r="A118" s="48">
        <v>41246</v>
      </c>
      <c r="B118">
        <v>41.08</v>
      </c>
      <c r="C118">
        <v>41.1</v>
      </c>
      <c r="D118">
        <v>40.54</v>
      </c>
      <c r="E118" s="24">
        <v>40.54</v>
      </c>
      <c r="F118">
        <v>861200</v>
      </c>
    </row>
    <row r="119" spans="1:6">
      <c r="A119" s="48">
        <v>41243</v>
      </c>
      <c r="B119">
        <v>40.950000000000003</v>
      </c>
      <c r="C119">
        <v>41.03</v>
      </c>
      <c r="D119">
        <v>40.72</v>
      </c>
      <c r="E119" s="24">
        <v>40.96</v>
      </c>
      <c r="F119">
        <v>1196900</v>
      </c>
    </row>
    <row r="120" spans="1:6">
      <c r="A120" s="48">
        <v>41242</v>
      </c>
      <c r="B120">
        <v>41</v>
      </c>
      <c r="C120">
        <v>41.08</v>
      </c>
      <c r="D120">
        <v>40.630000000000003</v>
      </c>
      <c r="E120" s="24">
        <v>40.880000000000003</v>
      </c>
      <c r="F120">
        <v>1101900</v>
      </c>
    </row>
    <row r="121" spans="1:6">
      <c r="A121" s="48">
        <v>41241</v>
      </c>
      <c r="B121">
        <v>40.340000000000003</v>
      </c>
      <c r="C121">
        <v>40.98</v>
      </c>
      <c r="D121">
        <v>39.93</v>
      </c>
      <c r="E121" s="24">
        <v>40.950000000000003</v>
      </c>
      <c r="F121">
        <v>1041000</v>
      </c>
    </row>
    <row r="122" spans="1:6">
      <c r="A122" s="48">
        <v>41240</v>
      </c>
      <c r="B122">
        <v>40.19</v>
      </c>
      <c r="C122">
        <v>41.36</v>
      </c>
      <c r="D122">
        <v>40.020000000000003</v>
      </c>
      <c r="E122" s="24">
        <v>40.619999999999997</v>
      </c>
      <c r="F122">
        <v>1894700</v>
      </c>
    </row>
    <row r="123" spans="1:6">
      <c r="A123" s="48">
        <v>41239</v>
      </c>
      <c r="B123">
        <v>40.090000000000003</v>
      </c>
      <c r="C123">
        <v>40.299999999999997</v>
      </c>
      <c r="D123">
        <v>39.79</v>
      </c>
      <c r="E123" s="24">
        <v>40.26</v>
      </c>
      <c r="F123">
        <v>1097800</v>
      </c>
    </row>
    <row r="124" spans="1:6">
      <c r="A124" s="48">
        <v>41236</v>
      </c>
      <c r="B124">
        <v>39.840000000000003</v>
      </c>
      <c r="C124">
        <v>40.26</v>
      </c>
      <c r="D124">
        <v>39.64</v>
      </c>
      <c r="E124" s="24">
        <v>40.19</v>
      </c>
      <c r="F124">
        <v>318800</v>
      </c>
    </row>
    <row r="125" spans="1:6">
      <c r="A125" s="48">
        <v>41235</v>
      </c>
      <c r="B125">
        <v>39.68</v>
      </c>
      <c r="C125">
        <v>39.68</v>
      </c>
      <c r="D125">
        <v>39.68</v>
      </c>
      <c r="E125" s="24">
        <v>39.68</v>
      </c>
      <c r="F125">
        <v>0</v>
      </c>
    </row>
    <row r="126" spans="1:6">
      <c r="A126" s="48">
        <v>41234</v>
      </c>
      <c r="B126">
        <v>39.53</v>
      </c>
      <c r="C126">
        <v>39.880000000000003</v>
      </c>
      <c r="D126">
        <v>39.479999999999997</v>
      </c>
      <c r="E126" s="24">
        <v>39.68</v>
      </c>
      <c r="F126">
        <v>536800</v>
      </c>
    </row>
    <row r="127" spans="1:6">
      <c r="A127" s="48">
        <v>41233</v>
      </c>
      <c r="B127">
        <v>39.58</v>
      </c>
      <c r="C127">
        <v>39.71</v>
      </c>
      <c r="D127">
        <v>39.33</v>
      </c>
      <c r="E127" s="24">
        <v>39.56</v>
      </c>
      <c r="F127">
        <v>1292700</v>
      </c>
    </row>
    <row r="128" spans="1:6">
      <c r="A128" s="48">
        <v>41232</v>
      </c>
      <c r="B128">
        <v>39.29</v>
      </c>
      <c r="C128">
        <v>39.659999999999997</v>
      </c>
      <c r="D128">
        <v>39.03</v>
      </c>
      <c r="E128" s="24">
        <v>39.590000000000003</v>
      </c>
      <c r="F128">
        <v>1018900</v>
      </c>
    </row>
    <row r="129" spans="1:6">
      <c r="A129" s="48">
        <v>41229</v>
      </c>
      <c r="B129">
        <v>38.89</v>
      </c>
      <c r="C129">
        <v>38.99</v>
      </c>
      <c r="D129">
        <v>38.04</v>
      </c>
      <c r="E129" s="24">
        <v>38.729999999999997</v>
      </c>
      <c r="F129">
        <v>1214600</v>
      </c>
    </row>
    <row r="130" spans="1:6">
      <c r="A130" s="48">
        <v>41228</v>
      </c>
      <c r="B130">
        <v>39.33</v>
      </c>
      <c r="C130">
        <v>39.47</v>
      </c>
      <c r="D130">
        <v>38.61</v>
      </c>
      <c r="E130" s="24">
        <v>39.01</v>
      </c>
      <c r="F130">
        <v>971800</v>
      </c>
    </row>
    <row r="131" spans="1:6">
      <c r="A131" s="48">
        <v>41227</v>
      </c>
      <c r="B131">
        <v>39.9</v>
      </c>
      <c r="C131">
        <v>40</v>
      </c>
      <c r="D131">
        <v>39.049999999999997</v>
      </c>
      <c r="E131" s="24">
        <v>39.26</v>
      </c>
      <c r="F131">
        <v>1222000</v>
      </c>
    </row>
    <row r="132" spans="1:6">
      <c r="A132" s="48">
        <v>41226</v>
      </c>
      <c r="B132">
        <v>39.92</v>
      </c>
      <c r="C132">
        <v>39.99</v>
      </c>
      <c r="D132">
        <v>39.54</v>
      </c>
      <c r="E132" s="24">
        <v>39.74</v>
      </c>
      <c r="F132">
        <v>805800</v>
      </c>
    </row>
    <row r="133" spans="1:6">
      <c r="A133" s="48">
        <v>41225</v>
      </c>
      <c r="B133">
        <v>40.299999999999997</v>
      </c>
      <c r="C133">
        <v>40.32</v>
      </c>
      <c r="D133">
        <v>39.729999999999997</v>
      </c>
      <c r="E133" s="24">
        <v>40.119999999999997</v>
      </c>
      <c r="F133">
        <v>642000</v>
      </c>
    </row>
    <row r="134" spans="1:6">
      <c r="A134" s="48">
        <v>41222</v>
      </c>
      <c r="B134">
        <v>39.82</v>
      </c>
      <c r="C134">
        <v>40.590000000000003</v>
      </c>
      <c r="D134">
        <v>39.82</v>
      </c>
      <c r="E134" s="24">
        <v>40.24</v>
      </c>
      <c r="F134">
        <v>972900</v>
      </c>
    </row>
    <row r="135" spans="1:6">
      <c r="A135" s="48">
        <v>41221</v>
      </c>
      <c r="B135">
        <v>40.94</v>
      </c>
      <c r="C135">
        <v>41.05</v>
      </c>
      <c r="D135">
        <v>39.96</v>
      </c>
      <c r="E135" s="24">
        <v>39.979999999999997</v>
      </c>
      <c r="F135">
        <v>1022600</v>
      </c>
    </row>
    <row r="136" spans="1:6">
      <c r="A136" s="48">
        <v>41220</v>
      </c>
      <c r="B136">
        <v>41.25</v>
      </c>
      <c r="C136">
        <v>41.34</v>
      </c>
      <c r="D136">
        <v>40.96</v>
      </c>
      <c r="E136" s="24">
        <v>41.08</v>
      </c>
      <c r="F136">
        <v>1507400</v>
      </c>
    </row>
    <row r="137" spans="1:6">
      <c r="A137" s="48">
        <v>41219</v>
      </c>
      <c r="B137">
        <v>41.21</v>
      </c>
      <c r="C137">
        <v>41.86</v>
      </c>
      <c r="D137">
        <v>41.19</v>
      </c>
      <c r="E137" s="24">
        <v>41.55</v>
      </c>
      <c r="F137">
        <v>2564300</v>
      </c>
    </row>
    <row r="138" spans="1:6">
      <c r="A138" s="48">
        <v>41218</v>
      </c>
      <c r="B138">
        <v>40.700000000000003</v>
      </c>
      <c r="C138">
        <v>41.16</v>
      </c>
      <c r="D138">
        <v>40.67</v>
      </c>
      <c r="E138" s="24">
        <v>41.06</v>
      </c>
      <c r="F138">
        <v>1298300</v>
      </c>
    </row>
    <row r="139" spans="1:6">
      <c r="A139" s="48">
        <v>41215</v>
      </c>
      <c r="B139">
        <v>41.11</v>
      </c>
      <c r="C139">
        <v>41.34</v>
      </c>
      <c r="D139">
        <v>40.97</v>
      </c>
      <c r="E139" s="24">
        <v>41.04</v>
      </c>
      <c r="F139">
        <v>1719300</v>
      </c>
    </row>
    <row r="140" spans="1:6">
      <c r="A140" s="48">
        <v>41214</v>
      </c>
      <c r="B140">
        <v>41.5</v>
      </c>
      <c r="C140">
        <v>41.72</v>
      </c>
      <c r="D140">
        <v>40.5</v>
      </c>
      <c r="E140" s="24">
        <v>40.98</v>
      </c>
      <c r="F140">
        <v>3891600</v>
      </c>
    </row>
    <row r="141" spans="1:6">
      <c r="A141" s="48">
        <v>41213</v>
      </c>
      <c r="B141">
        <v>41.02</v>
      </c>
      <c r="C141">
        <v>41.74</v>
      </c>
      <c r="D141">
        <v>40.49</v>
      </c>
      <c r="E141" s="24">
        <v>40.700000000000003</v>
      </c>
      <c r="F141">
        <v>1588900</v>
      </c>
    </row>
    <row r="142" spans="1:6">
      <c r="A142" s="48">
        <v>41212</v>
      </c>
      <c r="B142">
        <v>40.98</v>
      </c>
      <c r="C142">
        <v>40.98</v>
      </c>
      <c r="D142">
        <v>40.98</v>
      </c>
      <c r="E142" s="24">
        <v>40.98</v>
      </c>
      <c r="F142">
        <v>0</v>
      </c>
    </row>
    <row r="143" spans="1:6">
      <c r="A143" s="48">
        <v>41211</v>
      </c>
      <c r="B143">
        <v>40.98</v>
      </c>
      <c r="C143">
        <v>40.98</v>
      </c>
      <c r="D143">
        <v>40.98</v>
      </c>
      <c r="E143" s="24">
        <v>40.98</v>
      </c>
      <c r="F143">
        <v>0</v>
      </c>
    </row>
    <row r="144" spans="1:6">
      <c r="A144" s="48">
        <v>41208</v>
      </c>
      <c r="B144">
        <v>41.02</v>
      </c>
      <c r="C144">
        <v>41.58</v>
      </c>
      <c r="D144">
        <v>40.71</v>
      </c>
      <c r="E144" s="24">
        <v>40.98</v>
      </c>
      <c r="F144">
        <v>884200</v>
      </c>
    </row>
    <row r="145" spans="1:6">
      <c r="A145" s="48">
        <v>41207</v>
      </c>
      <c r="B145">
        <v>41.54</v>
      </c>
      <c r="C145">
        <v>41.74</v>
      </c>
      <c r="D145">
        <v>41.16</v>
      </c>
      <c r="E145" s="24">
        <v>41.47</v>
      </c>
      <c r="F145">
        <v>647800</v>
      </c>
    </row>
    <row r="146" spans="1:6">
      <c r="A146" s="48">
        <v>41206</v>
      </c>
      <c r="B146">
        <v>41.5</v>
      </c>
      <c r="C146">
        <v>41.76</v>
      </c>
      <c r="D146">
        <v>41.03</v>
      </c>
      <c r="E146" s="24">
        <v>41.38</v>
      </c>
      <c r="F146">
        <v>1233600</v>
      </c>
    </row>
    <row r="147" spans="1:6">
      <c r="A147" s="48">
        <v>41205</v>
      </c>
      <c r="B147">
        <v>40.770000000000003</v>
      </c>
      <c r="C147">
        <v>41.63</v>
      </c>
      <c r="D147">
        <v>40.35</v>
      </c>
      <c r="E147" s="24">
        <v>41.53</v>
      </c>
      <c r="F147">
        <v>1707300</v>
      </c>
    </row>
    <row r="148" spans="1:6">
      <c r="A148" s="48">
        <v>41204</v>
      </c>
      <c r="B148">
        <v>41.89</v>
      </c>
      <c r="C148">
        <v>41.89</v>
      </c>
      <c r="D148">
        <v>40.49</v>
      </c>
      <c r="E148" s="24">
        <v>41.02</v>
      </c>
      <c r="F148">
        <v>2081800</v>
      </c>
    </row>
    <row r="149" spans="1:6">
      <c r="A149" s="48">
        <v>41201</v>
      </c>
      <c r="B149">
        <v>41.12</v>
      </c>
      <c r="C149">
        <v>41.27</v>
      </c>
      <c r="D149">
        <v>40.24</v>
      </c>
      <c r="E149" s="24">
        <v>40.340000000000003</v>
      </c>
      <c r="F149">
        <v>1029700</v>
      </c>
    </row>
    <row r="150" spans="1:6">
      <c r="A150" s="48">
        <v>41200</v>
      </c>
      <c r="B150">
        <v>41.19</v>
      </c>
      <c r="C150">
        <v>41.46</v>
      </c>
      <c r="D150">
        <v>40.89</v>
      </c>
      <c r="E150" s="24">
        <v>41.1</v>
      </c>
      <c r="F150">
        <v>1115600</v>
      </c>
    </row>
    <row r="151" spans="1:6">
      <c r="A151" s="48">
        <v>41199</v>
      </c>
      <c r="B151">
        <v>41.59</v>
      </c>
      <c r="C151">
        <v>41.74</v>
      </c>
      <c r="D151">
        <v>41.05</v>
      </c>
      <c r="E151" s="24">
        <v>41.13</v>
      </c>
      <c r="F151">
        <v>1319000</v>
      </c>
    </row>
    <row r="152" spans="1:6">
      <c r="A152" s="48">
        <v>41198</v>
      </c>
      <c r="B152">
        <v>41.44</v>
      </c>
      <c r="C152">
        <v>42.17</v>
      </c>
      <c r="D152">
        <v>41.23</v>
      </c>
      <c r="E152" s="24">
        <v>42.02</v>
      </c>
      <c r="F152">
        <v>1311300</v>
      </c>
    </row>
    <row r="153" spans="1:6">
      <c r="A153" s="48">
        <v>41197</v>
      </c>
      <c r="B153">
        <v>42</v>
      </c>
      <c r="C153">
        <v>42.2</v>
      </c>
      <c r="D153">
        <v>41.14</v>
      </c>
      <c r="E153" s="24">
        <v>41.49</v>
      </c>
      <c r="F153">
        <v>1611200</v>
      </c>
    </row>
    <row r="154" spans="1:6">
      <c r="A154" s="48">
        <v>41194</v>
      </c>
      <c r="B154">
        <v>42.51</v>
      </c>
      <c r="C154">
        <v>42.78</v>
      </c>
      <c r="D154">
        <v>42.31</v>
      </c>
      <c r="E154" s="24">
        <v>42.55</v>
      </c>
      <c r="F154">
        <v>837300</v>
      </c>
    </row>
    <row r="155" spans="1:6">
      <c r="A155" s="48">
        <v>41193</v>
      </c>
      <c r="B155">
        <v>42.15</v>
      </c>
      <c r="C155">
        <v>42.52</v>
      </c>
      <c r="D155">
        <v>41.94</v>
      </c>
      <c r="E155" s="24">
        <v>42.43</v>
      </c>
      <c r="F155">
        <v>1319100</v>
      </c>
    </row>
    <row r="156" spans="1:6">
      <c r="A156" s="48">
        <v>41192</v>
      </c>
      <c r="B156">
        <v>42.46</v>
      </c>
      <c r="C156">
        <v>42.58</v>
      </c>
      <c r="D156">
        <v>41.91</v>
      </c>
      <c r="E156" s="24">
        <v>41.96</v>
      </c>
      <c r="F156">
        <v>1936500</v>
      </c>
    </row>
    <row r="157" spans="1:6">
      <c r="A157" s="48">
        <v>41191</v>
      </c>
      <c r="B157">
        <v>43.17</v>
      </c>
      <c r="C157">
        <v>43.24</v>
      </c>
      <c r="D157">
        <v>42.22</v>
      </c>
      <c r="E157" s="24">
        <v>42.45</v>
      </c>
      <c r="F157">
        <v>1101300</v>
      </c>
    </row>
    <row r="158" spans="1:6">
      <c r="A158" s="48">
        <v>41190</v>
      </c>
      <c r="B158">
        <v>43.19</v>
      </c>
      <c r="C158">
        <v>43.54</v>
      </c>
      <c r="D158">
        <v>43.05</v>
      </c>
      <c r="E158" s="24">
        <v>43.28</v>
      </c>
      <c r="F158">
        <v>712200</v>
      </c>
    </row>
    <row r="159" spans="1:6">
      <c r="A159" s="48">
        <v>41187</v>
      </c>
      <c r="B159">
        <v>43.67</v>
      </c>
      <c r="C159">
        <v>43.79</v>
      </c>
      <c r="D159">
        <v>43.2</v>
      </c>
      <c r="E159" s="24">
        <v>43.34</v>
      </c>
      <c r="F159">
        <v>1280300</v>
      </c>
    </row>
    <row r="160" spans="1:6">
      <c r="A160" s="48">
        <v>41186</v>
      </c>
      <c r="B160">
        <v>43.41</v>
      </c>
      <c r="C160">
        <v>43.62</v>
      </c>
      <c r="D160">
        <v>42.9</v>
      </c>
      <c r="E160" s="24">
        <v>43.39</v>
      </c>
      <c r="F160">
        <v>1049700</v>
      </c>
    </row>
    <row r="161" spans="1:6">
      <c r="A161" s="48">
        <v>41185</v>
      </c>
      <c r="B161">
        <v>43.45</v>
      </c>
      <c r="C161">
        <v>43.81</v>
      </c>
      <c r="D161">
        <v>42.97</v>
      </c>
      <c r="E161" s="24">
        <v>43.34</v>
      </c>
      <c r="F161">
        <v>1345100</v>
      </c>
    </row>
    <row r="162" spans="1:6">
      <c r="A162" s="48">
        <v>41184</v>
      </c>
      <c r="B162">
        <v>43</v>
      </c>
      <c r="C162">
        <v>44.06</v>
      </c>
      <c r="D162">
        <v>42.95</v>
      </c>
      <c r="E162" s="24">
        <v>43.48</v>
      </c>
      <c r="F162">
        <v>2710800</v>
      </c>
    </row>
    <row r="163" spans="1:6">
      <c r="A163" s="48">
        <v>41183</v>
      </c>
      <c r="B163">
        <v>41.88</v>
      </c>
      <c r="C163">
        <v>45</v>
      </c>
      <c r="D163">
        <v>41.22</v>
      </c>
      <c r="E163" s="24">
        <v>42.85</v>
      </c>
      <c r="F163">
        <v>6330500</v>
      </c>
    </row>
    <row r="164" spans="1:6">
      <c r="A164" s="48">
        <v>41180</v>
      </c>
      <c r="B164">
        <v>41.43</v>
      </c>
      <c r="C164">
        <v>41.75</v>
      </c>
      <c r="D164">
        <v>41.18</v>
      </c>
      <c r="E164" s="24">
        <v>41.49</v>
      </c>
      <c r="F164">
        <v>751200</v>
      </c>
    </row>
    <row r="165" spans="1:6">
      <c r="A165" s="48">
        <v>41179</v>
      </c>
      <c r="B165">
        <v>41.53</v>
      </c>
      <c r="C165">
        <v>41.86</v>
      </c>
      <c r="D165">
        <v>41.1</v>
      </c>
      <c r="E165" s="24">
        <v>41.67</v>
      </c>
      <c r="F165">
        <v>1022700</v>
      </c>
    </row>
    <row r="166" spans="1:6">
      <c r="A166" s="48">
        <v>41178</v>
      </c>
      <c r="B166">
        <v>41.91</v>
      </c>
      <c r="C166">
        <v>41.92</v>
      </c>
      <c r="D166">
        <v>41.26</v>
      </c>
      <c r="E166" s="24">
        <v>41.33</v>
      </c>
      <c r="F166">
        <v>1287500</v>
      </c>
    </row>
    <row r="167" spans="1:6">
      <c r="A167" s="48">
        <v>41177</v>
      </c>
      <c r="B167">
        <v>42.73</v>
      </c>
      <c r="C167">
        <v>42.87</v>
      </c>
      <c r="D167">
        <v>41.78</v>
      </c>
      <c r="E167" s="24">
        <v>41.85</v>
      </c>
      <c r="F167">
        <v>1204400</v>
      </c>
    </row>
    <row r="168" spans="1:6">
      <c r="A168" s="48">
        <v>41176</v>
      </c>
      <c r="B168">
        <v>42.51</v>
      </c>
      <c r="C168">
        <v>42.99</v>
      </c>
      <c r="D168">
        <v>42.38</v>
      </c>
      <c r="E168" s="24">
        <v>42.68</v>
      </c>
      <c r="F168">
        <v>862200</v>
      </c>
    </row>
    <row r="169" spans="1:6">
      <c r="A169" s="48">
        <v>41173</v>
      </c>
      <c r="B169">
        <v>42.83</v>
      </c>
      <c r="C169">
        <v>43.09</v>
      </c>
      <c r="D169">
        <v>42.51</v>
      </c>
      <c r="E169" s="24">
        <v>42.79</v>
      </c>
      <c r="F169">
        <v>3561100</v>
      </c>
    </row>
    <row r="170" spans="1:6">
      <c r="A170" s="48">
        <v>41172</v>
      </c>
      <c r="B170">
        <v>42.71</v>
      </c>
      <c r="C170">
        <v>43</v>
      </c>
      <c r="D170">
        <v>42.65</v>
      </c>
      <c r="E170" s="24">
        <v>42.83</v>
      </c>
      <c r="F170">
        <v>671700</v>
      </c>
    </row>
    <row r="171" spans="1:6">
      <c r="A171" s="48">
        <v>41171</v>
      </c>
      <c r="B171">
        <v>43</v>
      </c>
      <c r="C171">
        <v>43.48</v>
      </c>
      <c r="D171">
        <v>42.85</v>
      </c>
      <c r="E171" s="24">
        <v>42.94</v>
      </c>
      <c r="F171">
        <v>737300</v>
      </c>
    </row>
    <row r="172" spans="1:6">
      <c r="A172" s="48">
        <v>41170</v>
      </c>
      <c r="B172">
        <v>43.6</v>
      </c>
      <c r="C172">
        <v>44.2</v>
      </c>
      <c r="D172">
        <v>42.99</v>
      </c>
      <c r="E172" s="24">
        <v>43.09</v>
      </c>
      <c r="F172">
        <v>1080200</v>
      </c>
    </row>
    <row r="173" spans="1:6">
      <c r="A173" s="48">
        <v>41169</v>
      </c>
      <c r="B173">
        <v>43.2</v>
      </c>
      <c r="C173">
        <v>43.25</v>
      </c>
      <c r="D173">
        <v>42.71</v>
      </c>
      <c r="E173" s="24">
        <v>42.99</v>
      </c>
      <c r="F173">
        <v>769600</v>
      </c>
    </row>
    <row r="174" spans="1:6">
      <c r="A174" s="48">
        <v>41166</v>
      </c>
      <c r="B174">
        <v>42.95</v>
      </c>
      <c r="C174">
        <v>43.42</v>
      </c>
      <c r="D174">
        <v>42.76</v>
      </c>
      <c r="E174" s="24">
        <v>43.09</v>
      </c>
      <c r="F174">
        <v>920600</v>
      </c>
    </row>
    <row r="175" spans="1:6">
      <c r="A175" s="48">
        <v>41165</v>
      </c>
      <c r="B175">
        <v>42.7</v>
      </c>
      <c r="C175">
        <v>43.24</v>
      </c>
      <c r="D175">
        <v>42.37</v>
      </c>
      <c r="E175" s="24">
        <v>42.96</v>
      </c>
      <c r="F175">
        <v>785600</v>
      </c>
    </row>
    <row r="176" spans="1:6">
      <c r="A176" s="48">
        <v>41164</v>
      </c>
      <c r="B176">
        <v>42.81</v>
      </c>
      <c r="C176">
        <v>42.95</v>
      </c>
      <c r="D176">
        <v>42.49</v>
      </c>
      <c r="E176" s="24">
        <v>42.67</v>
      </c>
      <c r="F176">
        <v>769900</v>
      </c>
    </row>
    <row r="177" spans="1:6">
      <c r="A177" s="48">
        <v>41163</v>
      </c>
      <c r="B177">
        <v>42.59</v>
      </c>
      <c r="C177">
        <v>43</v>
      </c>
      <c r="D177">
        <v>42.07</v>
      </c>
      <c r="E177" s="24">
        <v>42.76</v>
      </c>
      <c r="F177">
        <v>896400</v>
      </c>
    </row>
    <row r="178" spans="1:6">
      <c r="A178" s="48">
        <v>41162</v>
      </c>
      <c r="B178">
        <v>43.08</v>
      </c>
      <c r="C178">
        <v>43.16</v>
      </c>
      <c r="D178">
        <v>42.52</v>
      </c>
      <c r="E178" s="24">
        <v>42.7</v>
      </c>
      <c r="F178">
        <v>1323600</v>
      </c>
    </row>
    <row r="179" spans="1:6">
      <c r="A179" s="48">
        <v>41159</v>
      </c>
      <c r="B179">
        <v>43.34</v>
      </c>
      <c r="C179">
        <v>43.48</v>
      </c>
      <c r="D179">
        <v>43.11</v>
      </c>
      <c r="E179" s="24">
        <v>43.33</v>
      </c>
      <c r="F179">
        <v>856800</v>
      </c>
    </row>
    <row r="180" spans="1:6">
      <c r="A180" s="48">
        <v>41158</v>
      </c>
      <c r="B180">
        <v>42.36</v>
      </c>
      <c r="C180">
        <v>43.61</v>
      </c>
      <c r="D180">
        <v>42.29</v>
      </c>
      <c r="E180" s="24">
        <v>43.49</v>
      </c>
      <c r="F180">
        <v>1710200</v>
      </c>
    </row>
    <row r="181" spans="1:6">
      <c r="A181" s="48">
        <v>41157</v>
      </c>
      <c r="B181">
        <v>41.86</v>
      </c>
      <c r="C181">
        <v>42.24</v>
      </c>
      <c r="D181">
        <v>41.74</v>
      </c>
      <c r="E181" s="24">
        <v>42.18</v>
      </c>
      <c r="F181">
        <v>1323100</v>
      </c>
    </row>
    <row r="182" spans="1:6">
      <c r="A182" s="48">
        <v>41156</v>
      </c>
      <c r="B182">
        <v>41.43</v>
      </c>
      <c r="C182">
        <v>42.13</v>
      </c>
      <c r="D182">
        <v>41.31</v>
      </c>
      <c r="E182" s="24">
        <v>42</v>
      </c>
      <c r="F182">
        <v>1093100</v>
      </c>
    </row>
    <row r="183" spans="1:6">
      <c r="A183" s="48">
        <v>41155</v>
      </c>
      <c r="B183">
        <v>41.4</v>
      </c>
      <c r="C183">
        <v>41.4</v>
      </c>
      <c r="D183">
        <v>41.4</v>
      </c>
      <c r="E183" s="24">
        <v>41.4</v>
      </c>
      <c r="F183">
        <v>0</v>
      </c>
    </row>
    <row r="184" spans="1:6">
      <c r="A184" s="48">
        <v>41152</v>
      </c>
      <c r="B184">
        <v>41.46</v>
      </c>
      <c r="C184">
        <v>41.82</v>
      </c>
      <c r="D184">
        <v>41.07</v>
      </c>
      <c r="E184" s="24">
        <v>41.4</v>
      </c>
      <c r="F184">
        <v>1066600</v>
      </c>
    </row>
    <row r="185" spans="1:6">
      <c r="A185" s="48">
        <v>41151</v>
      </c>
      <c r="B185">
        <v>41.57</v>
      </c>
      <c r="C185">
        <v>41.6</v>
      </c>
      <c r="D185">
        <v>40.98</v>
      </c>
      <c r="E185" s="24">
        <v>41.09</v>
      </c>
      <c r="F185">
        <v>780100</v>
      </c>
    </row>
    <row r="186" spans="1:6">
      <c r="A186" s="48">
        <v>41150</v>
      </c>
      <c r="B186">
        <v>41.54</v>
      </c>
      <c r="C186">
        <v>41.82</v>
      </c>
      <c r="D186">
        <v>41.44</v>
      </c>
      <c r="E186" s="24">
        <v>41.75</v>
      </c>
      <c r="F186">
        <v>815200</v>
      </c>
    </row>
    <row r="187" spans="1:6">
      <c r="A187" s="48">
        <v>41149</v>
      </c>
      <c r="B187">
        <v>41.58</v>
      </c>
      <c r="C187">
        <v>41.94</v>
      </c>
      <c r="D187">
        <v>41.36</v>
      </c>
      <c r="E187" s="24">
        <v>41.68</v>
      </c>
      <c r="F187">
        <v>980000</v>
      </c>
    </row>
    <row r="188" spans="1:6">
      <c r="A188" s="48">
        <v>41148</v>
      </c>
      <c r="B188">
        <v>42.2</v>
      </c>
      <c r="C188">
        <v>42.22</v>
      </c>
      <c r="D188">
        <v>41.48</v>
      </c>
      <c r="E188" s="24">
        <v>41.54</v>
      </c>
      <c r="F188">
        <v>1056700</v>
      </c>
    </row>
    <row r="189" spans="1:6">
      <c r="A189" s="48">
        <v>41145</v>
      </c>
      <c r="B189">
        <v>41.86</v>
      </c>
      <c r="C189">
        <v>42.51</v>
      </c>
      <c r="D189">
        <v>41.81</v>
      </c>
      <c r="E189" s="24">
        <v>42.14</v>
      </c>
      <c r="F189">
        <v>1097900</v>
      </c>
    </row>
    <row r="190" spans="1:6">
      <c r="A190" s="48">
        <v>41144</v>
      </c>
      <c r="B190">
        <v>41.99</v>
      </c>
      <c r="C190">
        <v>42.35</v>
      </c>
      <c r="D190">
        <v>41.82</v>
      </c>
      <c r="E190" s="24">
        <v>42.04</v>
      </c>
      <c r="F190">
        <v>909300</v>
      </c>
    </row>
    <row r="191" spans="1:6">
      <c r="A191" s="48">
        <v>41143</v>
      </c>
      <c r="B191">
        <v>42.27</v>
      </c>
      <c r="C191">
        <v>42.42</v>
      </c>
      <c r="D191">
        <v>42.05</v>
      </c>
      <c r="E191" s="24">
        <v>42.17</v>
      </c>
      <c r="F191">
        <v>1272600</v>
      </c>
    </row>
    <row r="192" spans="1:6">
      <c r="A192" s="48">
        <v>41142</v>
      </c>
      <c r="B192">
        <v>42.26</v>
      </c>
      <c r="C192">
        <v>42.59</v>
      </c>
      <c r="D192">
        <v>42.14</v>
      </c>
      <c r="E192" s="24">
        <v>42.28</v>
      </c>
      <c r="F192">
        <v>1156900</v>
      </c>
    </row>
    <row r="193" spans="1:6">
      <c r="A193" s="48">
        <v>41141</v>
      </c>
      <c r="B193">
        <v>42.8</v>
      </c>
      <c r="C193">
        <v>42.8</v>
      </c>
      <c r="D193">
        <v>42.15</v>
      </c>
      <c r="E193" s="24">
        <v>42.24</v>
      </c>
      <c r="F193">
        <v>1209100</v>
      </c>
    </row>
    <row r="194" spans="1:6">
      <c r="A194" s="48">
        <v>41138</v>
      </c>
      <c r="B194">
        <v>42.48</v>
      </c>
      <c r="C194">
        <v>42.8</v>
      </c>
      <c r="D194">
        <v>41.89</v>
      </c>
      <c r="E194" s="24">
        <v>42.66</v>
      </c>
      <c r="F194">
        <v>1534100</v>
      </c>
    </row>
    <row r="195" spans="1:6">
      <c r="A195" s="48">
        <v>41137</v>
      </c>
      <c r="B195">
        <v>41.5</v>
      </c>
      <c r="C195">
        <v>42.43</v>
      </c>
      <c r="D195">
        <v>41.43</v>
      </c>
      <c r="E195" s="24">
        <v>42.4</v>
      </c>
      <c r="F195">
        <v>1482700</v>
      </c>
    </row>
    <row r="196" spans="1:6">
      <c r="A196" s="48">
        <v>41136</v>
      </c>
      <c r="B196">
        <v>40.99</v>
      </c>
      <c r="C196">
        <v>41.51</v>
      </c>
      <c r="D196">
        <v>40.85</v>
      </c>
      <c r="E196" s="24">
        <v>41.4</v>
      </c>
      <c r="F196">
        <v>609600</v>
      </c>
    </row>
    <row r="197" spans="1:6">
      <c r="A197" s="48">
        <v>41135</v>
      </c>
      <c r="B197">
        <v>41.11</v>
      </c>
      <c r="C197">
        <v>41.65</v>
      </c>
      <c r="D197">
        <v>40.94</v>
      </c>
      <c r="E197" s="24">
        <v>41.05</v>
      </c>
      <c r="F197">
        <v>1387400</v>
      </c>
    </row>
    <row r="198" spans="1:6">
      <c r="A198" s="48">
        <v>41134</v>
      </c>
      <c r="B198">
        <v>41.13</v>
      </c>
      <c r="C198">
        <v>41.33</v>
      </c>
      <c r="D198">
        <v>40.9</v>
      </c>
      <c r="E198" s="24">
        <v>41.01</v>
      </c>
      <c r="F198">
        <v>1147800</v>
      </c>
    </row>
    <row r="199" spans="1:6">
      <c r="A199" s="48">
        <v>41131</v>
      </c>
      <c r="B199">
        <v>40.93</v>
      </c>
      <c r="C199">
        <v>41.29</v>
      </c>
      <c r="D199">
        <v>40.9</v>
      </c>
      <c r="E199" s="24">
        <v>41.25</v>
      </c>
      <c r="F199">
        <v>843700</v>
      </c>
    </row>
    <row r="200" spans="1:6">
      <c r="A200" s="48">
        <v>41130</v>
      </c>
      <c r="B200">
        <v>40.71</v>
      </c>
      <c r="C200">
        <v>41.4</v>
      </c>
      <c r="D200">
        <v>40.68</v>
      </c>
      <c r="E200" s="24">
        <v>41</v>
      </c>
      <c r="F200">
        <v>1527000</v>
      </c>
    </row>
    <row r="201" spans="1:6">
      <c r="A201" s="48">
        <v>41129</v>
      </c>
      <c r="B201">
        <v>40.590000000000003</v>
      </c>
      <c r="C201">
        <v>41.23</v>
      </c>
      <c r="D201">
        <v>40.5</v>
      </c>
      <c r="E201" s="24">
        <v>40.93</v>
      </c>
      <c r="F201">
        <v>2104600</v>
      </c>
    </row>
    <row r="202" spans="1:6">
      <c r="A202" s="48">
        <v>41128</v>
      </c>
      <c r="B202">
        <v>40.340000000000003</v>
      </c>
      <c r="C202">
        <v>41.07</v>
      </c>
      <c r="D202">
        <v>40.32</v>
      </c>
      <c r="E202" s="24">
        <v>40.76</v>
      </c>
      <c r="F202">
        <v>2185300</v>
      </c>
    </row>
    <row r="203" spans="1:6">
      <c r="A203" s="48">
        <v>41127</v>
      </c>
      <c r="B203">
        <v>39.35</v>
      </c>
      <c r="C203">
        <v>40.72</v>
      </c>
      <c r="D203">
        <v>39.25</v>
      </c>
      <c r="E203" s="24">
        <v>40.340000000000003</v>
      </c>
      <c r="F203">
        <v>2203300</v>
      </c>
    </row>
    <row r="204" spans="1:6">
      <c r="A204" s="48">
        <v>41124</v>
      </c>
      <c r="B204">
        <v>38.26</v>
      </c>
      <c r="C204">
        <v>39.36</v>
      </c>
      <c r="D204">
        <v>38.08</v>
      </c>
      <c r="E204" s="24">
        <v>39.130000000000003</v>
      </c>
      <c r="F204">
        <v>2363800</v>
      </c>
    </row>
    <row r="205" spans="1:6">
      <c r="A205" s="48">
        <v>41123</v>
      </c>
      <c r="B205">
        <v>36.869999999999997</v>
      </c>
      <c r="C205">
        <v>37.86</v>
      </c>
      <c r="D205">
        <v>36.61</v>
      </c>
      <c r="E205" s="24">
        <v>37.81</v>
      </c>
      <c r="F205">
        <v>1965800</v>
      </c>
    </row>
    <row r="206" spans="1:6">
      <c r="A206" s="48">
        <v>41122</v>
      </c>
      <c r="B206">
        <v>36.92</v>
      </c>
      <c r="C206">
        <v>37.96</v>
      </c>
      <c r="D206">
        <v>35.479999999999997</v>
      </c>
      <c r="E206" s="24">
        <v>37.51</v>
      </c>
      <c r="F206">
        <v>4906500</v>
      </c>
    </row>
    <row r="207" spans="1:6">
      <c r="A207" s="48">
        <v>41121</v>
      </c>
      <c r="B207">
        <v>39.770000000000003</v>
      </c>
      <c r="C207">
        <v>39.99</v>
      </c>
      <c r="D207">
        <v>39.17</v>
      </c>
      <c r="E207" s="24">
        <v>39.6</v>
      </c>
      <c r="F207">
        <v>2479700</v>
      </c>
    </row>
    <row r="208" spans="1:6">
      <c r="A208" s="48">
        <v>41120</v>
      </c>
      <c r="B208">
        <v>39.93</v>
      </c>
      <c r="C208">
        <v>40.479999999999997</v>
      </c>
      <c r="D208">
        <v>39.29</v>
      </c>
      <c r="E208" s="24">
        <v>39.520000000000003</v>
      </c>
      <c r="F208">
        <v>1893200</v>
      </c>
    </row>
    <row r="209" spans="1:6">
      <c r="A209" s="48">
        <v>41117</v>
      </c>
      <c r="B209">
        <v>40</v>
      </c>
      <c r="C209">
        <v>40.11</v>
      </c>
      <c r="D209">
        <v>39.18</v>
      </c>
      <c r="E209" s="24">
        <v>39.76</v>
      </c>
      <c r="F209">
        <v>1922400</v>
      </c>
    </row>
    <row r="210" spans="1:6">
      <c r="A210" s="48">
        <v>41116</v>
      </c>
      <c r="B210">
        <v>39.840000000000003</v>
      </c>
      <c r="C210">
        <v>40.42</v>
      </c>
      <c r="D210">
        <v>39.4</v>
      </c>
      <c r="E210" s="24">
        <v>39.92</v>
      </c>
      <c r="F210">
        <v>1069200</v>
      </c>
    </row>
    <row r="211" spans="1:6">
      <c r="A211" s="48">
        <v>41115</v>
      </c>
      <c r="B211">
        <v>38.71</v>
      </c>
      <c r="C211">
        <v>39.43</v>
      </c>
      <c r="D211">
        <v>38.58</v>
      </c>
      <c r="E211" s="24">
        <v>39.130000000000003</v>
      </c>
      <c r="F211">
        <v>1218100</v>
      </c>
    </row>
    <row r="212" spans="1:6">
      <c r="A212" s="48">
        <v>41114</v>
      </c>
      <c r="B212">
        <v>39.31</v>
      </c>
      <c r="C212">
        <v>39.44</v>
      </c>
      <c r="D212">
        <v>38.520000000000003</v>
      </c>
      <c r="E212" s="24">
        <v>38.75</v>
      </c>
      <c r="F212">
        <v>1632900</v>
      </c>
    </row>
    <row r="213" spans="1:6">
      <c r="A213" s="48">
        <v>41113</v>
      </c>
      <c r="B213">
        <v>39.64</v>
      </c>
      <c r="C213">
        <v>39.72</v>
      </c>
      <c r="D213">
        <v>38.56</v>
      </c>
      <c r="E213" s="24">
        <v>39.299999999999997</v>
      </c>
      <c r="F213">
        <v>1595300</v>
      </c>
    </row>
    <row r="214" spans="1:6">
      <c r="A214" s="48">
        <v>41110</v>
      </c>
      <c r="B214">
        <v>40.880000000000003</v>
      </c>
      <c r="C214">
        <v>40.880000000000003</v>
      </c>
      <c r="D214">
        <v>40.229999999999997</v>
      </c>
      <c r="E214" s="24">
        <v>40.42</v>
      </c>
      <c r="F214">
        <v>1012800</v>
      </c>
    </row>
    <row r="215" spans="1:6">
      <c r="A215" s="48">
        <v>41109</v>
      </c>
      <c r="B215">
        <v>40.659999999999997</v>
      </c>
      <c r="C215">
        <v>41.27</v>
      </c>
      <c r="D215">
        <v>40.54</v>
      </c>
      <c r="E215" s="24">
        <v>40.83</v>
      </c>
      <c r="F215">
        <v>1302100</v>
      </c>
    </row>
    <row r="216" spans="1:6">
      <c r="A216" s="48">
        <v>41108</v>
      </c>
      <c r="B216">
        <v>39.17</v>
      </c>
      <c r="C216">
        <v>40.94</v>
      </c>
      <c r="D216">
        <v>39.090000000000003</v>
      </c>
      <c r="E216" s="24">
        <v>40.6</v>
      </c>
      <c r="F216">
        <v>1112200</v>
      </c>
    </row>
    <row r="217" spans="1:6">
      <c r="A217" s="48">
        <v>41107</v>
      </c>
      <c r="B217">
        <v>39.47</v>
      </c>
      <c r="C217">
        <v>39.619999999999997</v>
      </c>
      <c r="D217">
        <v>38.85</v>
      </c>
      <c r="E217" s="24">
        <v>39.51</v>
      </c>
      <c r="F217">
        <v>717200</v>
      </c>
    </row>
    <row r="218" spans="1:6">
      <c r="A218" s="48">
        <v>41106</v>
      </c>
      <c r="B218">
        <v>39.29</v>
      </c>
      <c r="C218">
        <v>39.479999999999997</v>
      </c>
      <c r="D218">
        <v>38.86</v>
      </c>
      <c r="E218" s="24">
        <v>39.32</v>
      </c>
      <c r="F218">
        <v>1218100</v>
      </c>
    </row>
    <row r="219" spans="1:6">
      <c r="A219" s="48">
        <v>41103</v>
      </c>
      <c r="B219">
        <v>39.020000000000003</v>
      </c>
      <c r="C219">
        <v>39.61</v>
      </c>
      <c r="D219">
        <v>38.94</v>
      </c>
      <c r="E219" s="24">
        <v>39.53</v>
      </c>
      <c r="F219">
        <v>1245300</v>
      </c>
    </row>
    <row r="220" spans="1:6">
      <c r="A220" s="48">
        <v>41102</v>
      </c>
      <c r="B220">
        <v>39.15</v>
      </c>
      <c r="C220">
        <v>39.33</v>
      </c>
      <c r="D220">
        <v>38.76</v>
      </c>
      <c r="E220" s="24">
        <v>39.07</v>
      </c>
      <c r="F220">
        <v>1199600</v>
      </c>
    </row>
    <row r="221" spans="1:6">
      <c r="A221" s="48">
        <v>41101</v>
      </c>
      <c r="B221">
        <v>39.64</v>
      </c>
      <c r="C221">
        <v>40.1</v>
      </c>
      <c r="D221">
        <v>39.21</v>
      </c>
      <c r="E221" s="24">
        <v>39.450000000000003</v>
      </c>
      <c r="F221">
        <v>1108700</v>
      </c>
    </row>
    <row r="222" spans="1:6">
      <c r="A222" s="48">
        <v>41100</v>
      </c>
      <c r="B222">
        <v>40.340000000000003</v>
      </c>
      <c r="C222">
        <v>40.6</v>
      </c>
      <c r="D222">
        <v>39.44</v>
      </c>
      <c r="E222" s="24">
        <v>39.64</v>
      </c>
      <c r="F222">
        <v>1340900</v>
      </c>
    </row>
    <row r="223" spans="1:6">
      <c r="A223" s="48">
        <v>41099</v>
      </c>
      <c r="B223">
        <v>40.47</v>
      </c>
      <c r="C223">
        <v>40.61</v>
      </c>
      <c r="D223">
        <v>39.82</v>
      </c>
      <c r="E223" s="24">
        <v>40.18</v>
      </c>
      <c r="F223">
        <v>1689500</v>
      </c>
    </row>
    <row r="224" spans="1:6">
      <c r="A224" s="48">
        <v>41096</v>
      </c>
      <c r="B224">
        <v>41.92</v>
      </c>
      <c r="C224">
        <v>42.12</v>
      </c>
      <c r="D224">
        <v>40.33</v>
      </c>
      <c r="E224" s="24">
        <v>40.67</v>
      </c>
      <c r="F224">
        <v>2169000</v>
      </c>
    </row>
    <row r="225" spans="1:6">
      <c r="A225" s="48">
        <v>41095</v>
      </c>
      <c r="B225">
        <v>42.38</v>
      </c>
      <c r="C225">
        <v>42.8</v>
      </c>
      <c r="D225">
        <v>41.97</v>
      </c>
      <c r="E225" s="24">
        <v>42.18</v>
      </c>
      <c r="F225">
        <v>1235000</v>
      </c>
    </row>
    <row r="226" spans="1:6">
      <c r="A226" s="48">
        <v>41094</v>
      </c>
      <c r="B226">
        <v>42.29</v>
      </c>
      <c r="C226">
        <v>42.29</v>
      </c>
      <c r="D226">
        <v>42.29</v>
      </c>
      <c r="E226" s="24">
        <v>42.29</v>
      </c>
      <c r="F226">
        <v>0</v>
      </c>
    </row>
    <row r="227" spans="1:6">
      <c r="A227" s="48">
        <v>41093</v>
      </c>
      <c r="B227">
        <v>42.91</v>
      </c>
      <c r="C227">
        <v>42.94</v>
      </c>
      <c r="D227">
        <v>42.04</v>
      </c>
      <c r="E227" s="24">
        <v>42.29</v>
      </c>
      <c r="F227">
        <v>1223400</v>
      </c>
    </row>
    <row r="228" spans="1:6">
      <c r="A228" s="48">
        <v>41092</v>
      </c>
      <c r="B228">
        <v>43</v>
      </c>
      <c r="C228">
        <v>43.6</v>
      </c>
      <c r="D228">
        <v>42.44</v>
      </c>
      <c r="E228" s="24">
        <v>42.58</v>
      </c>
      <c r="F228">
        <v>1157800</v>
      </c>
    </row>
    <row r="229" spans="1:6">
      <c r="A229" s="48">
        <v>41089</v>
      </c>
      <c r="B229">
        <v>42.14</v>
      </c>
      <c r="C229">
        <v>42.7</v>
      </c>
      <c r="D229">
        <v>41.81</v>
      </c>
      <c r="E229" s="24">
        <v>42.68</v>
      </c>
      <c r="F229">
        <v>1657200</v>
      </c>
    </row>
    <row r="230" spans="1:6">
      <c r="A230" s="48">
        <v>41088</v>
      </c>
      <c r="B230">
        <v>41.5</v>
      </c>
      <c r="C230">
        <v>41.64</v>
      </c>
      <c r="D230">
        <v>40.950000000000003</v>
      </c>
      <c r="E230" s="24">
        <v>41.53</v>
      </c>
      <c r="F230">
        <v>733700</v>
      </c>
    </row>
    <row r="231" spans="1:6">
      <c r="A231" s="48">
        <v>41087</v>
      </c>
      <c r="B231">
        <v>41.69</v>
      </c>
      <c r="C231">
        <v>42.04</v>
      </c>
      <c r="D231">
        <v>41.39</v>
      </c>
      <c r="E231" s="24">
        <v>41.71</v>
      </c>
      <c r="F231">
        <v>1079600</v>
      </c>
    </row>
    <row r="232" spans="1:6">
      <c r="A232" s="48">
        <v>41086</v>
      </c>
      <c r="B232">
        <v>41.83</v>
      </c>
      <c r="C232">
        <v>42</v>
      </c>
      <c r="D232">
        <v>41.45</v>
      </c>
      <c r="E232" s="24">
        <v>41.52</v>
      </c>
      <c r="F232">
        <v>1325900</v>
      </c>
    </row>
    <row r="233" spans="1:6">
      <c r="A233" s="48">
        <v>41085</v>
      </c>
      <c r="B233">
        <v>42.67</v>
      </c>
      <c r="C233">
        <v>42.72</v>
      </c>
      <c r="D233">
        <v>41.73</v>
      </c>
      <c r="E233" s="24">
        <v>41.78</v>
      </c>
      <c r="F233">
        <v>1405400</v>
      </c>
    </row>
    <row r="234" spans="1:6">
      <c r="A234" s="48">
        <v>41082</v>
      </c>
      <c r="B234">
        <v>42.32</v>
      </c>
      <c r="C234">
        <v>43.02</v>
      </c>
      <c r="D234">
        <v>42.32</v>
      </c>
      <c r="E234" s="24">
        <v>42.9</v>
      </c>
      <c r="F234">
        <v>1898100</v>
      </c>
    </row>
    <row r="235" spans="1:6">
      <c r="A235" s="48">
        <v>41081</v>
      </c>
      <c r="B235">
        <v>43.77</v>
      </c>
      <c r="C235">
        <v>43.99</v>
      </c>
      <c r="D235">
        <v>42.18</v>
      </c>
      <c r="E235" s="24">
        <v>42.32</v>
      </c>
      <c r="F235">
        <v>2368500</v>
      </c>
    </row>
    <row r="236" spans="1:6">
      <c r="A236" s="48">
        <v>41080</v>
      </c>
      <c r="B236">
        <v>43.94</v>
      </c>
      <c r="C236">
        <v>44.2</v>
      </c>
      <c r="D236">
        <v>43.68</v>
      </c>
      <c r="E236" s="24">
        <v>43.96</v>
      </c>
      <c r="F236">
        <v>1455100</v>
      </c>
    </row>
    <row r="237" spans="1:6">
      <c r="A237" s="48">
        <v>41079</v>
      </c>
      <c r="B237">
        <v>44.3</v>
      </c>
      <c r="C237">
        <v>44.69</v>
      </c>
      <c r="D237">
        <v>43.64</v>
      </c>
      <c r="E237" s="24">
        <v>43.83</v>
      </c>
      <c r="F237">
        <v>1695400</v>
      </c>
    </row>
    <row r="238" spans="1:6">
      <c r="A238" s="48">
        <v>41078</v>
      </c>
      <c r="B238">
        <v>43.69</v>
      </c>
      <c r="C238">
        <v>44.32</v>
      </c>
      <c r="D238">
        <v>43.45</v>
      </c>
      <c r="E238" s="24">
        <v>44.01</v>
      </c>
      <c r="F238">
        <v>1407300</v>
      </c>
    </row>
    <row r="239" spans="1:6">
      <c r="A239" s="48">
        <v>41075</v>
      </c>
      <c r="B239">
        <v>43.07</v>
      </c>
      <c r="C239">
        <v>43.85</v>
      </c>
      <c r="D239">
        <v>42.92</v>
      </c>
      <c r="E239" s="24">
        <v>43.76</v>
      </c>
      <c r="F239">
        <v>2489400</v>
      </c>
    </row>
    <row r="240" spans="1:6">
      <c r="A240" s="48">
        <v>41074</v>
      </c>
      <c r="B240">
        <v>43.31</v>
      </c>
      <c r="C240">
        <v>43.65</v>
      </c>
      <c r="D240">
        <v>42.68</v>
      </c>
      <c r="E240" s="24">
        <v>43</v>
      </c>
      <c r="F240">
        <v>2866600</v>
      </c>
    </row>
    <row r="241" spans="1:6">
      <c r="A241" s="48">
        <v>41073</v>
      </c>
      <c r="B241">
        <v>43</v>
      </c>
      <c r="C241">
        <v>43.73</v>
      </c>
      <c r="D241">
        <v>42.52</v>
      </c>
      <c r="E241" s="24">
        <v>43.44</v>
      </c>
      <c r="F241">
        <v>2176800</v>
      </c>
    </row>
    <row r="242" spans="1:6">
      <c r="A242" s="48">
        <v>41072</v>
      </c>
      <c r="B242">
        <v>42.48</v>
      </c>
      <c r="C242">
        <v>43.29</v>
      </c>
      <c r="D242">
        <v>42.3</v>
      </c>
      <c r="E242" s="24">
        <v>43.25</v>
      </c>
      <c r="F242">
        <v>1772100</v>
      </c>
    </row>
    <row r="243" spans="1:6">
      <c r="A243" s="48">
        <v>41071</v>
      </c>
      <c r="B243">
        <v>43.67</v>
      </c>
      <c r="C243">
        <v>43.78</v>
      </c>
      <c r="D243">
        <v>42.38</v>
      </c>
      <c r="E243" s="24">
        <v>42.47</v>
      </c>
      <c r="F243">
        <v>1672800</v>
      </c>
    </row>
    <row r="244" spans="1:6">
      <c r="A244" s="48">
        <v>41068</v>
      </c>
      <c r="B244">
        <v>43.36</v>
      </c>
      <c r="C244">
        <v>43.84</v>
      </c>
      <c r="D244">
        <v>43.21</v>
      </c>
      <c r="E244" s="24">
        <v>43.7</v>
      </c>
      <c r="F244">
        <v>1416100</v>
      </c>
    </row>
    <row r="245" spans="1:6">
      <c r="A245" s="48">
        <v>41067</v>
      </c>
      <c r="B245">
        <v>44</v>
      </c>
      <c r="C245">
        <v>44.07</v>
      </c>
      <c r="D245">
        <v>43.32</v>
      </c>
      <c r="E245" s="24">
        <v>43.71</v>
      </c>
      <c r="F245">
        <v>2255900</v>
      </c>
    </row>
    <row r="246" spans="1:6">
      <c r="A246" s="48">
        <v>41066</v>
      </c>
      <c r="B246">
        <v>42.52</v>
      </c>
      <c r="C246">
        <v>43.71</v>
      </c>
      <c r="D246">
        <v>42.36</v>
      </c>
      <c r="E246" s="24">
        <v>43.71</v>
      </c>
      <c r="F246">
        <v>1886000</v>
      </c>
    </row>
    <row r="247" spans="1:6">
      <c r="A247" s="48">
        <v>41065</v>
      </c>
      <c r="B247">
        <v>41.24</v>
      </c>
      <c r="C247">
        <v>42.38</v>
      </c>
      <c r="D247">
        <v>41.23</v>
      </c>
      <c r="E247" s="24">
        <v>42.23</v>
      </c>
      <c r="F247">
        <v>1126500</v>
      </c>
    </row>
    <row r="248" spans="1:6">
      <c r="A248" s="48">
        <v>41064</v>
      </c>
      <c r="B248">
        <v>42.04</v>
      </c>
      <c r="C248">
        <v>42.86</v>
      </c>
      <c r="D248">
        <v>41.27</v>
      </c>
      <c r="E248" s="24">
        <v>41.71</v>
      </c>
      <c r="F248">
        <v>1466500</v>
      </c>
    </row>
    <row r="249" spans="1:6">
      <c r="A249" s="48">
        <v>41061</v>
      </c>
      <c r="B249">
        <v>41.73</v>
      </c>
      <c r="C249">
        <v>42.56</v>
      </c>
      <c r="D249">
        <v>41.62</v>
      </c>
      <c r="E249" s="24">
        <v>41.89</v>
      </c>
      <c r="F249">
        <v>2829900</v>
      </c>
    </row>
    <row r="250" spans="1:6">
      <c r="A250" s="48">
        <v>41060</v>
      </c>
      <c r="B250">
        <v>43.12</v>
      </c>
      <c r="C250">
        <v>43.12</v>
      </c>
      <c r="D250">
        <v>41.77</v>
      </c>
      <c r="E250" s="24">
        <v>42.32</v>
      </c>
      <c r="F250">
        <v>3210800</v>
      </c>
    </row>
    <row r="251" spans="1:6">
      <c r="A251" s="48">
        <v>41059</v>
      </c>
      <c r="B251">
        <v>43.36</v>
      </c>
      <c r="C251">
        <v>43.38</v>
      </c>
      <c r="D251">
        <v>42.83</v>
      </c>
      <c r="E251" s="24">
        <v>43</v>
      </c>
      <c r="F251">
        <v>1445800</v>
      </c>
    </row>
    <row r="252" spans="1:6">
      <c r="A252" s="48">
        <v>41058</v>
      </c>
      <c r="B252">
        <v>44.05</v>
      </c>
      <c r="C252">
        <v>44.29</v>
      </c>
      <c r="D252">
        <v>43.27</v>
      </c>
      <c r="E252" s="24">
        <v>43.86</v>
      </c>
      <c r="F252">
        <v>1788200</v>
      </c>
    </row>
    <row r="253" spans="1:6">
      <c r="A253" s="48">
        <v>41057</v>
      </c>
      <c r="B253">
        <v>43.69</v>
      </c>
      <c r="C253">
        <v>43.69</v>
      </c>
      <c r="D253">
        <v>43.69</v>
      </c>
      <c r="E253" s="24">
        <v>43.69</v>
      </c>
      <c r="F253">
        <v>0</v>
      </c>
    </row>
    <row r="254" spans="1:6">
      <c r="A254" s="48">
        <v>41054</v>
      </c>
      <c r="B254">
        <v>43.15</v>
      </c>
      <c r="C254">
        <v>44.16</v>
      </c>
      <c r="D254">
        <v>43.01</v>
      </c>
      <c r="E254" s="24">
        <v>43.69</v>
      </c>
      <c r="F254">
        <v>2365600</v>
      </c>
    </row>
    <row r="255" spans="1:6">
      <c r="A255" s="48">
        <v>41053</v>
      </c>
      <c r="B255">
        <v>43.19</v>
      </c>
      <c r="C255">
        <v>43.24</v>
      </c>
      <c r="D255">
        <v>42.44</v>
      </c>
      <c r="E255" s="24">
        <v>42.97</v>
      </c>
      <c r="F255">
        <v>2489100</v>
      </c>
    </row>
    <row r="256" spans="1:6">
      <c r="A256" s="48">
        <v>41052</v>
      </c>
      <c r="B256">
        <v>42.37</v>
      </c>
      <c r="C256">
        <v>43.51</v>
      </c>
      <c r="D256">
        <v>42.01</v>
      </c>
      <c r="E256" s="24">
        <v>43.39</v>
      </c>
      <c r="F256">
        <v>2624200</v>
      </c>
    </row>
    <row r="257" spans="1:6">
      <c r="A257" s="48">
        <v>41051</v>
      </c>
      <c r="B257">
        <v>42.9</v>
      </c>
      <c r="C257">
        <v>43.01</v>
      </c>
      <c r="D257">
        <v>42.47</v>
      </c>
      <c r="E257" s="24">
        <v>42.73</v>
      </c>
      <c r="F257">
        <v>1839100</v>
      </c>
    </row>
    <row r="258" spans="1:6">
      <c r="A258" s="48">
        <v>41050</v>
      </c>
      <c r="B258">
        <v>41.59</v>
      </c>
      <c r="C258">
        <v>43.18</v>
      </c>
      <c r="D258">
        <v>41.49</v>
      </c>
      <c r="E258" s="24">
        <v>42.96</v>
      </c>
      <c r="F258">
        <v>2735200</v>
      </c>
    </row>
    <row r="259" spans="1:6">
      <c r="A259" s="48">
        <v>41047</v>
      </c>
      <c r="B259">
        <v>42.52</v>
      </c>
      <c r="C259">
        <v>43.05</v>
      </c>
      <c r="D259">
        <v>41.54</v>
      </c>
      <c r="E259" s="24">
        <v>41.66</v>
      </c>
      <c r="F259">
        <v>4568800</v>
      </c>
    </row>
    <row r="260" spans="1:6">
      <c r="A260" s="48">
        <v>41046</v>
      </c>
      <c r="B260">
        <v>43.5</v>
      </c>
      <c r="C260">
        <v>43.7</v>
      </c>
      <c r="D260">
        <v>42.35</v>
      </c>
      <c r="E260" s="24">
        <v>42.38</v>
      </c>
      <c r="F260">
        <v>2546500</v>
      </c>
    </row>
    <row r="261" spans="1:6">
      <c r="A261" s="48">
        <v>41045</v>
      </c>
      <c r="B261">
        <v>44.5</v>
      </c>
      <c r="C261">
        <v>44.5</v>
      </c>
      <c r="D261">
        <v>43.29</v>
      </c>
      <c r="E261" s="24">
        <v>43.3</v>
      </c>
      <c r="F261">
        <v>5806700</v>
      </c>
    </row>
    <row r="262" spans="1:6">
      <c r="A262" s="48">
        <v>41044</v>
      </c>
      <c r="B262">
        <v>43.75</v>
      </c>
      <c r="C262">
        <v>45.7</v>
      </c>
      <c r="D262">
        <v>42.88</v>
      </c>
      <c r="E262" s="24">
        <v>44.51</v>
      </c>
      <c r="F262">
        <v>9349900</v>
      </c>
    </row>
    <row r="263" spans="1:6">
      <c r="A263" s="48">
        <v>41043</v>
      </c>
      <c r="B263">
        <v>42.03</v>
      </c>
      <c r="C263">
        <v>44.35</v>
      </c>
      <c r="D263">
        <v>41.73</v>
      </c>
      <c r="E263" s="24">
        <v>43.92</v>
      </c>
      <c r="F263">
        <v>7045700</v>
      </c>
    </row>
    <row r="264" spans="1:6">
      <c r="A264" s="48">
        <v>41040</v>
      </c>
      <c r="B264">
        <v>40.11</v>
      </c>
      <c r="C264">
        <v>40.93</v>
      </c>
      <c r="D264">
        <v>40.07</v>
      </c>
      <c r="E264" s="24">
        <v>40.4</v>
      </c>
      <c r="F264">
        <v>1823400</v>
      </c>
    </row>
    <row r="265" spans="1:6">
      <c r="A265" s="48">
        <v>41039</v>
      </c>
      <c r="B265">
        <v>38.97</v>
      </c>
      <c r="C265">
        <v>40.68</v>
      </c>
      <c r="D265">
        <v>38.97</v>
      </c>
      <c r="E265" s="24">
        <v>40.28</v>
      </c>
      <c r="F265">
        <v>3679900</v>
      </c>
    </row>
    <row r="266" spans="1:6">
      <c r="A266" s="48">
        <v>41038</v>
      </c>
      <c r="B266">
        <v>39.46</v>
      </c>
      <c r="C266">
        <v>40.15</v>
      </c>
      <c r="D266">
        <v>39.08</v>
      </c>
      <c r="E266" s="24">
        <v>39.71</v>
      </c>
      <c r="F266">
        <v>2542600</v>
      </c>
    </row>
    <row r="267" spans="1:6">
      <c r="A267" s="48">
        <v>41037</v>
      </c>
      <c r="B267">
        <v>39.81</v>
      </c>
      <c r="C267">
        <v>39.92</v>
      </c>
      <c r="D267">
        <v>39.130000000000003</v>
      </c>
      <c r="E267" s="24">
        <v>39.86</v>
      </c>
      <c r="F267">
        <v>2381000</v>
      </c>
    </row>
    <row r="268" spans="1:6">
      <c r="A268" s="48">
        <v>41036</v>
      </c>
      <c r="B268">
        <v>39.9</v>
      </c>
      <c r="C268">
        <v>40.33</v>
      </c>
      <c r="D268">
        <v>39.86</v>
      </c>
      <c r="E268" s="24">
        <v>40.06</v>
      </c>
      <c r="F268">
        <v>1631100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LBO</vt:lpstr>
      <vt:lpstr>Shares</vt:lpstr>
      <vt:lpstr>52wkHL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Wall Street Prep</dc:creator>
  <cp:lastModifiedBy>Massimo</cp:lastModifiedBy>
  <cp:lastPrinted>2014-05-30T16:55:05Z</cp:lastPrinted>
  <dcterms:created xsi:type="dcterms:W3CDTF">2014-05-28T19:09:08Z</dcterms:created>
  <dcterms:modified xsi:type="dcterms:W3CDTF">2022-12-20T00:56:06Z</dcterms:modified>
</cp:coreProperties>
</file>