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J102" i="1" l="1"/>
  <c r="I102" i="1"/>
  <c r="H102" i="1"/>
  <c r="G102" i="1"/>
  <c r="F102" i="1"/>
  <c r="E74" i="1"/>
  <c r="D74" i="1"/>
  <c r="D105" i="1"/>
  <c r="E105" i="1"/>
  <c r="C199" i="1" l="1"/>
  <c r="E199" i="1"/>
  <c r="D199" i="1"/>
  <c r="E87" i="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E198" i="1"/>
  <c r="C92" i="1"/>
  <c r="C93" i="1"/>
  <c r="C98" i="1"/>
  <c r="C99" i="1"/>
  <c r="F138"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G107" i="1" l="1"/>
  <c r="D75" i="1"/>
  <c r="D98" i="1"/>
  <c r="H107" i="1" l="1"/>
  <c r="K93" i="1"/>
  <c r="F93" i="1" s="1"/>
  <c r="G93" i="1" s="1"/>
  <c r="H93" i="1" s="1"/>
  <c r="I93" i="1" s="1"/>
  <c r="J93" i="1" s="1"/>
  <c r="I107" i="1" l="1"/>
  <c r="J107" i="1" l="1"/>
  <c r="F146" i="1"/>
  <c r="G146" i="1" s="1"/>
  <c r="H146" i="1" s="1"/>
  <c r="I146" i="1" s="1"/>
  <c r="J146" i="1" s="1"/>
  <c r="C136" i="1"/>
  <c r="E83" i="1"/>
  <c r="D83" i="1"/>
  <c r="F105" i="1" l="1"/>
  <c r="G105" i="1" s="1"/>
  <c r="G117" i="1" l="1"/>
  <c r="F117" i="1"/>
  <c r="H105" i="1"/>
  <c r="H117" i="1" l="1"/>
  <c r="I105" i="1"/>
  <c r="I117" i="1" l="1"/>
  <c r="J105" i="1"/>
  <c r="J117" i="1" s="1"/>
  <c r="E142" i="1" l="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F141" i="1" l="1"/>
  <c r="G141" i="1" s="1"/>
  <c r="H141" i="1" s="1"/>
  <c r="I141" i="1" s="1"/>
  <c r="J141" i="1" s="1"/>
  <c r="E141" i="1"/>
  <c r="F66" i="1"/>
  <c r="G66" i="1" s="1"/>
  <c r="F65" i="1"/>
  <c r="G65" i="1" s="1"/>
  <c r="H65" i="1" s="1"/>
  <c r="I65" i="1" s="1"/>
  <c r="J65" i="1" s="1"/>
  <c r="G75" i="1"/>
  <c r="H75" i="1" s="1"/>
  <c r="I75" i="1" s="1"/>
  <c r="J75" i="1" s="1"/>
  <c r="D64" i="1"/>
  <c r="D47" i="1"/>
  <c r="D56" i="1" s="1"/>
  <c r="D60" i="1" s="1"/>
  <c r="E64" i="1"/>
  <c r="E47" i="1"/>
  <c r="E56" i="1" s="1"/>
  <c r="E60" i="1" s="1"/>
  <c r="D13" i="1" s="1"/>
  <c r="F145" i="1"/>
  <c r="F147" i="1" s="1"/>
  <c r="E135" i="1"/>
  <c r="D39" i="1"/>
  <c r="D198" i="1" s="1"/>
  <c r="F39" i="1"/>
  <c r="F198" i="1" s="1"/>
  <c r="C64" i="1"/>
  <c r="E79" i="1"/>
  <c r="F79" i="1" s="1"/>
  <c r="G79" i="1" s="1"/>
  <c r="H79" i="1" s="1"/>
  <c r="I79" i="1" s="1"/>
  <c r="J79" i="1" s="1"/>
  <c r="E136" i="1"/>
  <c r="F40" i="1"/>
  <c r="F199" i="1" s="1"/>
  <c r="F71" i="1" l="1"/>
  <c r="F86" i="1"/>
  <c r="F87" i="1"/>
  <c r="F72" i="1"/>
  <c r="D86" i="1"/>
  <c r="D71" i="1"/>
  <c r="H10" i="1"/>
  <c r="I10" i="1"/>
  <c r="I12" i="1" s="1"/>
  <c r="I17" i="1" s="1"/>
  <c r="J10" i="1"/>
  <c r="H66" i="1"/>
  <c r="F64" i="1"/>
  <c r="G64" i="1" s="1"/>
  <c r="H64" i="1" s="1"/>
  <c r="I64" i="1" s="1"/>
  <c r="J64" i="1" s="1"/>
  <c r="D34" i="1"/>
  <c r="G39" i="1"/>
  <c r="G198" i="1" s="1"/>
  <c r="D51" i="1"/>
  <c r="D67" i="1" s="1"/>
  <c r="E81" i="1"/>
  <c r="F81" i="1" s="1"/>
  <c r="G81" i="1" s="1"/>
  <c r="H81" i="1" s="1"/>
  <c r="I81" i="1" s="1"/>
  <c r="J81" i="1" s="1"/>
  <c r="E51" i="1"/>
  <c r="C39" i="1"/>
  <c r="C198" i="1" s="1"/>
  <c r="D135" i="1"/>
  <c r="F136" i="1"/>
  <c r="F111" i="1"/>
  <c r="G40" i="1"/>
  <c r="G199" i="1" s="1"/>
  <c r="C51" i="1"/>
  <c r="F135" i="1"/>
  <c r="F110" i="1"/>
  <c r="G72" i="1" l="1"/>
  <c r="G87" i="1"/>
  <c r="G71" i="1"/>
  <c r="G86" i="1"/>
  <c r="I66" i="1"/>
  <c r="C135" i="1"/>
  <c r="H39" i="1"/>
  <c r="H198" i="1" s="1"/>
  <c r="D28" i="1"/>
  <c r="H28" i="1" s="1"/>
  <c r="D53" i="1"/>
  <c r="D33" i="1"/>
  <c r="F187" i="1" s="1"/>
  <c r="D29" i="1"/>
  <c r="H29" i="1" s="1"/>
  <c r="D32" i="1"/>
  <c r="H32" i="1" s="1"/>
  <c r="D31" i="1"/>
  <c r="H31" i="1" s="1"/>
  <c r="D30" i="1"/>
  <c r="H30" i="1" s="1"/>
  <c r="C53" i="1"/>
  <c r="C67" i="1"/>
  <c r="E67" i="1"/>
  <c r="F67" i="1" s="1"/>
  <c r="E53" i="1"/>
  <c r="G135" i="1"/>
  <c r="G110" i="1"/>
  <c r="G136" i="1"/>
  <c r="G111" i="1"/>
  <c r="H40" i="1"/>
  <c r="H199" i="1" s="1"/>
  <c r="F42" i="1"/>
  <c r="F46" i="1" s="1"/>
  <c r="H72" i="1" l="1"/>
  <c r="H87" i="1"/>
  <c r="H86" i="1"/>
  <c r="H71" i="1"/>
  <c r="H33" i="1"/>
  <c r="J29" i="1"/>
  <c r="J31" i="1"/>
  <c r="J32" i="1"/>
  <c r="J66" i="1"/>
  <c r="J28" i="1"/>
  <c r="J30" i="1"/>
  <c r="F92" i="1"/>
  <c r="F76" i="1"/>
  <c r="F74" i="1"/>
  <c r="F154" i="1" s="1"/>
  <c r="G67" i="1"/>
  <c r="F151" i="1"/>
  <c r="F166" i="1"/>
  <c r="F167" i="1" s="1"/>
  <c r="F188" i="1"/>
  <c r="F180" i="1"/>
  <c r="F158" i="1"/>
  <c r="F159" i="1" s="1"/>
  <c r="F174" i="1"/>
  <c r="H110" i="1"/>
  <c r="H135" i="1"/>
  <c r="I39" i="1"/>
  <c r="I198" i="1" s="1"/>
  <c r="H111" i="1"/>
  <c r="I40" i="1"/>
  <c r="I199" i="1" s="1"/>
  <c r="H136" i="1"/>
  <c r="F80" i="1"/>
  <c r="F45" i="1"/>
  <c r="G42" i="1"/>
  <c r="G46" i="1" s="1"/>
  <c r="F44" i="1"/>
  <c r="F175" i="1" l="1"/>
  <c r="I86" i="1"/>
  <c r="I71" i="1"/>
  <c r="I87" i="1"/>
  <c r="I72" i="1"/>
  <c r="F193" i="1"/>
  <c r="J33" i="1"/>
  <c r="I194" i="1"/>
  <c r="H194" i="1"/>
  <c r="J194" i="1"/>
  <c r="G194" i="1"/>
  <c r="F194" i="1"/>
  <c r="G92" i="1"/>
  <c r="G76" i="1"/>
  <c r="H67" i="1"/>
  <c r="F43" i="1"/>
  <c r="F58" i="1" s="1"/>
  <c r="F115" i="1" s="1"/>
  <c r="F47" i="1"/>
  <c r="F56" i="1" s="1"/>
  <c r="F181" i="1"/>
  <c r="F182" i="1"/>
  <c r="F189" i="1"/>
  <c r="I181" i="1"/>
  <c r="F176" i="1"/>
  <c r="J181" i="1"/>
  <c r="H181" i="1"/>
  <c r="G181" i="1"/>
  <c r="G80" i="1"/>
  <c r="I111" i="1"/>
  <c r="I136" i="1"/>
  <c r="J40" i="1"/>
  <c r="J199" i="1" s="1"/>
  <c r="I110" i="1"/>
  <c r="I135" i="1"/>
  <c r="J39" i="1"/>
  <c r="J198" i="1" s="1"/>
  <c r="G44" i="1"/>
  <c r="G45" i="1"/>
  <c r="G74" i="1"/>
  <c r="G154" i="1" s="1"/>
  <c r="H42" i="1"/>
  <c r="H46" i="1" s="1"/>
  <c r="J87" i="1" l="1"/>
  <c r="J72" i="1"/>
  <c r="J71" i="1"/>
  <c r="J86" i="1"/>
  <c r="F195" i="1"/>
  <c r="F190" i="1"/>
  <c r="H92" i="1"/>
  <c r="H76" i="1"/>
  <c r="F78" i="1"/>
  <c r="I67" i="1"/>
  <c r="G43" i="1"/>
  <c r="G47" i="1"/>
  <c r="G56" i="1" s="1"/>
  <c r="F183" i="1"/>
  <c r="G180" i="1" s="1"/>
  <c r="F125" i="1"/>
  <c r="G187" i="1"/>
  <c r="G188" i="1" s="1"/>
  <c r="G174" i="1"/>
  <c r="G121" i="1"/>
  <c r="F121" i="1"/>
  <c r="J135" i="1"/>
  <c r="J110" i="1"/>
  <c r="J136" i="1"/>
  <c r="J111" i="1"/>
  <c r="H45" i="1"/>
  <c r="I42" i="1"/>
  <c r="I46" i="1" s="1"/>
  <c r="H80" i="1"/>
  <c r="H44" i="1"/>
  <c r="H74" i="1"/>
  <c r="H154" i="1" s="1"/>
  <c r="G175" i="1" l="1"/>
  <c r="G193" i="1"/>
  <c r="G195" i="1" s="1"/>
  <c r="G182" i="1"/>
  <c r="F83" i="1"/>
  <c r="F116" i="1" s="1"/>
  <c r="I92" i="1"/>
  <c r="I76" i="1"/>
  <c r="J67" i="1"/>
  <c r="G58" i="1"/>
  <c r="G115" i="1" s="1"/>
  <c r="G78" i="1"/>
  <c r="H43" i="1"/>
  <c r="H47" i="1"/>
  <c r="H56" i="1" s="1"/>
  <c r="G189" i="1"/>
  <c r="G176" i="1"/>
  <c r="H174" i="1" s="1"/>
  <c r="I45" i="1"/>
  <c r="I80" i="1"/>
  <c r="I74" i="1"/>
  <c r="I44" i="1"/>
  <c r="H121" i="1"/>
  <c r="J42" i="1"/>
  <c r="J46" i="1" s="1"/>
  <c r="H175" i="1" l="1"/>
  <c r="H176" i="1" s="1"/>
  <c r="I154" i="1"/>
  <c r="G183" i="1"/>
  <c r="H180" i="1" s="1"/>
  <c r="H193" i="1"/>
  <c r="H195" i="1" s="1"/>
  <c r="G190" i="1"/>
  <c r="J92" i="1"/>
  <c r="J76" i="1"/>
  <c r="H78" i="1"/>
  <c r="H58" i="1"/>
  <c r="H115" i="1" s="1"/>
  <c r="G83" i="1"/>
  <c r="G116" i="1" s="1"/>
  <c r="I43" i="1"/>
  <c r="I78" i="1" s="1"/>
  <c r="I47" i="1"/>
  <c r="I56" i="1" s="1"/>
  <c r="H187" i="1"/>
  <c r="H188" i="1" s="1"/>
  <c r="J80" i="1"/>
  <c r="I121" i="1"/>
  <c r="J74" i="1"/>
  <c r="J154" i="1" s="1"/>
  <c r="J44" i="1"/>
  <c r="J45" i="1"/>
  <c r="I174" i="1" l="1"/>
  <c r="H182" i="1"/>
  <c r="H183" i="1" s="1"/>
  <c r="I180" i="1" s="1"/>
  <c r="I193" i="1"/>
  <c r="I195" i="1" s="1"/>
  <c r="H83" i="1"/>
  <c r="H116" i="1" s="1"/>
  <c r="I58" i="1"/>
  <c r="I115" i="1" s="1"/>
  <c r="J43" i="1"/>
  <c r="J58" i="1" s="1"/>
  <c r="J115" i="1" s="1"/>
  <c r="J47" i="1"/>
  <c r="J56" i="1" s="1"/>
  <c r="H189" i="1"/>
  <c r="J121" i="1"/>
  <c r="I175" i="1" l="1"/>
  <c r="I176" i="1" s="1"/>
  <c r="J174" i="1" s="1"/>
  <c r="J193" i="1"/>
  <c r="J195" i="1" s="1"/>
  <c r="I182" i="1"/>
  <c r="I183" i="1" s="1"/>
  <c r="H190" i="1"/>
  <c r="I83" i="1"/>
  <c r="I116" i="1" s="1"/>
  <c r="J78" i="1"/>
  <c r="I187" i="1"/>
  <c r="I188" i="1" s="1"/>
  <c r="J175" i="1" l="1"/>
  <c r="J176" i="1" s="1"/>
  <c r="J83" i="1"/>
  <c r="J116" i="1" s="1"/>
  <c r="J180" i="1"/>
  <c r="I189" i="1"/>
  <c r="J182" i="1" l="1"/>
  <c r="J183" i="1" s="1"/>
  <c r="I190" i="1"/>
  <c r="J187" i="1"/>
  <c r="J188" i="1" s="1"/>
  <c r="J189" i="1" l="1"/>
  <c r="J190" i="1" l="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I95" i="1" l="1"/>
  <c r="I114" i="1"/>
  <c r="J114" i="1"/>
  <c r="H114" i="1"/>
  <c r="H60" i="1"/>
  <c r="J95"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49" i="1" l="1"/>
  <c r="G49" i="1"/>
  <c r="H49" i="1"/>
  <c r="I49" i="1"/>
  <c r="J49" i="1"/>
  <c r="F48" i="1" l="1"/>
  <c r="G48" i="1"/>
  <c r="H48" i="1"/>
  <c r="I48" i="1"/>
  <c r="J48"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 ref="F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<sst xmlns="http://schemas.openxmlformats.org/spreadsheetml/2006/main" count="235" uniqueCount="195">
  <si>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</si>
  <si>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</si>
  <si>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</si>
  <si>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</si>
  <si>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</si>
  <si>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</si>
  <si>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</si>
  <si>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</si>
  <si>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</si>
  <si>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</si>
  <si>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</si>
  <si>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</si>
  <si>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</si>
  <si>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</si>
  <si>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</si>
  <si>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</si>
  <si>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</si>
  <si>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</si>
  <si>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</si>
  <si>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</si>
  <si>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</si>
  <si>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</si>
  <si>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</si>
  <si>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</si>
  <si>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</si>
  <si>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</si>
  <si>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</si>
  <si>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</si>
  <si>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</si>
  <si>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</si>
  <si>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</si>
  <si>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</si>
  <si>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</si>
  <si>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</si>
  <si>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</si>
  <si>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</si>
  <si>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</si>
  <si>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</si>
  <si>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</si>
  <si>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</si>
  <si>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</si>
  <si>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</si>
  <si>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</si>
  <si>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</si>
  <si>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</si>
  <si>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</si>
  <si>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</si>
  <si>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</si>
  <si>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</si>
  <si>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</si>
  <si>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</si>
  <si>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</si>
  <si>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</si>
  <si>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</si>
  <si>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</si>
  <si>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</si>
  <si>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</si>
  <si>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</si>
  <si>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</si>
  <si>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</si>
  <si>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</si>
  <si>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</si>
  <si>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</si>
  <si>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</si>
  <si>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</si>
  <si>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</si>
  <si>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</si>
  <si>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</si>
  <si>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</si>
  <si>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</si>
  <si>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</si>
  <si>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</si>
  <si>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</si>
  <si>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</si>
  <si>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</si>
  <si>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</si>
  <si>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</si>
  <si>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</si>
  <si>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</si>
  <si>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</si>
  <si>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</si>
  <si>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</si>
  <si>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</si>
  <si>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</si>
  <si>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</si>
  <si>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</si>
  <si>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</si>
  <si>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</si>
  <si>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</si>
  <si>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</si>
  <si>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</si>
  <si>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</si>
  <si>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</si>
  <si>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</si>
  <si>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</si>
  <si>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</si>
  <si>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</si>
  <si>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</si>
  <si>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</si>
  <si>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</si>
  <si>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</si>
  <si>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</si>
  <si>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</si>
  <si>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</si>
  <si>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</si>
  <si>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</si>
  <si>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</si>
  <si>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</si>
  <si>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</si>
  <si>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Preferred stock</t>
  </si>
  <si>
    <t>Preferred stock, BOP</t>
  </si>
  <si>
    <t>Mandatory paydown (% of original)</t>
  </si>
  <si>
    <t>Preferred stock, EOP</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</si>
  <si>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</si>
  <si>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</si>
  <si>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</si>
  <si>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</si>
  <si>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</si>
  <si>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</si>
  <si>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</si>
  <si>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</si>
  <si>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</si>
  <si>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</si>
  <si>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</si>
  <si>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</si>
  <si>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Cash available for cash sweep</t>
  </si>
  <si>
    <t>Step</t>
  </si>
  <si>
    <t>PIK rate</t>
  </si>
  <si>
    <t>Cash rate</t>
  </si>
  <si>
    <t>PIK interest</t>
  </si>
  <si>
    <t>Sub Note - PIK interest</t>
  </si>
  <si>
    <t>Sub Note - Cash interest</t>
  </si>
  <si>
    <t>% AR</t>
  </si>
  <si>
    <t>% Inventory</t>
  </si>
  <si>
    <t>Cash dividend</t>
  </si>
  <si>
    <t>Addback of PIK interest</t>
  </si>
  <si>
    <t>SOURCES OF FUNDS</t>
  </si>
  <si>
    <t>USES OF FUNDS</t>
  </si>
  <si>
    <t>Depreciation as a % of capex</t>
  </si>
  <si>
    <t>Mgmt rollover</t>
  </si>
  <si>
    <t>Yes</t>
  </si>
  <si>
    <t>Preferred dividend (cash)</t>
  </si>
  <si>
    <t>Cash sweep</t>
  </si>
  <si>
    <t>% of available cash used</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</si>
  <si>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</si>
  <si>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</si>
  <si>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</si>
  <si>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</si>
  <si>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</si>
  <si>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</si>
  <si>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</si>
  <si>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</si>
  <si>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</si>
  <si>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</si>
  <si>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</si>
  <si>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</si>
  <si>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</si>
  <si>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</si>
  <si>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</si>
  <si>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</si>
  <si>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</si>
  <si>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</si>
  <si>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</si>
  <si>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</si>
  <si>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</si>
  <si>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</si>
  <si>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</si>
  <si>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</si>
  <si>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</si>
  <si>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</si>
  <si>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</si>
  <si>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</si>
  <si>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</si>
  <si>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</si>
  <si>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</si>
  <si>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</si>
  <si>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</si>
  <si>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</si>
  <si>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</si>
  <si>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</si>
  <si>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</si>
  <si>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Capitalized financing fees</t>
  </si>
  <si>
    <t>Fee amort / year</t>
  </si>
  <si>
    <t>Capitalized financing fees, BOP</t>
  </si>
  <si>
    <t>Capitalized financing fees, EOP</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</si>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</sst>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79">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00%_);\(0.00%\);@_)"/>
    <numFmt numFmtId="174" formatCode="0%_);\(0%\);@_)"/>
    <numFmt numFmtId="175" formatCode="#,##0.00_);\(#,##0\)"/>
    <numFmt numFmtId="176" formatCode="#,##0.0%_);\(#,##0.0%\)"/>
    <numFmt numFmtId="177" formatCode="0.0\ \x"/>
    <numFmt numFmtId="178" formatCode="#,##0.00\ ;\(#,##0.00\)"/>
    <numFmt numFmtId="179" formatCode="&quot;$&quot;#,##0.00\ ;\(&quot;$&quot;#,##0.00\)"/>
    <numFmt numFmtId="180" formatCode="0.0%_);\(0.0%\)"/>
    <numFmt numFmtId="181" formatCode="0.000\ \x&quot;rate&quot;"/>
    <numFmt numFmtId="182" formatCode="#,##0.000_);[Red]\(#,##0.000\)"/>
    <numFmt numFmtId="183" formatCode="0.00_);\(0.00\);0.00"/>
    <numFmt numFmtId="184" formatCode="\C&quot;$&quot;#,##0.00_);[Red]\(&quot;$&quot;#,##0.00\)"/>
    <numFmt numFmtId="185" formatCode="#,##0%_);\(#,##0.0%\)"/>
    <numFmt numFmtId="186" formatCode="_(* #,##0.00000000_);_(* \(#,##0.00000000\);_(* &quot;-&quot;?_);_(@_)"/>
    <numFmt numFmtId="187" formatCode="mmm\-d\-yyyy"/>
    <numFmt numFmtId="188" formatCode="mmm\-yyyy"/>
    <numFmt numFmtId="189" formatCode="yyyy"/>
    <numFmt numFmtId="190" formatCode="0.00\x&quot;rate&quot;"/>
    <numFmt numFmtId="191" formatCode="0.0&quot;  &quot;"/>
    <numFmt numFmtId="192" formatCode="&quot;$&quot;#,##0.0\ ;[Red]\(&quot;$&quot;#,##0\)"/>
    <numFmt numFmtId="193" formatCode="_(&quot;$&quot;* #,##0.00_);_(&quot;$&quot;* \(#,##0.00\);_(&quot;$&quot;* &quot;-&quot;?_);_(@_)"/>
    <numFmt numFmtId="194" formatCode="&quot;$&quot;#,##0.000_);[Red]\(&quot;$&quot;#,##0.000\)"/>
    <numFmt numFmtId="195" formatCode="&quot;$&quot;#,##0.00&quot;A&quot;;[Red]\(&quot;$&quot;#,##0.00\)&quot;A&quot;"/>
    <numFmt numFmtId="196" formatCode="#,##0.0\ ;[Red]\(&quot;$&quot;#,##0\)"/>
    <numFmt numFmtId="197" formatCode="&quot;$&quot;#,##0.00&quot;E&quot;;[Red]\(&quot;$&quot;#,##0.00\)&quot;E&quot;"/>
    <numFmt numFmtId="198" formatCode="_([$€-2]* #,##0.00_);_([$€-2]* \(#,##0.00\);_([$€-2]* &quot;-&quot;??_)"/>
    <numFmt numFmtId="199" formatCode="#,##0.00;\(#,##0.00\)"/>
    <numFmt numFmtId="200" formatCode=".%\,\(0.0%%;\t"/>
    <numFmt numFmtId="201" formatCode="#,##0.0_);[Red]\(#,##0.0\)"/>
    <numFmt numFmtId="202" formatCode="0.0%_);[Red]\(0.0%\)"/>
    <numFmt numFmtId="203" formatCode="0.00_);\(0.00\);0.00_)"/>
    <numFmt numFmtId="204" formatCode="#,##0\x"/>
    <numFmt numFmtId="205" formatCode="&quot;TKR&quot;\ 0"/>
    <numFmt numFmtId="206" formatCode=".%\,\(0.%%;\t"/>
    <numFmt numFmtId="207" formatCode="&quot;$&quot;#,###.0\ \ "/>
    <numFmt numFmtId="208" formatCode="#,##0.00\x_);[Red]\(#,##0.00\x\)"/>
    <numFmt numFmtId="209" formatCode="#,##0.0_);\(#,##0.0\)"/>
    <numFmt numFmtId="210" formatCode="#,##0.00\x_);[Red]\(#,##0.00\x\);&quot;--  &quot;"/>
    <numFmt numFmtId="211" formatCode="_(* #,##0.0_);_(* \(#,##0.0\);_(* &quot;-&quot;??_);_(@_)"/>
    <numFmt numFmtId="212" formatCode="0.0\x_);[Red]\(0.0\x\)"/>
    <numFmt numFmtId="213" formatCode="0.0\ "/>
    <numFmt numFmtId="214" formatCode="&quot;$&quot;#,##0.0;\(&quot;$&quot;#,##0.00\)"/>
    <numFmt numFmtId="215" formatCode="#,##0.00%_);\(#,##0.00%\)"/>
    <numFmt numFmtId="216" formatCode="0.00\%;\-0.00\%;0.00\%"/>
    <numFmt numFmtId="217" formatCode="0.0%\ ;\(0.0%\)"/>
    <numFmt numFmtId="218" formatCode="_(&quot;$&quot;* #,##0_);_(&quot;$&quot;* \(#,##0\);_(&quot;$&quot;* &quot;-&quot;??_);_(@_)"/>
    <numFmt numFmtId="219" formatCode="&quot;$&quot;0.00\ "/>
    <numFmt numFmtId="220" formatCode="0.0\ \ \ \ \ "/>
    <numFmt numFmtId="221" formatCode="0.00\x;\-0.00\x;0.00\x"/>
    <numFmt numFmtId="222" formatCode="&quot;$&quot;#,##0.000_);\(&quot;$&quot;#,##0.000\)"/>
    <numFmt numFmtId="223" formatCode="#,##0.0_);\(#,##0.0\);_(* &quot;-&quot;_)"/>
    <numFmt numFmtId="224" formatCode="_(&quot;$&quot;* #,##0.00_);_(&quot;$&quot;* \(#,##0.00\);_(* &quot;-&quot;_);_(@_)"/>
    <numFmt numFmtId="225" formatCode="0.00%_);[Red]\(0.00%\)"/>
    <numFmt numFmtId="226" formatCode="#,##0.0\x_);\(#,##0.0\x\)"/>
    <numFmt numFmtId="227" formatCode="#,##0.00\x_);\(#,##0.00\x\)"/>
    <numFmt numFmtId="228" formatCode="###0&quot;E&quot;_)"/>
    <numFmt numFmtId="229" formatCode="0.0\x_);\(0.0\x\);@_)"/>
    <numFmt numFmtId="230" formatCode="0.00\x__"/>
    <numFmt numFmtId="231" formatCode="\L\ \+\ 0%"/>
    <numFmt numFmtId="232" formatCode="0.000%_);\(0.000%\);@_)"/>
    <numFmt numFmtId="233" formatCode="#,##0.00_);\(#,##0.00\);@_)"/>
    <numFmt numFmtId="234" formatCode="&quot;Approach&quot;\ 0"/>
    <numFmt numFmtId="235" formatCode="0.0"/>
    <numFmt numFmtId="236" formatCode="0\ &quot;yrs&quot;"/>
    <numFmt numFmtId="237" formatCode="&quot;Tranche&quot;\ 0"/>
  </numFmts>
  <fonts count="84">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0C0C0"/>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5" fontId="10" fillId="0" borderId="0">
      <alignment horizontal="right"/>
    </xf>
    <xf numFmtId="176" fontId="10" fillId="2" borderId="0"/>
    <xf numFmtId="177" fontId="10" fillId="2" borderId="0"/>
    <xf numFmtId="176" fontId="10" fillId="2" borderId="0"/>
    <xf numFmtId="178" fontId="10" fillId="2" borderId="0"/>
    <xf numFmtId="179" fontId="10" fillId="2" borderId="0">
      <alignment horizontal="right"/>
    </xf>
    <xf numFmtId="180" fontId="11" fillId="0" borderId="0" applyFont="0" applyFill="0" applyBorder="0" applyAlignment="0" applyProtection="0"/>
    <xf numFmtId="0" fontId="12" fillId="0" borderId="0" applyNumberFormat="0" applyFont="0" applyFill="0" applyBorder="0" applyAlignment="0" applyProtection="0"/>
    <xf numFmtId="181"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2"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2" fontId="17" fillId="0" borderId="0" applyFont="0" applyFill="0" applyBorder="0" applyAlignment="0" applyProtection="0">
      <protection locked="0"/>
    </xf>
    <xf numFmtId="182"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3"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4" fontId="13" fillId="0" borderId="0" applyFill="0" applyBorder="0" applyProtection="0">
      <alignment horizontal="right"/>
    </xf>
    <xf numFmtId="185" fontId="10" fillId="2" borderId="8">
      <alignment horizontal="right"/>
    </xf>
    <xf numFmtId="186" fontId="10" fillId="2" borderId="8">
      <alignment horizontal="right"/>
    </xf>
    <xf numFmtId="185" fontId="10" fillId="2" borderId="8">
      <alignment horizontal="right"/>
    </xf>
    <xf numFmtId="15" fontId="27" fillId="0" borderId="0" applyFill="0" applyBorder="0" applyAlignment="0"/>
    <xf numFmtId="187" fontId="25" fillId="24" borderId="0" applyFont="0" applyFill="0" applyBorder="0" applyAlignment="0" applyProtection="0"/>
    <xf numFmtId="188" fontId="27" fillId="0" borderId="7"/>
    <xf numFmtId="14" fontId="28" fillId="0" borderId="0" applyFont="0" applyFill="0" applyBorder="0" applyAlignment="0" applyProtection="0">
      <alignment horizontal="center"/>
    </xf>
    <xf numFmtId="189" fontId="28" fillId="0" borderId="0" applyFont="0" applyFill="0" applyBorder="0" applyAlignment="0" applyProtection="0">
      <alignment horizontal="center"/>
    </xf>
    <xf numFmtId="190"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1" fontId="10" fillId="25" borderId="0"/>
    <xf numFmtId="192" fontId="10" fillId="0" borderId="0"/>
    <xf numFmtId="193" fontId="10" fillId="25" borderId="0"/>
    <xf numFmtId="194" fontId="10" fillId="25" borderId="0"/>
    <xf numFmtId="195" fontId="18" fillId="0" borderId="0" applyFont="0" applyFill="0" applyBorder="0" applyProtection="0">
      <alignment horizontal="left"/>
      <protection locked="0"/>
    </xf>
    <xf numFmtId="196" fontId="10" fillId="0" borderId="0"/>
    <xf numFmtId="197" fontId="18" fillId="0" borderId="0" applyFont="0" applyFill="0" applyBorder="0" applyProtection="0">
      <alignment horizontal="left"/>
      <protection locked="0"/>
    </xf>
    <xf numFmtId="198" fontId="12" fillId="0" borderId="0" applyFont="0" applyFill="0" applyBorder="0" applyAlignment="0" applyProtection="0"/>
    <xf numFmtId="0" fontId="29" fillId="0" borderId="0" applyNumberFormat="0" applyFill="0" applyBorder="0" applyAlignment="0" applyProtection="0"/>
    <xf numFmtId="180" fontId="10" fillId="0" borderId="9"/>
    <xf numFmtId="199" fontId="10" fillId="2" borderId="8">
      <alignment horizontal="right"/>
    </xf>
    <xf numFmtId="200" fontId="10" fillId="2" borderId="8">
      <alignment horizontal="right"/>
    </xf>
    <xf numFmtId="199" fontId="10" fillId="2" borderId="8">
      <alignment horizontal="right"/>
    </xf>
    <xf numFmtId="201" fontId="17" fillId="0" borderId="0" applyFill="0" applyBorder="0" applyAlignment="0" applyProtection="0">
      <protection locked="0"/>
    </xf>
    <xf numFmtId="0" fontId="30" fillId="5" borderId="0" applyNumberFormat="0" applyBorder="0" applyAlignment="0" applyProtection="0"/>
    <xf numFmtId="202" fontId="31" fillId="0" borderId="0" applyFill="0" applyBorder="0" applyAlignment="0" applyProtection="0"/>
    <xf numFmtId="180" fontId="32" fillId="0" borderId="0" applyAlignment="0">
      <alignment horizontal="left"/>
      <protection locked="0"/>
    </xf>
    <xf numFmtId="201"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1" fontId="36" fillId="0" borderId="0" applyNumberFormat="0" applyFill="0" applyBorder="0" applyAlignment="0" applyProtection="0"/>
    <xf numFmtId="0" fontId="37" fillId="0" borderId="0"/>
    <xf numFmtId="182"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3"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4" fontId="10" fillId="0" borderId="0">
      <alignment horizontal="right"/>
    </xf>
    <xf numFmtId="205" fontId="10" fillId="25" borderId="0">
      <alignment horizontal="right"/>
    </xf>
    <xf numFmtId="206" fontId="10" fillId="0" borderId="0">
      <alignment horizontal="right"/>
    </xf>
    <xf numFmtId="204" fontId="10" fillId="0" borderId="0">
      <alignment horizontal="right"/>
    </xf>
    <xf numFmtId="180" fontId="42" fillId="0" borderId="0" applyFill="0" applyBorder="0" applyAlignment="0" applyProtection="0">
      <alignment horizontal="right"/>
    </xf>
    <xf numFmtId="180" fontId="42" fillId="0" borderId="0" applyFill="0" applyBorder="0" applyAlignment="0" applyProtection="0"/>
    <xf numFmtId="207" fontId="10" fillId="2" borderId="8">
      <alignment horizontal="right"/>
    </xf>
    <xf numFmtId="208"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9"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0"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1"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2"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3" fontId="10" fillId="25" borderId="0"/>
    <xf numFmtId="9" fontId="17" fillId="0" borderId="0" applyFont="0" applyFill="0" applyBorder="0" applyAlignment="0" applyProtection="0">
      <alignment horizontal="right"/>
    </xf>
    <xf numFmtId="214" fontId="10" fillId="0" borderId="0"/>
    <xf numFmtId="0" fontId="12" fillId="0" borderId="0" applyFont="0" applyFill="0" applyBorder="0" applyAlignment="0"/>
    <xf numFmtId="176" fontId="12" fillId="0" borderId="0" applyFont="0" applyFill="0" applyBorder="0" applyAlignment="0" applyProtection="0"/>
    <xf numFmtId="215" fontId="12" fillId="0" borderId="0" applyFont="0" applyFill="0" applyBorder="0" applyAlignment="0" applyProtection="0"/>
    <xf numFmtId="216" fontId="12" fillId="0" borderId="0" applyFill="0" applyBorder="0">
      <alignment horizontal="right"/>
      <protection locked="0"/>
    </xf>
    <xf numFmtId="202" fontId="17" fillId="0" borderId="0" applyFont="0" applyFill="0" applyBorder="0" applyAlignment="0" applyProtection="0"/>
    <xf numFmtId="8" fontId="17" fillId="0" borderId="0" applyFont="0" applyFill="0" applyBorder="0" applyAlignment="0" applyProtection="0"/>
    <xf numFmtId="182" fontId="17" fillId="0" borderId="0" applyFont="0" applyFill="0" applyBorder="0" applyAlignment="0" applyProtection="0">
      <protection locked="0"/>
    </xf>
    <xf numFmtId="201" fontId="17" fillId="0" borderId="0" applyFill="0" applyBorder="0" applyAlignment="0" applyProtection="0"/>
    <xf numFmtId="38" fontId="17" fillId="0" borderId="0" applyFont="0" applyFill="0" applyBorder="0" applyAlignment="0" applyProtection="0"/>
    <xf numFmtId="178" fontId="10" fillId="2" borderId="18">
      <alignment horizontal="right"/>
    </xf>
    <xf numFmtId="217" fontId="46" fillId="2" borderId="0"/>
    <xf numFmtId="218" fontId="10" fillId="2" borderId="0"/>
    <xf numFmtId="0" fontId="47" fillId="0" borderId="0">
      <alignment horizontal="center"/>
    </xf>
    <xf numFmtId="0" fontId="10" fillId="0" borderId="7">
      <alignment horizontal="centerContinuous"/>
    </xf>
    <xf numFmtId="219" fontId="10" fillId="2" borderId="0">
      <alignment horizontal="right"/>
    </xf>
    <xf numFmtId="220" fontId="10" fillId="2" borderId="8">
      <alignment horizontal="right"/>
    </xf>
    <xf numFmtId="221" fontId="12" fillId="0" borderId="0">
      <alignment horizontal="right"/>
      <protection locked="0"/>
    </xf>
    <xf numFmtId="201"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2" fontId="17" fillId="0" borderId="0" applyFill="0" applyBorder="0" applyAlignment="0" applyProtection="0">
      <protection locked="0"/>
    </xf>
    <xf numFmtId="222"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3" fontId="55" fillId="0" borderId="0" applyFill="0" applyBorder="0" applyProtection="0">
      <alignment horizontal="right" wrapText="1"/>
    </xf>
    <xf numFmtId="224" fontId="55" fillId="0" borderId="0" applyFill="0" applyBorder="0" applyProtection="0">
      <alignment horizontal="right"/>
    </xf>
    <xf numFmtId="4" fontId="25" fillId="0" borderId="0" applyFill="0" applyBorder="0" applyProtection="0">
      <alignment horizontal="right"/>
    </xf>
    <xf numFmtId="194" fontId="56" fillId="0" borderId="0" applyFill="0" applyBorder="0" applyAlignment="0" applyProtection="0"/>
    <xf numFmtId="225" fontId="57" fillId="0" borderId="0" applyFill="0" applyBorder="0" applyAlignment="0" applyProtection="0">
      <alignment horizontal="left"/>
      <protection locked="0"/>
    </xf>
    <xf numFmtId="225" fontId="57" fillId="0" borderId="0" applyFill="0" applyBorder="0" applyAlignment="0" applyProtection="0"/>
    <xf numFmtId="225" fontId="58" fillId="0" borderId="0" applyFill="0" applyBorder="0" applyAlignment="0" applyProtection="0">
      <alignment horizontal="left"/>
      <protection locked="0"/>
    </xf>
    <xf numFmtId="225" fontId="58" fillId="0" borderId="0" applyFill="0" applyBorder="0" applyAlignment="0" applyProtection="0">
      <protection locked="0"/>
    </xf>
    <xf numFmtId="201" fontId="17" fillId="0" borderId="0" applyFill="0" applyBorder="0" applyAlignment="0" applyProtection="0">
      <protection locked="0"/>
    </xf>
    <xf numFmtId="201" fontId="56" fillId="0" borderId="0" applyFill="0" applyBorder="0" applyAlignment="0" applyProtection="0"/>
    <xf numFmtId="49" fontId="59" fillId="0" borderId="0"/>
    <xf numFmtId="226" fontId="12" fillId="0" borderId="0" applyFont="0" applyFill="0" applyBorder="0" applyAlignment="0" applyProtection="0"/>
    <xf numFmtId="227"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1"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8" fontId="26" fillId="0" borderId="0" applyFont="0" applyFill="0" applyBorder="0" applyAlignment="0" applyProtection="0"/>
    <xf numFmtId="222" fontId="18" fillId="0" borderId="0" applyNumberFormat="0" applyFill="0" applyBorder="0" applyAlignment="0" applyProtection="0"/>
  </cellStyleXfs>
  <cellXfs count="215">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left" indent="2"/>
    </xf>
    <xf numFmtId="174" fontId="0" fillId="0" borderId="0" xfId="0" applyNumberFormat="1" applyFont="1"/>
    <xf numFmtId="0" fontId="68" fillId="0" borderId="0" xfId="0"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4"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169" fontId="69" fillId="0" borderId="0" xfId="0" applyNumberFormat="1" applyFont="1"/>
    <xf numFmtId="209"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09"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4" fontId="5" fillId="0" borderId="0" xfId="0" applyNumberFormat="1" applyFont="1"/>
    <xf numFmtId="0" fontId="68" fillId="0" borderId="0" xfId="0" applyFont="1" applyBorder="1" applyAlignment="1">
      <alignment horizontal="left" indent="1"/>
    </xf>
    <xf numFmtId="174" fontId="69" fillId="0" borderId="0" xfId="0" applyNumberFormat="1" applyFont="1"/>
    <xf numFmtId="0" fontId="1" fillId="0" borderId="2" xfId="0" applyFont="1" applyBorder="1" applyAlignment="1">
      <alignment horizontal="left"/>
    </xf>
    <xf numFmtId="209"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6" fillId="0" borderId="0" xfId="0" applyFont="1" applyBorder="1"/>
    <xf numFmtId="0" fontId="76" fillId="0" borderId="0" xfId="0" applyFont="1"/>
    <xf numFmtId="0" fontId="4" fillId="0" borderId="0" xfId="0" applyFont="1" applyBorder="1" applyAlignment="1">
      <alignment horizontal="center"/>
    </xf>
    <xf numFmtId="209" fontId="1" fillId="0" borderId="0" xfId="0" applyNumberFormat="1" applyFont="1" applyBorder="1"/>
    <xf numFmtId="37" fontId="5" fillId="0" borderId="0" xfId="0" applyNumberFormat="1" applyFont="1" applyFill="1" applyBorder="1" applyAlignment="1">
      <alignment horizontal="right"/>
    </xf>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7"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4"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8" fillId="0" borderId="0" xfId="0" applyFont="1" applyFill="1" applyBorder="1" applyAlignment="1">
      <alignment horizontal="left" indent="1"/>
    </xf>
    <xf numFmtId="174" fontId="4" fillId="0" borderId="0" xfId="0" applyNumberFormat="1" applyFont="1"/>
    <xf numFmtId="165" fontId="4" fillId="0" borderId="0" xfId="0" applyNumberFormat="1" applyFont="1"/>
    <xf numFmtId="173"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9" fontId="7" fillId="0" borderId="0" xfId="0" applyNumberFormat="1" applyFont="1"/>
    <xf numFmtId="209" fontId="7" fillId="0" borderId="0" xfId="0" applyNumberFormat="1" applyFont="1" applyFill="1" applyAlignment="1"/>
    <xf numFmtId="209" fontId="6" fillId="0" borderId="0" xfId="0" applyNumberFormat="1" applyFont="1" applyFill="1" applyBorder="1"/>
    <xf numFmtId="209" fontId="5" fillId="0" borderId="0" xfId="0" applyNumberFormat="1" applyFont="1" applyFill="1" applyBorder="1"/>
    <xf numFmtId="209" fontId="4" fillId="0" borderId="0" xfId="0" applyNumberFormat="1" applyFont="1" applyBorder="1"/>
    <xf numFmtId="209" fontId="6" fillId="0" borderId="0" xfId="0" applyNumberFormat="1" applyFont="1" applyBorder="1"/>
    <xf numFmtId="209" fontId="5" fillId="0" borderId="0" xfId="0" applyNumberFormat="1" applyFont="1"/>
    <xf numFmtId="209" fontId="6" fillId="0" borderId="0" xfId="0" applyNumberFormat="1" applyFont="1"/>
    <xf numFmtId="209" fontId="5" fillId="0" borderId="0" xfId="0" applyNumberFormat="1" applyFont="1" applyFill="1"/>
    <xf numFmtId="209" fontId="1" fillId="0" borderId="0" xfId="0" applyNumberFormat="1" applyFont="1"/>
    <xf numFmtId="209" fontId="4" fillId="0" borderId="0" xfId="0" applyNumberFormat="1" applyFont="1"/>
    <xf numFmtId="174"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5" fillId="0" borderId="0" xfId="0" applyFont="1" applyBorder="1" applyAlignment="1">
      <alignment horizontal="right"/>
    </xf>
    <xf numFmtId="37" fontId="79" fillId="0" borderId="0" xfId="0" applyNumberFormat="1" applyFont="1" applyFill="1" applyBorder="1"/>
    <xf numFmtId="231" fontId="5" fillId="0" borderId="0" xfId="0" applyNumberFormat="1" applyFont="1" applyFill="1" applyAlignment="1">
      <alignment horizontal="right"/>
    </xf>
    <xf numFmtId="169" fontId="69" fillId="0" borderId="0" xfId="0" applyNumberFormat="1" applyFont="1" applyAlignment="1">
      <alignment horizontal="right"/>
    </xf>
    <xf numFmtId="232" fontId="5" fillId="0" borderId="0" xfId="0" applyNumberFormat="1" applyFont="1" applyFill="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9" fontId="0" fillId="0" borderId="2" xfId="0" applyNumberFormat="1" applyFont="1" applyBorder="1"/>
    <xf numFmtId="165" fontId="0" fillId="0" borderId="0" xfId="0" applyNumberFormat="1" applyFont="1" applyFill="1" applyBorder="1"/>
    <xf numFmtId="174" fontId="0" fillId="0" borderId="0" xfId="0" applyNumberFormat="1" applyFont="1" applyFill="1" applyBorder="1"/>
    <xf numFmtId="229" fontId="5" fillId="0" borderId="0" xfId="0" applyNumberFormat="1" applyFont="1" applyBorder="1" applyAlignment="1">
      <alignment horizontal="right"/>
    </xf>
    <xf numFmtId="229" fontId="0" fillId="0" borderId="0" xfId="0" applyNumberFormat="1" applyFont="1" applyBorder="1" applyAlignment="1">
      <alignment horizontal="right"/>
    </xf>
    <xf numFmtId="209" fontId="71" fillId="0" borderId="0" xfId="0" applyNumberFormat="1" applyFont="1" applyBorder="1" applyAlignment="1">
      <alignment horizontal="right"/>
    </xf>
    <xf numFmtId="174" fontId="4" fillId="0" borderId="0" xfId="0" applyNumberFormat="1" applyFont="1" applyAlignment="1">
      <alignment horizontal="right"/>
    </xf>
    <xf numFmtId="234" fontId="1" fillId="0" borderId="0" xfId="0" applyNumberFormat="1" applyFont="1"/>
    <xf numFmtId="234" fontId="1" fillId="0" borderId="0" xfId="0" applyNumberFormat="1" applyFont="1" applyAlignment="1">
      <alignment horizontal="right"/>
    </xf>
    <xf numFmtId="209" fontId="4" fillId="0" borderId="0" xfId="0" applyNumberFormat="1" applyFont="1" applyBorder="1" applyAlignment="1">
      <alignment horizontal="right"/>
    </xf>
    <xf numFmtId="0" fontId="80" fillId="0" borderId="0" xfId="0" applyFont="1" applyAlignment="1">
      <alignment horizontal="right"/>
    </xf>
    <xf numFmtId="235" fontId="5" fillId="0" borderId="0" xfId="0" applyNumberFormat="1" applyFont="1"/>
    <xf numFmtId="209" fontId="0" fillId="0" borderId="23" xfId="0" applyNumberFormat="1" applyFont="1" applyBorder="1"/>
    <xf numFmtId="209" fontId="0" fillId="0" borderId="0" xfId="0" applyNumberFormat="1" applyFont="1" applyFill="1" applyBorder="1"/>
    <xf numFmtId="209" fontId="4" fillId="0" borderId="0" xfId="0" applyNumberFormat="1" applyFont="1" applyFill="1" applyBorder="1"/>
    <xf numFmtId="209" fontId="70" fillId="0" borderId="0" xfId="0" applyNumberFormat="1" applyFont="1" applyFill="1" applyBorder="1"/>
    <xf numFmtId="209" fontId="68" fillId="0" borderId="0" xfId="0" applyNumberFormat="1" applyFont="1" applyFill="1" applyBorder="1"/>
    <xf numFmtId="209" fontId="0" fillId="0" borderId="23" xfId="0" applyNumberFormat="1" applyFont="1" applyFill="1" applyBorder="1"/>
    <xf numFmtId="209" fontId="1" fillId="0" borderId="0" xfId="0" applyNumberFormat="1" applyFont="1" applyFill="1" applyBorder="1"/>
    <xf numFmtId="209" fontId="68" fillId="0" borderId="0" xfId="0" applyNumberFormat="1" applyFont="1" applyFill="1" applyBorder="1" applyAlignment="1">
      <alignment horizontal="right"/>
    </xf>
    <xf numFmtId="209" fontId="3" fillId="0" borderId="0" xfId="0" applyNumberFormat="1" applyFont="1" applyFill="1" applyBorder="1"/>
    <xf numFmtId="209" fontId="4" fillId="0" borderId="23" xfId="0" applyNumberFormat="1" applyFont="1" applyBorder="1"/>
    <xf numFmtId="39" fontId="6" fillId="0" borderId="0" xfId="0" applyNumberFormat="1" applyFont="1" applyBorder="1" applyAlignment="1">
      <alignment horizontal="right"/>
    </xf>
    <xf numFmtId="209" fontId="4" fillId="0" borderId="0" xfId="0" applyNumberFormat="1" applyFont="1" applyAlignment="1">
      <alignment horizontal="right"/>
    </xf>
    <xf numFmtId="209" fontId="7" fillId="0" borderId="0" xfId="0" applyNumberFormat="1" applyFont="1" applyBorder="1"/>
    <xf numFmtId="0" fontId="76" fillId="0" borderId="0" xfId="0" applyFont="1" applyAlignment="1">
      <alignment horizontal="right"/>
    </xf>
    <xf numFmtId="237"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 fontId="6" fillId="0" borderId="2" xfId="0" applyNumberFormat="1" applyFont="1" applyBorder="1"/>
    <xf numFmtId="0" fontId="1" fillId="0" borderId="2" xfId="0" applyFont="1" applyFill="1" applyBorder="1" applyAlignment="1">
      <alignment horizontal="left"/>
    </xf>
    <xf numFmtId="209" fontId="68" fillId="0" borderId="0" xfId="0" applyNumberFormat="1" applyFont="1" applyBorder="1"/>
    <xf numFmtId="209" fontId="1" fillId="0" borderId="0" xfId="0" applyNumberFormat="1" applyFont="1" applyBorder="1" applyAlignment="1">
      <alignment horizontal="right"/>
    </xf>
    <xf numFmtId="236" fontId="5" fillId="0" borderId="0" xfId="0" applyNumberFormat="1" applyFont="1" applyFill="1"/>
    <xf numFmtId="230" fontId="82" fillId="0" borderId="0" xfId="186" applyNumberFormat="1" applyFont="1" applyBorder="1" applyAlignment="1" applyProtection="1">
      <alignment horizontal="center"/>
    </xf>
    <xf numFmtId="230" fontId="69" fillId="0" borderId="0" xfId="186" applyNumberFormat="1" applyFont="1" applyBorder="1" applyAlignment="1" applyProtection="1">
      <alignment horizontal="center"/>
    </xf>
    <xf numFmtId="230" fontId="79" fillId="0" borderId="0" xfId="186" applyNumberFormat="1" applyFont="1" applyBorder="1" applyAlignment="1" applyProtection="1">
      <alignment horizontal="center"/>
      <protection locked="0"/>
    </xf>
    <xf numFmtId="230" fontId="79" fillId="0" borderId="0" xfId="186" applyNumberFormat="1" applyFont="1" applyFill="1" applyBorder="1" applyAlignment="1" applyProtection="1">
      <alignment horizontal="center"/>
      <protection locked="0"/>
    </xf>
    <xf numFmtId="230" fontId="83" fillId="0" borderId="0" xfId="186" applyNumberFormat="1" applyFont="1" applyBorder="1" applyAlignment="1" applyProtection="1">
      <alignment horizontal="center"/>
    </xf>
    <xf numFmtId="209"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4" fontId="7" fillId="31" borderId="23" xfId="0" applyNumberFormat="1" applyFont="1" applyFill="1" applyBorder="1" applyAlignment="1">
      <alignment horizontal="center"/>
    </xf>
    <xf numFmtId="229" fontId="80" fillId="0" borderId="0" xfId="0" applyNumberFormat="1" applyFont="1" applyFill="1" applyBorder="1" applyAlignment="1">
      <alignment horizontal="center"/>
    </xf>
    <xf numFmtId="229"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9" fontId="4" fillId="0" borderId="21" xfId="0" applyNumberFormat="1" applyFont="1" applyBorder="1" applyAlignment="1">
      <alignment horizontal="center"/>
    </xf>
    <xf numFmtId="209" fontId="1" fillId="0" borderId="21" xfId="0" applyNumberFormat="1" applyFont="1" applyBorder="1" applyAlignment="1">
      <alignment horizontal="center"/>
    </xf>
    <xf numFmtId="165" fontId="71" fillId="0" borderId="21" xfId="0" applyNumberFormat="1" applyFont="1" applyFill="1" applyBorder="1" applyAlignment="1">
      <alignment horizontal="center"/>
    </xf>
    <xf numFmtId="165" fontId="0" fillId="0" borderId="24" xfId="0" applyNumberFormat="1" applyFont="1" applyBorder="1" applyAlignment="1">
      <alignment horizontal="center"/>
    </xf>
    <xf numFmtId="174" fontId="0" fillId="0" borderId="22" xfId="0" applyNumberFormat="1" applyFont="1" applyFill="1" applyBorder="1" applyAlignment="1">
      <alignment horizontal="center"/>
    </xf>
    <xf numFmtId="233"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9" fontId="4" fillId="0" borderId="2" xfId="0" applyNumberFormat="1" applyFont="1" applyBorder="1"/>
    <xf numFmtId="209" fontId="0" fillId="0" borderId="0" xfId="0" applyNumberFormat="1" applyFont="1" applyFill="1"/>
    <xf numFmtId="229" fontId="5" fillId="0" borderId="0" xfId="0" applyNumberFormat="1" applyFont="1" applyFill="1"/>
    <xf numFmtId="0" fontId="0" fillId="0" borderId="0" xfId="0" applyNumberFormat="1" applyFont="1"/>
    <xf numFmtId="209" fontId="0" fillId="32" borderId="0" xfId="0" applyNumberFormat="1" applyFont="1" applyFill="1" applyBorder="1"/>
    <xf numFmtId="209" fontId="0" fillId="32"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09"/>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118</v>
      </c>
      <c r="C5" s="17"/>
      <c r="D5" s="17"/>
      <c r="E5" s="13"/>
      <c r="F5" s="93" t="s">
        <v>119</v>
      </c>
      <c r="G5" s="17"/>
      <c r="H5" s="17"/>
      <c r="I5" s="17"/>
      <c r="J5" s="17"/>
    </row>
    <row r="6" spans="2:10">
      <c r="B6" s="98" t="s">
        <v>1</v>
      </c>
      <c r="D6" s="3" t="s">
        <v>144</v>
      </c>
      <c r="E6" s="13"/>
    </row>
    <row r="7" spans="2:10">
      <c r="B7" s="98" t="s">
        <v>116</v>
      </c>
      <c r="D7" s="3" t="s">
        <v>144</v>
      </c>
      <c r="E7" s="13"/>
      <c r="F7" s="63" t="s">
        <v>171</v>
      </c>
      <c r="H7" s="197">
        <v>2</v>
      </c>
      <c r="I7" s="156">
        <v>1</v>
      </c>
      <c r="J7" s="157">
        <v>2</v>
      </c>
    </row>
    <row r="8" spans="2:10">
      <c r="B8" s="79" t="s">
        <v>117</v>
      </c>
      <c r="D8" s="75">
        <v>45.42</v>
      </c>
      <c r="E8" s="13"/>
      <c r="H8" s="198" t="str">
        <f>CHOOSE($H$7,I8,J8)</f>
        <v>Explicit offer/share</v>
      </c>
      <c r="I8" s="159" t="s">
        <v>173</v>
      </c>
      <c r="J8" s="159" t="s">
        <v>174</v>
      </c>
    </row>
    <row r="9" spans="2:10">
      <c r="B9" s="98" t="s">
        <v>170</v>
      </c>
      <c r="D9" s="5">
        <v>41400</v>
      </c>
      <c r="E9" s="13"/>
      <c r="H9" s="13"/>
    </row>
    <row r="10" spans="2:10">
      <c r="B10" s="79" t="s">
        <v>2</v>
      </c>
      <c r="D10" s="7" t="s">
        <v>3</v>
      </c>
      <c r="E10" s="13"/>
      <c r="F10" s="6" t="s">
        <v>66</v>
      </c>
      <c r="H10" s="205">
        <f>$D$13</f>
        <v>882.70000000000027</v>
      </c>
      <c r="I10" s="147">
        <f>$D$13</f>
        <v>882.70000000000027</v>
      </c>
      <c r="J10" s="147">
        <f>$D$13</f>
        <v>882.70000000000027</v>
      </c>
    </row>
    <row r="11" spans="2:10">
      <c r="E11" s="13"/>
      <c r="F11" s="6" t="s">
        <v>113</v>
      </c>
      <c r="H11" s="199">
        <f>CHOOSE($H$7,I11,J11)</f>
        <v>7.3252818058230416</v>
      </c>
      <c r="I11" s="152">
        <v>8</v>
      </c>
      <c r="J11" s="153">
        <f>J12/J10</f>
        <v>7.3252818058230416</v>
      </c>
    </row>
    <row r="12" spans="2:10">
      <c r="B12" s="15" t="s">
        <v>188</v>
      </c>
      <c r="C12" s="17"/>
      <c r="D12" s="15"/>
      <c r="E12" s="13"/>
      <c r="F12" s="4" t="s">
        <v>54</v>
      </c>
      <c r="H12" s="200">
        <f>D13*H11</f>
        <v>6466.0262500000008</v>
      </c>
      <c r="I12" s="187">
        <f>I10*I11</f>
        <v>7061.6000000000022</v>
      </c>
      <c r="J12" s="187">
        <f>J17-J14-J15</f>
        <v>6466.0262500000008</v>
      </c>
    </row>
    <row r="13" spans="2:10">
      <c r="B13" s="79" t="s">
        <v>186</v>
      </c>
      <c r="D13" s="150">
        <f>E60</f>
        <v>882.70000000000027</v>
      </c>
      <c r="E13" s="13"/>
      <c r="H13" s="201"/>
    </row>
    <row r="14" spans="2:10">
      <c r="B14" s="79" t="s">
        <v>194</v>
      </c>
      <c r="D14" s="122">
        <v>-1306</v>
      </c>
      <c r="E14" s="13"/>
      <c r="F14" s="79" t="s">
        <v>168</v>
      </c>
      <c r="H14" s="202">
        <f>$D$14</f>
        <v>-1306</v>
      </c>
      <c r="I14" s="158">
        <f>$D$14</f>
        <v>-1306</v>
      </c>
      <c r="J14" s="158">
        <f>$D$14</f>
        <v>-1306</v>
      </c>
    </row>
    <row r="15" spans="2:10">
      <c r="B15" s="79" t="s">
        <v>46</v>
      </c>
      <c r="D15" s="122">
        <v>1581.9</v>
      </c>
      <c r="E15" s="13"/>
      <c r="F15" s="79" t="s">
        <v>166</v>
      </c>
      <c r="H15" s="202">
        <f>$D$15</f>
        <v>1581.9</v>
      </c>
      <c r="I15" s="158">
        <f>$D$15</f>
        <v>1581.9</v>
      </c>
      <c r="J15" s="158">
        <f>$D$15</f>
        <v>1581.9</v>
      </c>
    </row>
    <row r="16" spans="2:10">
      <c r="B16" s="36" t="s">
        <v>187</v>
      </c>
      <c r="D16" s="103">
        <v>180</v>
      </c>
      <c r="E16" s="13"/>
      <c r="H16" s="201"/>
    </row>
    <row r="17" spans="2:18">
      <c r="B17" s="79" t="s">
        <v>172</v>
      </c>
      <c r="D17" s="211">
        <v>7.3</v>
      </c>
      <c r="E17" s="13"/>
      <c r="F17" s="4" t="s">
        <v>67</v>
      </c>
      <c r="H17" s="203">
        <f>H12+SUM(H14:H15)</f>
        <v>6741.9262500000004</v>
      </c>
      <c r="I17" s="187">
        <f>I12+SUM(I14:I15)</f>
        <v>7337.5000000000018</v>
      </c>
      <c r="J17" s="187">
        <f>J18*J20</f>
        <v>6741.9262500000004</v>
      </c>
    </row>
    <row r="18" spans="2:18">
      <c r="C18" s="139"/>
      <c r="F18" s="10" t="s">
        <v>18</v>
      </c>
      <c r="H18" s="204">
        <f>Shares!$E$14</f>
        <v>145.77137837837839</v>
      </c>
      <c r="I18" s="154">
        <f>Shares!$E$14</f>
        <v>145.77137837837839</v>
      </c>
      <c r="J18" s="154">
        <f>Shares!$E$14</f>
        <v>145.77137837837839</v>
      </c>
      <c r="K18" s="155"/>
      <c r="L18" s="155"/>
    </row>
    <row r="19" spans="2:18">
      <c r="B19" s="93" t="s">
        <v>137</v>
      </c>
      <c r="C19" s="17"/>
      <c r="D19" s="17"/>
      <c r="H19" s="201"/>
      <c r="K19" s="155"/>
      <c r="L19" s="155"/>
    </row>
    <row r="20" spans="2:18">
      <c r="B20" s="34" t="s">
        <v>68</v>
      </c>
      <c r="D20" s="81">
        <f>H17</f>
        <v>6741.9262500000004</v>
      </c>
      <c r="F20" s="4" t="s">
        <v>114</v>
      </c>
      <c r="H20" s="207">
        <f>H17/H18</f>
        <v>46.25</v>
      </c>
      <c r="I20" s="171">
        <f>I17/I18</f>
        <v>50.335670017155714</v>
      </c>
      <c r="J20" s="208">
        <v>46.25</v>
      </c>
      <c r="K20" s="155"/>
      <c r="L20" s="155"/>
    </row>
    <row r="21" spans="2:18">
      <c r="B21" s="34" t="s">
        <v>70</v>
      </c>
      <c r="D21" s="81">
        <f>-(D14)</f>
        <v>1306</v>
      </c>
      <c r="F21" s="97" t="s">
        <v>115</v>
      </c>
      <c r="H21" s="206">
        <f>H20/$D$8-1</f>
        <v>1.8273888154997753E-2</v>
      </c>
      <c r="I21" s="155">
        <f>I20/$D$8-1</f>
        <v>0.10822699289202364</v>
      </c>
      <c r="J21" s="155">
        <f>J20/$D$8-1</f>
        <v>1.8273888154997753E-2</v>
      </c>
      <c r="K21" s="155"/>
      <c r="L21" s="155"/>
    </row>
    <row r="22" spans="2:18">
      <c r="B22" s="34" t="s">
        <v>193</v>
      </c>
      <c r="D22" s="209">
        <f>H36+H33</f>
        <v>204.52769000000004</v>
      </c>
      <c r="H22" s="97"/>
      <c r="J22" s="151"/>
      <c r="K22" s="155"/>
      <c r="L22" s="155"/>
    </row>
    <row r="23" spans="2:18">
      <c r="B23" s="26" t="s">
        <v>72</v>
      </c>
      <c r="D23" s="102">
        <f>SUM(D20:D22)</f>
        <v>8252.4539400000012</v>
      </c>
      <c r="H23" s="97"/>
      <c r="J23" s="151"/>
      <c r="K23" s="155"/>
      <c r="L23" s="155"/>
    </row>
    <row r="24" spans="2:18">
      <c r="C24" s="139"/>
      <c r="H24" s="97"/>
      <c r="J24" s="151"/>
      <c r="K24" s="155"/>
      <c r="L24" s="155"/>
    </row>
    <row r="25" spans="2:18">
      <c r="B25" s="93" t="s">
        <v>136</v>
      </c>
      <c r="C25" s="17"/>
      <c r="D25" s="17"/>
      <c r="E25" s="13"/>
      <c r="F25" s="15" t="s">
        <v>189</v>
      </c>
      <c r="G25" s="17"/>
      <c r="H25" s="17"/>
      <c r="I25" s="17"/>
      <c r="J25" s="17"/>
    </row>
    <row r="26" spans="2:18" ht="16.5">
      <c r="C26" s="99" t="s">
        <v>122</v>
      </c>
      <c r="D26" s="100" t="s">
        <v>123</v>
      </c>
      <c r="G26" s="174" t="s">
        <v>180</v>
      </c>
      <c r="H26" s="174" t="s">
        <v>191</v>
      </c>
      <c r="I26" s="174" t="s">
        <v>179</v>
      </c>
      <c r="J26" s="174" t="s">
        <v>182</v>
      </c>
    </row>
    <row r="27" spans="2:18">
      <c r="B27" s="79" t="s">
        <v>69</v>
      </c>
      <c r="C27" s="189">
        <f>D27/$D$13</f>
        <v>1.5881953098447941</v>
      </c>
      <c r="D27" s="78">
        <f>MAX(0,D15-D16)</f>
        <v>1401.9</v>
      </c>
      <c r="F27" s="63" t="s">
        <v>178</v>
      </c>
    </row>
    <row r="28" spans="2:18">
      <c r="B28" s="79" t="s">
        <v>28</v>
      </c>
      <c r="C28" s="190">
        <v>0</v>
      </c>
      <c r="D28" s="81">
        <f t="shared" ref="D28:D34" si="0">$D$13*C28</f>
        <v>0</v>
      </c>
      <c r="F28" s="36" t="str">
        <f>B28</f>
        <v>Revolver</v>
      </c>
      <c r="G28" s="136">
        <v>0.01</v>
      </c>
      <c r="H28" s="78">
        <f>D28*G28</f>
        <v>0</v>
      </c>
      <c r="I28" s="188">
        <v>5</v>
      </c>
      <c r="J28" s="172">
        <f>IFERROR(G28*D28/I28, "NM")</f>
        <v>0</v>
      </c>
    </row>
    <row r="29" spans="2:18">
      <c r="B29" s="31" t="s">
        <v>83</v>
      </c>
      <c r="C29" s="191">
        <v>3.27</v>
      </c>
      <c r="D29" s="81">
        <f t="shared" si="0"/>
        <v>2886.429000000001</v>
      </c>
      <c r="F29" s="36" t="str">
        <f>B29</f>
        <v>Term Loan A</v>
      </c>
      <c r="G29" s="136">
        <v>1.4999999999999999E-2</v>
      </c>
      <c r="H29" s="78">
        <f>D29*G29</f>
        <v>43.296435000000017</v>
      </c>
      <c r="I29" s="188">
        <v>7</v>
      </c>
      <c r="J29" s="172">
        <f>IFERROR(G29*D29/I29, "NM")</f>
        <v>6.1852050000000025</v>
      </c>
    </row>
    <row r="30" spans="2:18">
      <c r="B30" s="31" t="s">
        <v>84</v>
      </c>
      <c r="C30" s="191">
        <v>0.76</v>
      </c>
      <c r="D30" s="81">
        <f t="shared" si="0"/>
        <v>670.8520000000002</v>
      </c>
      <c r="F30" s="36" t="str">
        <f>B30</f>
        <v>Term Loan B</v>
      </c>
      <c r="G30" s="136">
        <v>1.4999999999999999E-2</v>
      </c>
      <c r="H30" s="78">
        <f>D30*G30</f>
        <v>10.062780000000002</v>
      </c>
      <c r="I30" s="188">
        <v>7</v>
      </c>
      <c r="J30" s="172">
        <f>IFERROR(G30*D30/I30, "NM")</f>
        <v>1.4375400000000003</v>
      </c>
      <c r="P30" s="26"/>
      <c r="R30" s="102"/>
    </row>
    <row r="31" spans="2:18">
      <c r="B31" s="31" t="s">
        <v>85</v>
      </c>
      <c r="C31" s="191">
        <v>1.85</v>
      </c>
      <c r="D31" s="81">
        <f t="shared" si="0"/>
        <v>1632.9950000000006</v>
      </c>
      <c r="F31" s="36" t="str">
        <f>B31</f>
        <v>Senior Note</v>
      </c>
      <c r="G31" s="136">
        <v>0.01</v>
      </c>
      <c r="H31" s="78">
        <f>D31*G31</f>
        <v>16.329950000000007</v>
      </c>
      <c r="I31" s="188">
        <v>8</v>
      </c>
      <c r="J31" s="172">
        <f>IFERROR(G31*D31/I31, "NM")</f>
        <v>2.0412437500000009</v>
      </c>
      <c r="P31" s="26"/>
      <c r="R31" s="102"/>
    </row>
    <row r="32" spans="2:18">
      <c r="B32" s="31" t="s">
        <v>86</v>
      </c>
      <c r="C32" s="191">
        <v>0</v>
      </c>
      <c r="D32" s="81">
        <f t="shared" si="0"/>
        <v>0</v>
      </c>
      <c r="F32" s="36" t="str">
        <f>B32</f>
        <v>Sub Note</v>
      </c>
      <c r="G32" s="136">
        <v>0</v>
      </c>
      <c r="H32" s="149">
        <f>D32*G32</f>
        <v>0</v>
      </c>
      <c r="I32" s="188">
        <v>0</v>
      </c>
      <c r="J32" s="194" t="str">
        <f>IFERROR(G32*D32/I32, "NM")</f>
        <v>NM</v>
      </c>
      <c r="P32" s="26"/>
      <c r="R32" s="102"/>
    </row>
    <row r="33" spans="1:18">
      <c r="B33" s="31" t="s">
        <v>109</v>
      </c>
      <c r="C33" s="191">
        <v>0</v>
      </c>
      <c r="D33" s="81">
        <f t="shared" si="0"/>
        <v>0</v>
      </c>
      <c r="F33" s="195" t="s">
        <v>178</v>
      </c>
      <c r="H33" s="133">
        <f>SUM(H28:H32)</f>
        <v>69.689165000000031</v>
      </c>
      <c r="I33" s="66"/>
      <c r="J33" s="78">
        <f>SUM(J28:J32)</f>
        <v>9.6639887500000032</v>
      </c>
      <c r="P33" s="26"/>
      <c r="R33" s="102"/>
    </row>
    <row r="34" spans="1:18">
      <c r="B34" s="34" t="s">
        <v>139</v>
      </c>
      <c r="C34" s="192">
        <v>0</v>
      </c>
      <c r="D34" s="162">
        <f t="shared" si="0"/>
        <v>0</v>
      </c>
      <c r="H34" s="133"/>
      <c r="P34" s="26"/>
      <c r="R34" s="102"/>
    </row>
    <row r="35" spans="1:18" ht="16.5">
      <c r="B35" s="31" t="s">
        <v>71</v>
      </c>
      <c r="C35" s="189">
        <f>D35/$D$13</f>
        <v>1.8809085079868568</v>
      </c>
      <c r="D35" s="149">
        <f>D23-SUM(D27:D34)</f>
        <v>1660.277939999999</v>
      </c>
      <c r="F35" s="36"/>
      <c r="G35" s="174" t="s">
        <v>190</v>
      </c>
      <c r="H35" s="174" t="s">
        <v>191</v>
      </c>
      <c r="P35" s="26"/>
      <c r="R35" s="102"/>
    </row>
    <row r="36" spans="1:18">
      <c r="B36" s="46" t="s">
        <v>124</v>
      </c>
      <c r="C36" s="193">
        <f>SUM(C27:C35)</f>
        <v>9.3491038178316508</v>
      </c>
      <c r="D36" s="167">
        <f>SUM(D27:D35)</f>
        <v>8252.4539400000012</v>
      </c>
      <c r="F36" s="195" t="s">
        <v>192</v>
      </c>
      <c r="G36" s="196">
        <v>0.02</v>
      </c>
      <c r="H36" s="133">
        <f>G36*H17</f>
        <v>134.838525</v>
      </c>
    </row>
    <row r="37" spans="1:18">
      <c r="E37" s="13"/>
      <c r="K37" s="13"/>
    </row>
    <row r="38" spans="1:18">
      <c r="A38" s="10" t="s">
        <v>53</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27">
        <v>2065.3000000000002</v>
      </c>
      <c r="D42" s="127">
        <v>2172</v>
      </c>
      <c r="E42" s="127">
        <v>2201.4</v>
      </c>
      <c r="F42" s="128">
        <f>E42*(1+F63)</f>
        <v>2278.4490000000001</v>
      </c>
      <c r="G42" s="128">
        <f>F42*(1+G63)</f>
        <v>2403.7636950000001</v>
      </c>
      <c r="H42" s="128">
        <f>G42*(1+H63)</f>
        <v>2547.9895167000004</v>
      </c>
      <c r="I42" s="128">
        <f>H42*(1+I63)</f>
        <v>2675.3889925350004</v>
      </c>
      <c r="J42" s="128">
        <f>I42*(1+J63)</f>
        <v>2803.8076641766806</v>
      </c>
    </row>
    <row r="43" spans="1:18">
      <c r="B43" s="13" t="s">
        <v>8</v>
      </c>
      <c r="C43" s="127">
        <f>-(129.8+169.4+186)</f>
        <v>-485.20000000000005</v>
      </c>
      <c r="D43" s="127">
        <f>-(158.4+198.5+212)</f>
        <v>-568.9</v>
      </c>
      <c r="E43" s="127">
        <f>-(159.6+208.4+224)</f>
        <v>-592</v>
      </c>
      <c r="F43" s="128">
        <f>F44-F42</f>
        <v>-581.59219970234994</v>
      </c>
      <c r="G43" s="128">
        <f>G44-G42</f>
        <v>-601.56095221097917</v>
      </c>
      <c r="H43" s="128">
        <f>H44-H42</f>
        <v>-624.91466176013796</v>
      </c>
      <c r="I43" s="128">
        <f>I44-I42</f>
        <v>-642.78344988546974</v>
      </c>
      <c r="J43" s="128">
        <f>J44-J42</f>
        <v>-659.61801715908905</v>
      </c>
    </row>
    <row r="44" spans="1:18">
      <c r="B44" s="26" t="s">
        <v>9</v>
      </c>
      <c r="C44" s="126">
        <f>SUM(C42:C43)</f>
        <v>1580.1000000000001</v>
      </c>
      <c r="D44" s="126">
        <f>SUM(D42:D43)</f>
        <v>1603.1</v>
      </c>
      <c r="E44" s="126">
        <f>SUM(E42:E43)</f>
        <v>1609.4</v>
      </c>
      <c r="F44" s="126">
        <f>F42*F64</f>
        <v>1696.8568002976501</v>
      </c>
      <c r="G44" s="126">
        <f>G42*G64</f>
        <v>1802.2027427890209</v>
      </c>
      <c r="H44" s="126">
        <f>H42*H64</f>
        <v>1923.0748549398625</v>
      </c>
      <c r="I44" s="126">
        <f>I42*I64</f>
        <v>2032.6055426495307</v>
      </c>
      <c r="J44" s="126">
        <f>J42*J64</f>
        <v>2144.1896470175916</v>
      </c>
    </row>
    <row r="45" spans="1:18">
      <c r="B45" s="27" t="s">
        <v>10</v>
      </c>
      <c r="C45" s="127">
        <v>-181.6</v>
      </c>
      <c r="D45" s="127">
        <v>-165.2</v>
      </c>
      <c r="E45" s="127">
        <v>-174.6</v>
      </c>
      <c r="F45" s="128">
        <f>-(F65*F42)</f>
        <v>-184.78313334862591</v>
      </c>
      <c r="G45" s="128">
        <f>-(G65*G42)</f>
        <v>-194.94620568280035</v>
      </c>
      <c r="H45" s="128">
        <f>-(H65*H42)</f>
        <v>-206.64297802376839</v>
      </c>
      <c r="I45" s="128">
        <f>-(I65*I42)</f>
        <v>-216.97512692495681</v>
      </c>
      <c r="J45" s="128">
        <f>-(J65*J42)</f>
        <v>-227.38993301735476</v>
      </c>
    </row>
    <row r="46" spans="1:18">
      <c r="B46" s="27" t="s">
        <v>11</v>
      </c>
      <c r="C46" s="127">
        <f>-(611.4+220.7+33.6)</f>
        <v>-865.69999999999993</v>
      </c>
      <c r="D46" s="127">
        <f>-(634+217.9+42.1)</f>
        <v>-894</v>
      </c>
      <c r="E46" s="127">
        <f>-(686.9+238.7+43.8)</f>
        <v>-969.39999999999986</v>
      </c>
      <c r="F46" s="128">
        <f>-F66*F42</f>
        <v>-965.39603068528015</v>
      </c>
      <c r="G46" s="128">
        <f>-G66*G42</f>
        <v>-994.45517542297057</v>
      </c>
      <c r="H46" s="128">
        <f>-H66*H42</f>
        <v>-1028.6425907813489</v>
      </c>
      <c r="I46" s="128">
        <f>-I66*I42</f>
        <v>-1053.3208303950664</v>
      </c>
      <c r="J46" s="128">
        <f>-J66*J42</f>
        <v>-1075.8421536122628</v>
      </c>
    </row>
    <row r="47" spans="1:18">
      <c r="B47" s="26" t="s">
        <v>12</v>
      </c>
      <c r="C47" s="126">
        <f t="shared" ref="C47:J47" si="1">SUM(C44:C46)</f>
        <v>532.8000000000003</v>
      </c>
      <c r="D47" s="126">
        <f t="shared" si="1"/>
        <v>543.89999999999986</v>
      </c>
      <c r="E47" s="126">
        <f t="shared" si="1"/>
        <v>465.40000000000032</v>
      </c>
      <c r="F47" s="126">
        <f t="shared" si="1"/>
        <v>546.67763626374415</v>
      </c>
      <c r="G47" s="126">
        <f t="shared" si="1"/>
        <v>612.80136168324998</v>
      </c>
      <c r="H47" s="126">
        <f t="shared" si="1"/>
        <v>687.78928613474523</v>
      </c>
      <c r="I47" s="126">
        <f t="shared" si="1"/>
        <v>762.3095853295074</v>
      </c>
      <c r="J47" s="126">
        <f t="shared" si="1"/>
        <v>840.95756038797413</v>
      </c>
      <c r="K47" s="42"/>
    </row>
    <row r="48" spans="1:18">
      <c r="B48" s="13" t="s">
        <v>13</v>
      </c>
      <c r="C48" s="127">
        <v>15</v>
      </c>
      <c r="D48" s="127">
        <v>10.6</v>
      </c>
      <c r="E48" s="127">
        <v>8.3000000000000007</v>
      </c>
      <c r="F48" s="81">
        <f ca="1">F142</f>
        <v>0.92867132867132884</v>
      </c>
      <c r="G48" s="81">
        <f ca="1">G142</f>
        <v>0.92867132867132884</v>
      </c>
      <c r="H48" s="81">
        <f ca="1">H142</f>
        <v>0.92867132867132884</v>
      </c>
      <c r="I48" s="81">
        <f ca="1">I142</f>
        <v>0.92867132867132884</v>
      </c>
      <c r="J48" s="81">
        <f ca="1">J142</f>
        <v>1.9053361400332853</v>
      </c>
    </row>
    <row r="49" spans="2:11">
      <c r="B49" s="13" t="s">
        <v>14</v>
      </c>
      <c r="C49" s="127">
        <v>-19.8</v>
      </c>
      <c r="D49" s="127">
        <v>-23.3</v>
      </c>
      <c r="E49" s="127">
        <v>-47.8</v>
      </c>
      <c r="F49" s="81">
        <f>-(SUM(F203:F208))</f>
        <v>0</v>
      </c>
      <c r="G49" s="81">
        <f t="shared" ref="G49" si="2">-(SUM(G203:G208))</f>
        <v>0</v>
      </c>
      <c r="H49" s="81">
        <f>-(SUM(H203:H208))</f>
        <v>0</v>
      </c>
      <c r="I49" s="81">
        <f>-(SUM(I203:I208))</f>
        <v>0</v>
      </c>
      <c r="J49" s="81">
        <f>-(SUM(J203:J208))</f>
        <v>0</v>
      </c>
    </row>
    <row r="50" spans="2:11">
      <c r="B50" s="27" t="s">
        <v>145</v>
      </c>
      <c r="C50" s="127">
        <v>3.3</v>
      </c>
      <c r="D50" s="127">
        <v>-1.2</v>
      </c>
      <c r="E50" s="127">
        <v>2</v>
      </c>
      <c r="F50" s="81">
        <v>0</v>
      </c>
      <c r="G50" s="81">
        <v>0</v>
      </c>
      <c r="H50" s="81">
        <v>0</v>
      </c>
      <c r="I50" s="81">
        <v>0</v>
      </c>
      <c r="J50" s="81">
        <v>0</v>
      </c>
    </row>
    <row r="51" spans="2:11">
      <c r="B51" s="26" t="s">
        <v>15</v>
      </c>
      <c r="C51" s="126">
        <f t="shared" ref="C51:J51" si="3">SUM(C47:C50)</f>
        <v>531.3000000000003</v>
      </c>
      <c r="D51" s="126">
        <f t="shared" si="3"/>
        <v>529.99999999999989</v>
      </c>
      <c r="E51" s="126">
        <f t="shared" si="3"/>
        <v>427.90000000000032</v>
      </c>
      <c r="F51" s="126">
        <f ca="1">SUM(F47:F50)</f>
        <v>547.60630759241553</v>
      </c>
      <c r="G51" s="126">
        <f t="shared" ca="1" si="3"/>
        <v>613.73003301192136</v>
      </c>
      <c r="H51" s="126">
        <f t="shared" ca="1" si="3"/>
        <v>688.71795746341661</v>
      </c>
      <c r="I51" s="126">
        <f t="shared" ca="1" si="3"/>
        <v>763.23825665817878</v>
      </c>
      <c r="J51" s="126">
        <f t="shared" ca="1" si="3"/>
        <v>842.86289652800747</v>
      </c>
    </row>
    <row r="52" spans="2:11">
      <c r="B52" s="13" t="s">
        <v>16</v>
      </c>
      <c r="C52" s="127">
        <v>-75.099999999999994</v>
      </c>
      <c r="D52" s="127">
        <v>-129</v>
      </c>
      <c r="E52" s="127">
        <v>-96.9</v>
      </c>
      <c r="F52" s="128">
        <f ca="1">-F67*F51</f>
        <v>-124.00806544918213</v>
      </c>
      <c r="G52" s="128">
        <f ca="1">-G67*G51</f>
        <v>-138.98209908589658</v>
      </c>
      <c r="H52" s="128">
        <f ca="1">-H67*H51</f>
        <v>-155.96347295677734</v>
      </c>
      <c r="I52" s="128">
        <f ca="1">-I67*I51</f>
        <v>-172.8389508534178</v>
      </c>
      <c r="J52" s="128">
        <f ca="1">-J67*J51</f>
        <v>-190.87033109035727</v>
      </c>
    </row>
    <row r="53" spans="2:11">
      <c r="B53" s="26" t="s">
        <v>17</v>
      </c>
      <c r="C53" s="129">
        <f t="shared" ref="C53:J53" si="4">SUM(C51:C52)</f>
        <v>456.20000000000027</v>
      </c>
      <c r="D53" s="129">
        <f t="shared" si="4"/>
        <v>400.99999999999989</v>
      </c>
      <c r="E53" s="129">
        <f t="shared" si="4"/>
        <v>331.00000000000034</v>
      </c>
      <c r="F53" s="129">
        <f t="shared" ca="1" si="4"/>
        <v>423.59824214323339</v>
      </c>
      <c r="G53" s="129">
        <f t="shared" ca="1" si="4"/>
        <v>474.74793392602476</v>
      </c>
      <c r="H53" s="129">
        <f t="shared" ca="1" si="4"/>
        <v>532.7544845066393</v>
      </c>
      <c r="I53" s="129">
        <f t="shared" ca="1" si="4"/>
        <v>590.39930580476096</v>
      </c>
      <c r="J53" s="129">
        <f t="shared" ca="1" si="4"/>
        <v>651.99256543765023</v>
      </c>
    </row>
    <row r="54" spans="2:11">
      <c r="C54" s="42"/>
      <c r="D54" s="42"/>
      <c r="E54" s="42"/>
      <c r="F54" s="212"/>
      <c r="G54" s="42"/>
      <c r="H54" s="42"/>
      <c r="I54" s="42"/>
      <c r="J54" s="42"/>
    </row>
    <row r="55" spans="2:11">
      <c r="B55" s="35" t="s">
        <v>150</v>
      </c>
      <c r="C55" s="42"/>
      <c r="D55" s="42"/>
      <c r="E55" s="42"/>
      <c r="F55" s="42"/>
      <c r="G55" s="42"/>
      <c r="H55" s="42"/>
      <c r="I55" s="42"/>
      <c r="J55" s="42"/>
    </row>
    <row r="56" spans="2:11">
      <c r="B56" s="55" t="s">
        <v>149</v>
      </c>
      <c r="C56" s="78">
        <f t="shared" ref="C56:J56" si="5">C47</f>
        <v>532.8000000000003</v>
      </c>
      <c r="D56" s="78">
        <f t="shared" si="5"/>
        <v>543.89999999999986</v>
      </c>
      <c r="E56" s="78">
        <f t="shared" si="5"/>
        <v>465.40000000000032</v>
      </c>
      <c r="F56" s="78">
        <f t="shared" si="5"/>
        <v>546.67763626374415</v>
      </c>
      <c r="G56" s="78">
        <f t="shared" si="5"/>
        <v>612.80136168324998</v>
      </c>
      <c r="H56" s="78">
        <f t="shared" si="5"/>
        <v>687.78928613474523</v>
      </c>
      <c r="I56" s="78">
        <f t="shared" si="5"/>
        <v>762.3095853295074</v>
      </c>
      <c r="J56" s="78">
        <f t="shared" si="5"/>
        <v>840.95756038797413</v>
      </c>
    </row>
    <row r="57" spans="2:11">
      <c r="B57" s="36" t="s">
        <v>36</v>
      </c>
      <c r="C57" s="132">
        <v>190</v>
      </c>
      <c r="D57" s="132">
        <f>224.6</f>
        <v>224.6</v>
      </c>
      <c r="E57" s="132">
        <f>229</f>
        <v>229</v>
      </c>
      <c r="F57" s="78">
        <f>-(F97+F91+F103)</f>
        <v>223.94686822877298</v>
      </c>
      <c r="G57" s="78">
        <f>-(G97+G91+G103)</f>
        <v>220.60103174603177</v>
      </c>
      <c r="H57" s="78">
        <f>-(H97+H91+H103)</f>
        <v>222.40078105316201</v>
      </c>
      <c r="I57" s="78">
        <f>-(I97+I91+I103)</f>
        <v>224.19373141849334</v>
      </c>
      <c r="J57" s="78">
        <f>-(J97+J91+J103)</f>
        <v>223.00000000000003</v>
      </c>
    </row>
    <row r="58" spans="2:11">
      <c r="B58" s="36" t="s">
        <v>26</v>
      </c>
      <c r="C58" s="130">
        <v>106.5</v>
      </c>
      <c r="D58" s="130">
        <v>127.2</v>
      </c>
      <c r="E58" s="130">
        <v>147.4</v>
      </c>
      <c r="F58" s="78">
        <f>-(F68*SUM(F43,F45,F46))</f>
        <v>161.0547368274718</v>
      </c>
      <c r="G58" s="78">
        <f>-(G68*SUM(G43,G45,G46))</f>
        <v>162.08209116516588</v>
      </c>
      <c r="H58" s="78">
        <f>-(H68*SUM(H43,H45,H46))</f>
        <v>163.69762028974245</v>
      </c>
      <c r="I58" s="78">
        <f>-(I68*SUM(I43,I45,I46))</f>
        <v>163.56828931606964</v>
      </c>
      <c r="J58" s="78">
        <f>-(J68*SUM(J43,J45,J46))</f>
        <v>162.91655861446264</v>
      </c>
    </row>
    <row r="59" spans="2:11">
      <c r="B59" s="36" t="s">
        <v>146</v>
      </c>
      <c r="C59" s="130">
        <v>14.3</v>
      </c>
      <c r="D59" s="130">
        <v>10.8</v>
      </c>
      <c r="E59" s="130">
        <f>36+4.9</f>
        <v>40.9</v>
      </c>
      <c r="F59" s="130">
        <v>16</v>
      </c>
      <c r="G59" s="130">
        <v>5</v>
      </c>
      <c r="H59" s="130">
        <v>5</v>
      </c>
      <c r="I59" s="130">
        <v>0</v>
      </c>
      <c r="J59" s="130">
        <v>0</v>
      </c>
    </row>
    <row r="60" spans="2:11">
      <c r="B60" s="87" t="s">
        <v>27</v>
      </c>
      <c r="C60" s="131">
        <f t="shared" ref="C60:J60" si="6">SUM(C56:C59)</f>
        <v>843.60000000000025</v>
      </c>
      <c r="D60" s="131">
        <f t="shared" si="6"/>
        <v>906.49999999999989</v>
      </c>
      <c r="E60" s="131">
        <f t="shared" si="6"/>
        <v>882.70000000000027</v>
      </c>
      <c r="F60" s="131">
        <f t="shared" si="6"/>
        <v>947.67924131998893</v>
      </c>
      <c r="G60" s="131">
        <f t="shared" si="6"/>
        <v>1000.4844845944476</v>
      </c>
      <c r="H60" s="131">
        <f t="shared" si="6"/>
        <v>1078.8876874776497</v>
      </c>
      <c r="I60" s="131">
        <f t="shared" si="6"/>
        <v>1150.0716060640705</v>
      </c>
      <c r="J60" s="131">
        <f t="shared" si="6"/>
        <v>1226.8741190024368</v>
      </c>
    </row>
    <row r="61" spans="2:11">
      <c r="B61" s="37"/>
      <c r="C61" s="38"/>
      <c r="D61" s="38"/>
      <c r="E61" s="38"/>
      <c r="F61" s="38"/>
      <c r="G61" s="38"/>
      <c r="H61" s="38"/>
      <c r="I61" s="38"/>
      <c r="J61" s="38"/>
    </row>
    <row r="62" spans="2:11">
      <c r="B62" s="30" t="s">
        <v>19</v>
      </c>
      <c r="F62" s="78" t="s">
        <v>169</v>
      </c>
      <c r="K62" s="73" t="s">
        <v>126</v>
      </c>
    </row>
    <row r="63" spans="2:11">
      <c r="B63" s="47" t="s">
        <v>20</v>
      </c>
      <c r="C63" s="32" t="s">
        <v>21</v>
      </c>
      <c r="D63" s="33">
        <f>D42/C42-1</f>
        <v>5.1663196630029384E-2</v>
      </c>
      <c r="E63" s="33">
        <f>E42/D42-1</f>
        <v>1.3535911602210016E-2</v>
      </c>
      <c r="F63" s="76">
        <v>3.5000000000000003E-2</v>
      </c>
      <c r="G63" s="76">
        <v>5.5E-2</v>
      </c>
      <c r="H63" s="76">
        <v>0.06</v>
      </c>
      <c r="I63" s="76">
        <v>0.05</v>
      </c>
      <c r="J63" s="76">
        <v>4.8000000000000001E-2</v>
      </c>
      <c r="K63" s="43"/>
    </row>
    <row r="64" spans="2:11">
      <c r="B64" s="47" t="s">
        <v>22</v>
      </c>
      <c r="C64" s="33">
        <f>C44/C42</f>
        <v>0.76507044981358641</v>
      </c>
      <c r="D64" s="33">
        <f>D44/D42</f>
        <v>0.7380755064456721</v>
      </c>
      <c r="E64" s="33">
        <f>E44/E42</f>
        <v>0.73108022167711462</v>
      </c>
      <c r="F64" s="123">
        <f>AVERAGE(C64:E64)</f>
        <v>0.74474205931212423</v>
      </c>
      <c r="G64" s="123">
        <f t="shared" ref="G64:J68" si="7">F64+$K64</f>
        <v>0.74974205931212423</v>
      </c>
      <c r="H64" s="123">
        <f t="shared" si="7"/>
        <v>0.75474205931212424</v>
      </c>
      <c r="I64" s="123">
        <f t="shared" si="7"/>
        <v>0.75974205931212424</v>
      </c>
      <c r="J64" s="123">
        <f t="shared" si="7"/>
        <v>0.76474205931212424</v>
      </c>
      <c r="K64" s="43">
        <v>5.0000000000000001E-3</v>
      </c>
    </row>
    <row r="65" spans="2:11">
      <c r="B65" s="45" t="s">
        <v>23</v>
      </c>
      <c r="C65" s="33">
        <f t="shared" ref="C65:E66" si="8">-C45/C$42</f>
        <v>8.7929114414370776E-2</v>
      </c>
      <c r="D65" s="33">
        <f t="shared" si="8"/>
        <v>7.605893186003683E-2</v>
      </c>
      <c r="E65" s="33">
        <f t="shared" si="8"/>
        <v>7.9313164349959109E-2</v>
      </c>
      <c r="F65" s="123">
        <f>AVERAGE(C65:E65)</f>
        <v>8.1100403541455576E-2</v>
      </c>
      <c r="G65" s="123">
        <f t="shared" si="7"/>
        <v>8.1100403541455576E-2</v>
      </c>
      <c r="H65" s="123">
        <f t="shared" si="7"/>
        <v>8.1100403541455576E-2</v>
      </c>
      <c r="I65" s="123">
        <f t="shared" si="7"/>
        <v>8.1100403541455576E-2</v>
      </c>
      <c r="J65" s="123">
        <f t="shared" si="7"/>
        <v>8.1100403541455576E-2</v>
      </c>
      <c r="K65" s="43">
        <v>0</v>
      </c>
    </row>
    <row r="66" spans="2:11">
      <c r="B66" s="47" t="s">
        <v>24</v>
      </c>
      <c r="C66" s="33">
        <f t="shared" si="8"/>
        <v>0.41916428606013645</v>
      </c>
      <c r="D66" s="33">
        <f t="shared" si="8"/>
        <v>0.41160220994475138</v>
      </c>
      <c r="E66" s="33">
        <f t="shared" si="8"/>
        <v>0.44035613700372483</v>
      </c>
      <c r="F66" s="123">
        <f>AVERAGE(C66:E66)</f>
        <v>0.42370754433620422</v>
      </c>
      <c r="G66" s="123">
        <f t="shared" si="7"/>
        <v>0.41370754433620421</v>
      </c>
      <c r="H66" s="123">
        <f t="shared" si="7"/>
        <v>0.4037075443362042</v>
      </c>
      <c r="I66" s="123">
        <f t="shared" si="7"/>
        <v>0.3937075443362042</v>
      </c>
      <c r="J66" s="123">
        <f t="shared" si="7"/>
        <v>0.38370754433620419</v>
      </c>
      <c r="K66" s="43">
        <v>-0.01</v>
      </c>
    </row>
    <row r="67" spans="2:11">
      <c r="B67" s="47" t="s">
        <v>25</v>
      </c>
      <c r="C67" s="33">
        <f>-C52/C51</f>
        <v>0.14135140222096734</v>
      </c>
      <c r="D67" s="33">
        <f>-D52/D51</f>
        <v>0.2433962264150944</v>
      </c>
      <c r="E67" s="33">
        <f>-E52/E51</f>
        <v>0.2264547791540078</v>
      </c>
      <c r="F67" s="76">
        <f>E67</f>
        <v>0.2264547791540078</v>
      </c>
      <c r="G67" s="123">
        <f t="shared" si="7"/>
        <v>0.2264547791540078</v>
      </c>
      <c r="H67" s="123">
        <f t="shared" si="7"/>
        <v>0.2264547791540078</v>
      </c>
      <c r="I67" s="123">
        <f t="shared" si="7"/>
        <v>0.2264547791540078</v>
      </c>
      <c r="J67" s="123">
        <f t="shared" si="7"/>
        <v>0.2264547791540078</v>
      </c>
      <c r="K67" s="43">
        <v>0</v>
      </c>
    </row>
    <row r="68" spans="2:11">
      <c r="B68" s="47" t="s">
        <v>34</v>
      </c>
      <c r="C68" s="8">
        <f>-(C58/SUM(C43,C45,C46))</f>
        <v>6.949429037520391E-2</v>
      </c>
      <c r="D68" s="8">
        <f>-(D58/SUM(D43,D45,D46))</f>
        <v>7.8127879122904004E-2</v>
      </c>
      <c r="E68" s="8">
        <f>-(E58/SUM(E43,E45,E46))</f>
        <v>8.4907834101382487E-2</v>
      </c>
      <c r="F68" s="76">
        <v>9.2999999999999999E-2</v>
      </c>
      <c r="G68" s="123">
        <f t="shared" si="7"/>
        <v>9.0499999999999997E-2</v>
      </c>
      <c r="H68" s="123">
        <f t="shared" si="7"/>
        <v>8.7999999999999995E-2</v>
      </c>
      <c r="I68" s="123">
        <f t="shared" si="7"/>
        <v>8.5499999999999993E-2</v>
      </c>
      <c r="J68" s="123">
        <f t="shared" si="7"/>
        <v>8.299999999999999E-2</v>
      </c>
      <c r="K68" s="43">
        <v>-2.5000000000000001E-3</v>
      </c>
    </row>
    <row r="69" spans="2:11">
      <c r="B69" s="37"/>
      <c r="C69" s="38"/>
      <c r="D69" s="38"/>
      <c r="E69" s="38"/>
      <c r="F69" s="38"/>
      <c r="G69" s="38"/>
      <c r="H69" s="38"/>
      <c r="I69" s="38"/>
      <c r="J69" s="38"/>
    </row>
    <row r="70" spans="2:11">
      <c r="B70" s="91" t="s">
        <v>29</v>
      </c>
      <c r="C70" s="184"/>
      <c r="D70" s="184"/>
      <c r="E70" s="184"/>
      <c r="F70" s="184"/>
      <c r="G70" s="184"/>
      <c r="H70" s="184"/>
      <c r="I70" s="184"/>
      <c r="J70" s="184"/>
    </row>
    <row r="71" spans="2:11">
      <c r="B71" s="13" t="s">
        <v>5</v>
      </c>
      <c r="C71" s="38"/>
      <c r="D71" s="18">
        <f>D$39</f>
        <v>2012</v>
      </c>
      <c r="E71" s="18">
        <f t="shared" ref="E71:J71" si="9">E$39</f>
        <v>2013</v>
      </c>
      <c r="F71" s="19">
        <f t="shared" si="9"/>
        <v>2014</v>
      </c>
      <c r="G71" s="19">
        <f t="shared" si="9"/>
        <v>2015</v>
      </c>
      <c r="H71" s="19">
        <f t="shared" si="9"/>
        <v>2016</v>
      </c>
      <c r="I71" s="19">
        <f t="shared" si="9"/>
        <v>2017</v>
      </c>
      <c r="J71" s="19">
        <f t="shared" si="9"/>
        <v>2018</v>
      </c>
    </row>
    <row r="72" spans="2:11">
      <c r="B72" s="20" t="s">
        <v>6</v>
      </c>
      <c r="C72" s="184"/>
      <c r="D72" s="22">
        <f>D$40</f>
        <v>40999</v>
      </c>
      <c r="E72" s="22">
        <f t="shared" ref="E72:J72" si="10">E$40</f>
        <v>41364</v>
      </c>
      <c r="F72" s="22">
        <f t="shared" si="10"/>
        <v>41729</v>
      </c>
      <c r="G72" s="22">
        <f t="shared" si="10"/>
        <v>42094</v>
      </c>
      <c r="H72" s="22">
        <f t="shared" si="10"/>
        <v>42460</v>
      </c>
      <c r="I72" s="22">
        <f t="shared" si="10"/>
        <v>42825</v>
      </c>
      <c r="J72" s="22">
        <f t="shared" si="10"/>
        <v>43190</v>
      </c>
    </row>
    <row r="73" spans="2:11">
      <c r="B73" s="23"/>
      <c r="C73" s="38"/>
      <c r="D73" s="38"/>
      <c r="E73" s="38"/>
      <c r="F73" s="38"/>
      <c r="G73" s="38"/>
      <c r="H73" s="38"/>
      <c r="I73" s="38"/>
      <c r="J73" s="38"/>
    </row>
    <row r="74" spans="2:11">
      <c r="B74" s="58" t="s">
        <v>75</v>
      </c>
      <c r="C74" s="49"/>
      <c r="D74" s="124">
        <f>296.7+108+80.1</f>
        <v>484.79999999999995</v>
      </c>
      <c r="E74" s="124">
        <f>265.5+110.4+67.8</f>
        <v>443.7</v>
      </c>
      <c r="F74" s="133">
        <f>IF(F75,F75*F42,E74*(1+F63))</f>
        <v>459.22949999999997</v>
      </c>
      <c r="G74" s="133">
        <f>IF(G75,G75*G42,F74*(1+G63))</f>
        <v>484.4871225</v>
      </c>
      <c r="H74" s="133">
        <f>IF(H75,H75*H42,G74*(1+H63))</f>
        <v>513.55634985000006</v>
      </c>
      <c r="I74" s="133">
        <f>IF(I75,I75*I42,H74*(1+I63))</f>
        <v>539.23416734250009</v>
      </c>
      <c r="J74" s="133">
        <f>IF(J75,J75*J42,I74*(1+J63))</f>
        <v>565.11740737494006</v>
      </c>
    </row>
    <row r="75" spans="2:11">
      <c r="B75" s="61" t="s">
        <v>31</v>
      </c>
      <c r="C75" s="51"/>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58" t="s">
        <v>147</v>
      </c>
      <c r="C76" s="49"/>
      <c r="D76" s="124">
        <v>195.1</v>
      </c>
      <c r="E76" s="124">
        <v>213.1</v>
      </c>
      <c r="F76" s="133">
        <f>IF(F77,F77*F42,E76*(1+F63))</f>
        <v>220.55850000000001</v>
      </c>
      <c r="G76" s="133">
        <f>IF(G77,G77*G42,F76*(1+G63))</f>
        <v>232.68921750000001</v>
      </c>
      <c r="H76" s="133">
        <f>IF(H77,H77*H42,G76*(1+H63))</f>
        <v>246.65057055000003</v>
      </c>
      <c r="I76" s="133">
        <f>IF(I77,I77*I42,H76*(1+I63))</f>
        <v>258.98309907750001</v>
      </c>
      <c r="J76" s="133">
        <f>IF(J77,J77*J42,I76*(1+J63))</f>
        <v>271.41428783322004</v>
      </c>
    </row>
    <row r="77" spans="2:11">
      <c r="B77" s="61" t="s">
        <v>148</v>
      </c>
      <c r="C77" s="51"/>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58" t="s">
        <v>74</v>
      </c>
      <c r="C78" s="49"/>
      <c r="D78" s="124">
        <f>31.5+1.2</f>
        <v>32.700000000000003</v>
      </c>
      <c r="E78" s="124">
        <f>31.6+10.5</f>
        <v>42.1</v>
      </c>
      <c r="F78" s="133">
        <f>IF(F79,-(F79*F43),E78*F43/E43)</f>
        <v>41.35985068829212</v>
      </c>
      <c r="G78" s="133">
        <f>IF(G79,-(G79*G43),F78*G43/F43)</f>
        <v>42.77992582446322</v>
      </c>
      <c r="H78" s="133">
        <f>IF(H79,-(H79*H43),G78*H43/G43)</f>
        <v>44.440721723144954</v>
      </c>
      <c r="I78" s="133">
        <f>IF(I79,-(I79*I43),H78*I43/H43)</f>
        <v>45.711458175976823</v>
      </c>
      <c r="J78" s="133">
        <f>IF(J79,-(J79*J43),I78*J43/I43)</f>
        <v>46.908646152698736</v>
      </c>
    </row>
    <row r="79" spans="2:11">
      <c r="B79" s="61" t="s">
        <v>32</v>
      </c>
      <c r="C79" s="51"/>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58" t="s">
        <v>73</v>
      </c>
      <c r="C80" s="84"/>
      <c r="D80" s="124">
        <f>319.4+1059.5+934.4</f>
        <v>2313.3000000000002</v>
      </c>
      <c r="E80" s="124">
        <f>326.4+1038.6+936.7</f>
        <v>2301.6999999999998</v>
      </c>
      <c r="F80" s="133">
        <f>IF(F81,F81*F42,E80*(1+F63))</f>
        <v>2382.2594999999997</v>
      </c>
      <c r="G80" s="133">
        <f>IF(G81,G81*G42,F80*(1+G63))</f>
        <v>2513.2837724999995</v>
      </c>
      <c r="H80" s="133">
        <f>IF(H81,H81*H42,G80*(1+H63))</f>
        <v>2664.0807988500001</v>
      </c>
      <c r="I80" s="133">
        <f>IF(I81,I81*I42,H80*(1+I63))</f>
        <v>2797.2848387925001</v>
      </c>
      <c r="J80" s="133">
        <f>IF(J81,J81*J42,I80*(1+J63))</f>
        <v>2931.5545110545399</v>
      </c>
    </row>
    <row r="81" spans="2:11">
      <c r="B81" s="61" t="s">
        <v>81</v>
      </c>
      <c r="C81" s="51"/>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1"/>
      <c r="C82" s="51"/>
      <c r="D82" s="8"/>
      <c r="E82" s="9"/>
      <c r="F82" s="43"/>
      <c r="G82" s="43"/>
      <c r="H82" s="43"/>
      <c r="I82" s="43"/>
      <c r="J82" s="43"/>
    </row>
    <row r="83" spans="2:11">
      <c r="B83" s="117" t="s">
        <v>120</v>
      </c>
      <c r="C83" s="23"/>
      <c r="D83" s="186">
        <f t="shared" ref="D83:J83" si="11">D74+D76+-D78-D80</f>
        <v>-1666.1000000000004</v>
      </c>
      <c r="E83" s="186">
        <f t="shared" si="11"/>
        <v>-1687</v>
      </c>
      <c r="F83" s="186">
        <f t="shared" si="11"/>
        <v>-1743.8313506882919</v>
      </c>
      <c r="G83" s="186">
        <f t="shared" si="11"/>
        <v>-1838.8873583244626</v>
      </c>
      <c r="H83" s="186">
        <f t="shared" si="11"/>
        <v>-1948.314600173145</v>
      </c>
      <c r="I83" s="186">
        <f t="shared" si="11"/>
        <v>-2044.7790305484768</v>
      </c>
      <c r="J83" s="186">
        <f t="shared" si="11"/>
        <v>-2141.9314619990787</v>
      </c>
    </row>
    <row r="84" spans="2:11">
      <c r="B84" s="27"/>
      <c r="D84" s="52"/>
      <c r="E84" s="52"/>
      <c r="F84" s="42"/>
      <c r="G84" s="42"/>
      <c r="H84" s="42"/>
      <c r="I84" s="42"/>
      <c r="J84" s="42"/>
    </row>
    <row r="85" spans="2:11">
      <c r="B85" s="185" t="s">
        <v>156</v>
      </c>
      <c r="C85" s="92"/>
      <c r="D85" s="92"/>
      <c r="E85" s="92"/>
      <c r="F85" s="82"/>
      <c r="G85" s="82"/>
      <c r="H85" s="82"/>
      <c r="I85" s="82"/>
      <c r="J85" s="82"/>
    </row>
    <row r="86" spans="2:11">
      <c r="B86" s="13" t="s">
        <v>5</v>
      </c>
      <c r="C86" s="38"/>
      <c r="D86" s="18">
        <f>D$39</f>
        <v>2012</v>
      </c>
      <c r="E86" s="18">
        <f t="shared" ref="E86:J86" si="12">E$39</f>
        <v>2013</v>
      </c>
      <c r="F86" s="19">
        <f t="shared" si="12"/>
        <v>2014</v>
      </c>
      <c r="G86" s="19">
        <f t="shared" si="12"/>
        <v>2015</v>
      </c>
      <c r="H86" s="19">
        <f t="shared" si="12"/>
        <v>2016</v>
      </c>
      <c r="I86" s="19">
        <f t="shared" si="12"/>
        <v>2017</v>
      </c>
      <c r="J86" s="19">
        <f t="shared" si="12"/>
        <v>2018</v>
      </c>
    </row>
    <row r="87" spans="2:11">
      <c r="B87" s="20" t="s">
        <v>6</v>
      </c>
      <c r="C87" s="184"/>
      <c r="D87" s="22">
        <f>D$40</f>
        <v>40999</v>
      </c>
      <c r="E87" s="22">
        <f t="shared" ref="E87:J87" si="13">E$40</f>
        <v>41364</v>
      </c>
      <c r="F87" s="22">
        <f t="shared" si="13"/>
        <v>41729</v>
      </c>
      <c r="G87" s="22">
        <f t="shared" si="13"/>
        <v>42094</v>
      </c>
      <c r="H87" s="22">
        <f t="shared" si="13"/>
        <v>42460</v>
      </c>
      <c r="I87" s="22">
        <f t="shared" si="13"/>
        <v>42825</v>
      </c>
      <c r="J87" s="22">
        <f t="shared" si="13"/>
        <v>43190</v>
      </c>
    </row>
    <row r="88" spans="2:11">
      <c r="B88" s="85"/>
    </row>
    <row r="89" spans="2:11">
      <c r="B89" s="58" t="s">
        <v>78</v>
      </c>
      <c r="C89" s="29"/>
      <c r="D89" s="124">
        <v>87.8</v>
      </c>
      <c r="E89" s="124">
        <v>85.2</v>
      </c>
      <c r="F89" s="133">
        <f>E89+SUM(F90:F91)</f>
        <v>73.144489795918361</v>
      </c>
      <c r="G89" s="133">
        <f>F89+SUM(G90:G91)</f>
        <v>63.407346938775504</v>
      </c>
      <c r="H89" s="133">
        <f>G89+SUM(H90:H91)</f>
        <v>56.452244897959183</v>
      </c>
      <c r="I89" s="133">
        <f>H89+SUM(I90:I91)</f>
        <v>53.090612244897962</v>
      </c>
      <c r="J89" s="133">
        <f>I89+SUM(J90:J91)</f>
        <v>53.090612244897962</v>
      </c>
      <c r="K89" s="73"/>
    </row>
    <row r="90" spans="2:11">
      <c r="B90" s="83" t="s">
        <v>38</v>
      </c>
      <c r="C90" s="130">
        <v>22</v>
      </c>
      <c r="D90" s="130">
        <v>26.5</v>
      </c>
      <c r="E90" s="130">
        <v>24.5</v>
      </c>
      <c r="F90" s="130">
        <v>26</v>
      </c>
      <c r="G90" s="130">
        <v>28</v>
      </c>
      <c r="H90" s="130">
        <v>30</v>
      </c>
      <c r="I90" s="130">
        <v>29</v>
      </c>
      <c r="J90" s="130">
        <v>31</v>
      </c>
      <c r="K90"/>
    </row>
    <row r="91" spans="2:11">
      <c r="B91" s="83" t="s">
        <v>77</v>
      </c>
      <c r="C91" s="130">
        <v>-39.1</v>
      </c>
      <c r="D91" s="130">
        <v>-37.799999999999997</v>
      </c>
      <c r="E91" s="130">
        <v>-38.700000000000003</v>
      </c>
      <c r="F91" s="134">
        <f>-(F93*F90)</f>
        <v>-38.055510204081635</v>
      </c>
      <c r="G91" s="134">
        <f>-(G93*G90)</f>
        <v>-37.737142857142857</v>
      </c>
      <c r="H91" s="134">
        <f>-(H93*H90)</f>
        <v>-36.955102040816321</v>
      </c>
      <c r="I91" s="134">
        <f>-(I93*I90)</f>
        <v>-32.361632653061221</v>
      </c>
      <c r="J91" s="134">
        <f>-(J93*J90)</f>
        <v>-30.999999999999993</v>
      </c>
      <c r="K91" s="73" t="s">
        <v>154</v>
      </c>
    </row>
    <row r="92" spans="2:11">
      <c r="B92" s="85" t="s">
        <v>157</v>
      </c>
      <c r="C92" s="9">
        <f t="shared" ref="C92:J92" si="14">-(C90/C42)</f>
        <v>-1.0652205490727738E-2</v>
      </c>
      <c r="D92" s="9">
        <f t="shared" si="14"/>
        <v>-1.220073664825046E-2</v>
      </c>
      <c r="E92" s="9">
        <f t="shared" si="14"/>
        <v>-1.1129281366403197E-2</v>
      </c>
      <c r="F92" s="9">
        <f t="shared" si="14"/>
        <v>-1.1411271439474836E-2</v>
      </c>
      <c r="G92" s="9">
        <f t="shared" si="14"/>
        <v>-1.1648399573652766E-2</v>
      </c>
      <c r="H92" s="9">
        <f t="shared" si="14"/>
        <v>-1.177398878738487E-2</v>
      </c>
      <c r="I92" s="9">
        <f t="shared" si="14"/>
        <v>-1.0839545232830516E-2</v>
      </c>
      <c r="J92" s="9">
        <f t="shared" si="14"/>
        <v>-1.1056393202742366E-2</v>
      </c>
      <c r="K92" s="143" t="s">
        <v>140</v>
      </c>
    </row>
    <row r="93" spans="2:11">
      <c r="B93" s="85" t="s">
        <v>138</v>
      </c>
      <c r="C93" s="68">
        <f>-(C91/C90)</f>
        <v>1.7772727272727273</v>
      </c>
      <c r="D93" s="68">
        <f>-(D91/D90)</f>
        <v>1.4264150943396225</v>
      </c>
      <c r="E93" s="68">
        <f>-(E91/E90)</f>
        <v>1.5795918367346939</v>
      </c>
      <c r="F93" s="68">
        <f>E93+$K$93</f>
        <v>1.4636734693877551</v>
      </c>
      <c r="G93" s="68">
        <f>F93+$K$93</f>
        <v>1.3477551020408163</v>
      </c>
      <c r="H93" s="68">
        <f>G93+$K$93</f>
        <v>1.2318367346938774</v>
      </c>
      <c r="I93" s="68">
        <f>H93+$K$93</f>
        <v>1.1159183673469386</v>
      </c>
      <c r="J93" s="68">
        <f>I93+$K$93</f>
        <v>0.99999999999999978</v>
      </c>
      <c r="K93" s="119">
        <f>IF(K92="Yes",(1-E93)/COLUMNS(F93:J93),0)</f>
        <v>-0.11591836734693879</v>
      </c>
    </row>
    <row r="94" spans="2:11">
      <c r="B94" s="85"/>
      <c r="C94" s="68"/>
      <c r="D94" s="68"/>
      <c r="E94" s="68"/>
      <c r="F94" s="77"/>
      <c r="G94" s="77"/>
      <c r="H94" s="77"/>
      <c r="I94" s="77"/>
      <c r="J94" s="77"/>
    </row>
    <row r="95" spans="2:11">
      <c r="B95" s="58" t="s">
        <v>175</v>
      </c>
      <c r="C95" s="57"/>
      <c r="D95" s="124">
        <v>244.7</v>
      </c>
      <c r="E95" s="124">
        <v>271.39999999999998</v>
      </c>
      <c r="F95" s="133">
        <f>E95+SUM(F96:F97)</f>
        <v>286.50864197530859</v>
      </c>
      <c r="G95" s="133">
        <f>F95+SUM(G96:G97)</f>
        <v>297.64475308641971</v>
      </c>
      <c r="H95" s="133">
        <f>G95+SUM(H96:H97)</f>
        <v>305.19907407407402</v>
      </c>
      <c r="I95" s="133">
        <f>H95+SUM(I96:I97)</f>
        <v>309.36697530864188</v>
      </c>
      <c r="J95" s="133">
        <f>I95+SUM(J96:J97)</f>
        <v>309.36697530864188</v>
      </c>
    </row>
    <row r="96" spans="2:11">
      <c r="B96" s="83" t="s">
        <v>151</v>
      </c>
      <c r="C96" s="130">
        <v>115.8</v>
      </c>
      <c r="D96" s="130">
        <f>132.5</f>
        <v>132.5</v>
      </c>
      <c r="E96" s="130">
        <f>129.6</f>
        <v>129.6</v>
      </c>
      <c r="F96" s="130">
        <v>116</v>
      </c>
      <c r="G96" s="130">
        <v>114</v>
      </c>
      <c r="H96" s="130">
        <v>116</v>
      </c>
      <c r="I96" s="130">
        <v>128</v>
      </c>
      <c r="J96" s="130">
        <v>135</v>
      </c>
    </row>
    <row r="97" spans="2:11">
      <c r="B97" s="83" t="s">
        <v>76</v>
      </c>
      <c r="C97" s="132">
        <v>-75.7</v>
      </c>
      <c r="D97" s="130">
        <v>-93.6</v>
      </c>
      <c r="E97" s="130">
        <v>-108.5</v>
      </c>
      <c r="F97" s="134">
        <f>-(F99*F96)</f>
        <v>-100.89135802469136</v>
      </c>
      <c r="G97" s="134">
        <f t="shared" ref="G97:J97" si="15">-(G99*G96)</f>
        <v>-102.86388888888889</v>
      </c>
      <c r="H97" s="134">
        <f t="shared" si="15"/>
        <v>-108.44567901234569</v>
      </c>
      <c r="I97" s="134">
        <f t="shared" si="15"/>
        <v>-123.83209876543212</v>
      </c>
      <c r="J97" s="134">
        <f t="shared" si="15"/>
        <v>-135.00000000000003</v>
      </c>
      <c r="K97" s="73" t="s">
        <v>154</v>
      </c>
    </row>
    <row r="98" spans="2:11">
      <c r="B98" s="85" t="s">
        <v>152</v>
      </c>
      <c r="C98" s="137">
        <f t="shared" ref="C98:J98" si="16">C96/C42</f>
        <v>5.6069336173921458E-2</v>
      </c>
      <c r="D98" s="137">
        <f t="shared" si="16"/>
        <v>6.1003683241252299E-2</v>
      </c>
      <c r="E98" s="137">
        <f t="shared" si="16"/>
        <v>5.8871627146361398E-2</v>
      </c>
      <c r="F98" s="137">
        <f t="shared" si="16"/>
        <v>5.0911826422272342E-2</v>
      </c>
      <c r="G98" s="137">
        <f t="shared" si="16"/>
        <v>4.7425626835586265E-2</v>
      </c>
      <c r="H98" s="137">
        <f t="shared" si="16"/>
        <v>4.5526089977888165E-2</v>
      </c>
      <c r="I98" s="137">
        <f t="shared" si="16"/>
        <v>4.7843509993182966E-2</v>
      </c>
      <c r="J98" s="137">
        <f t="shared" si="16"/>
        <v>4.8148809108716752E-2</v>
      </c>
      <c r="K98" s="143" t="s">
        <v>140</v>
      </c>
    </row>
    <row r="99" spans="2:11">
      <c r="B99" s="85" t="s">
        <v>153</v>
      </c>
      <c r="C99" s="68">
        <f>-(C97/C96)</f>
        <v>0.65371329879101903</v>
      </c>
      <c r="D99" s="68">
        <f>-(D97/D96)</f>
        <v>0.70641509433962257</v>
      </c>
      <c r="E99" s="68">
        <f>-(E97/E96)</f>
        <v>0.83719135802469136</v>
      </c>
      <c r="F99" s="68">
        <f>E99+$K$99</f>
        <v>0.86975308641975313</v>
      </c>
      <c r="G99" s="68">
        <f>F99+$K$99</f>
        <v>0.9023148148148149</v>
      </c>
      <c r="H99" s="68">
        <f>G99+$K$99</f>
        <v>0.93487654320987668</v>
      </c>
      <c r="I99" s="68">
        <f>H99+$K$99</f>
        <v>0.96743827160493845</v>
      </c>
      <c r="J99" s="68">
        <f>I99+$K$99</f>
        <v>1.0000000000000002</v>
      </c>
      <c r="K99" s="119">
        <f>IF(K98="Yes",(1-E99)/COLUMNS(F99:J99),0)</f>
        <v>3.2561728395061731E-2</v>
      </c>
    </row>
    <row r="100" spans="2:11">
      <c r="B100" s="85"/>
      <c r="C100" s="68"/>
      <c r="D100" s="68"/>
      <c r="E100" s="68"/>
      <c r="F100" s="77"/>
      <c r="G100" s="77"/>
      <c r="H100" s="77"/>
      <c r="I100" s="77"/>
      <c r="J100" s="77"/>
    </row>
    <row r="101" spans="2:11">
      <c r="B101" s="58" t="s">
        <v>155</v>
      </c>
      <c r="D101" s="124">
        <v>257.5</v>
      </c>
      <c r="E101" s="124">
        <v>189.8</v>
      </c>
      <c r="F101" s="133">
        <f>E101+SUM(F102:F103)</f>
        <v>189.8</v>
      </c>
      <c r="G101" s="133">
        <f>F101+SUM(G102:G103)</f>
        <v>189.8</v>
      </c>
      <c r="H101" s="133">
        <f>G101+SUM(H102:H103)</f>
        <v>189.8</v>
      </c>
      <c r="I101" s="133">
        <f>H101+SUM(I102:I103)</f>
        <v>189.8</v>
      </c>
      <c r="J101" s="133">
        <f>I101+SUM(J102:J103)</f>
        <v>189.8</v>
      </c>
    </row>
    <row r="102" spans="2:11">
      <c r="B102" s="83" t="s">
        <v>151</v>
      </c>
      <c r="C102" s="160">
        <v>0</v>
      </c>
      <c r="D102" s="130">
        <v>0</v>
      </c>
      <c r="E102" s="130">
        <v>0</v>
      </c>
      <c r="F102" s="130">
        <f>-F103</f>
        <v>85</v>
      </c>
      <c r="G102" s="130">
        <f t="shared" ref="G102:J102" si="17">-G103</f>
        <v>80</v>
      </c>
      <c r="H102" s="130">
        <f t="shared" si="17"/>
        <v>77</v>
      </c>
      <c r="I102" s="130">
        <f t="shared" si="17"/>
        <v>68</v>
      </c>
      <c r="J102" s="130">
        <f t="shared" si="17"/>
        <v>57</v>
      </c>
    </row>
    <row r="103" spans="2:11">
      <c r="B103" s="83" t="s">
        <v>76</v>
      </c>
      <c r="C103" s="130">
        <v>-79.099999999999994</v>
      </c>
      <c r="D103" s="130">
        <v>-97.7</v>
      </c>
      <c r="E103" s="130">
        <v>-86.9</v>
      </c>
      <c r="F103" s="130">
        <v>-85</v>
      </c>
      <c r="G103" s="130">
        <v>-80</v>
      </c>
      <c r="H103" s="130">
        <v>-77</v>
      </c>
      <c r="I103" s="130">
        <v>-68</v>
      </c>
      <c r="J103" s="130">
        <v>-57</v>
      </c>
    </row>
    <row r="104" spans="2:11">
      <c r="B104" s="36"/>
      <c r="C104" s="81"/>
      <c r="D104" s="81"/>
      <c r="E104" s="81"/>
      <c r="F104" s="62"/>
      <c r="G104" s="62"/>
      <c r="H104" s="62"/>
      <c r="I104" s="62"/>
      <c r="J104" s="62"/>
    </row>
    <row r="105" spans="2:11">
      <c r="B105" s="107" t="s">
        <v>176</v>
      </c>
      <c r="D105" s="124">
        <f>240.2+1700.1</f>
        <v>1940.3</v>
      </c>
      <c r="E105" s="124">
        <f>229.3+1705.9</f>
        <v>1935.2</v>
      </c>
      <c r="F105" s="133">
        <f>E105</f>
        <v>1935.2</v>
      </c>
      <c r="G105" s="133">
        <f>F105</f>
        <v>1935.2</v>
      </c>
      <c r="H105" s="133">
        <f>G105</f>
        <v>1935.2</v>
      </c>
      <c r="I105" s="133">
        <f>H105</f>
        <v>1935.2</v>
      </c>
      <c r="J105" s="133">
        <f>I105</f>
        <v>1935.2</v>
      </c>
    </row>
    <row r="106" spans="2:11">
      <c r="B106" s="107"/>
      <c r="D106" s="124"/>
      <c r="E106" s="124"/>
      <c r="F106" s="133"/>
      <c r="G106" s="133"/>
      <c r="H106" s="133"/>
      <c r="I106" s="133"/>
      <c r="J106" s="133"/>
    </row>
    <row r="107" spans="2:11">
      <c r="B107" s="58" t="s">
        <v>80</v>
      </c>
      <c r="D107" s="124">
        <v>232.4</v>
      </c>
      <c r="E107" s="124">
        <v>252</v>
      </c>
      <c r="F107" s="133">
        <f>E107</f>
        <v>252</v>
      </c>
      <c r="G107" s="133">
        <f>F107</f>
        <v>252</v>
      </c>
      <c r="H107" s="133">
        <f t="shared" ref="H107" si="18">G107</f>
        <v>252</v>
      </c>
      <c r="I107" s="133">
        <f t="shared" ref="I107" si="19">H107</f>
        <v>252</v>
      </c>
      <c r="J107" s="133">
        <f t="shared" ref="J107" si="20">I107</f>
        <v>252</v>
      </c>
    </row>
    <row r="108" spans="2:11">
      <c r="B108" s="31"/>
      <c r="C108" s="52"/>
      <c r="D108" s="52"/>
      <c r="E108" s="52"/>
      <c r="F108" s="42"/>
      <c r="G108" s="42"/>
      <c r="H108" s="42"/>
      <c r="I108" s="42"/>
      <c r="J108" s="42"/>
    </row>
    <row r="109" spans="2:11">
      <c r="B109" s="15" t="s">
        <v>35</v>
      </c>
      <c r="C109" s="22"/>
      <c r="D109" s="22"/>
      <c r="E109" s="22"/>
      <c r="F109" s="22"/>
      <c r="G109" s="22"/>
      <c r="H109" s="22"/>
      <c r="I109" s="22"/>
      <c r="J109" s="22"/>
    </row>
    <row r="110" spans="2:11">
      <c r="B110" s="44" t="str">
        <f>B39</f>
        <v xml:space="preserve">Fiscal year  </v>
      </c>
      <c r="C110" s="39"/>
      <c r="D110" s="39"/>
      <c r="E110" s="39"/>
      <c r="F110" s="40">
        <f t="shared" ref="F110:J111" si="21">F39</f>
        <v>2014</v>
      </c>
      <c r="G110" s="40">
        <f t="shared" si="21"/>
        <v>2015</v>
      </c>
      <c r="H110" s="40">
        <f t="shared" si="21"/>
        <v>2016</v>
      </c>
      <c r="I110" s="40">
        <f t="shared" si="21"/>
        <v>2017</v>
      </c>
      <c r="J110" s="40">
        <f t="shared" si="21"/>
        <v>2018</v>
      </c>
    </row>
    <row r="111" spans="2:11">
      <c r="B111" s="17" t="str">
        <f>B40</f>
        <v>Fiscal year end date</v>
      </c>
      <c r="C111" s="41"/>
      <c r="D111" s="41"/>
      <c r="E111" s="41"/>
      <c r="F111" s="41">
        <f t="shared" si="21"/>
        <v>41729</v>
      </c>
      <c r="G111" s="41">
        <f t="shared" si="21"/>
        <v>42094</v>
      </c>
      <c r="H111" s="41">
        <f t="shared" si="21"/>
        <v>42460</v>
      </c>
      <c r="I111" s="41">
        <f t="shared" si="21"/>
        <v>42825</v>
      </c>
      <c r="J111" s="41">
        <f t="shared" si="21"/>
        <v>43190</v>
      </c>
    </row>
    <row r="113" spans="2:10">
      <c r="B113" s="13" t="s">
        <v>17</v>
      </c>
      <c r="C113" s="56"/>
      <c r="D113" s="56"/>
      <c r="E113" s="56"/>
      <c r="F113" s="81">
        <f ca="1">F53</f>
        <v>423.59824214323339</v>
      </c>
      <c r="G113" s="81">
        <f ca="1">G53</f>
        <v>474.74793392602476</v>
      </c>
      <c r="H113" s="81">
        <f ca="1">H53</f>
        <v>532.7544845066393</v>
      </c>
      <c r="I113" s="81">
        <f ca="1">I53</f>
        <v>590.39930580476096</v>
      </c>
      <c r="J113" s="81">
        <f ca="1">J53</f>
        <v>651.99256543765023</v>
      </c>
    </row>
    <row r="114" spans="2:10">
      <c r="B114" s="13" t="s">
        <v>36</v>
      </c>
      <c r="C114" s="56"/>
      <c r="D114" s="56"/>
      <c r="E114" s="56"/>
      <c r="F114" s="50">
        <f t="shared" ref="F114:J115" si="22">F57</f>
        <v>223.94686822877298</v>
      </c>
      <c r="G114" s="50">
        <f t="shared" si="22"/>
        <v>220.60103174603177</v>
      </c>
      <c r="H114" s="50">
        <f t="shared" si="22"/>
        <v>222.40078105316201</v>
      </c>
      <c r="I114" s="50">
        <f t="shared" si="22"/>
        <v>224.19373141849334</v>
      </c>
      <c r="J114" s="50">
        <f t="shared" si="22"/>
        <v>223.00000000000003</v>
      </c>
    </row>
    <row r="115" spans="2:10">
      <c r="B115" s="13" t="s">
        <v>26</v>
      </c>
      <c r="C115" s="56"/>
      <c r="D115" s="56"/>
      <c r="E115" s="56"/>
      <c r="F115" s="81">
        <f t="shared" si="22"/>
        <v>161.0547368274718</v>
      </c>
      <c r="G115" s="81">
        <f t="shared" si="22"/>
        <v>162.08209116516588</v>
      </c>
      <c r="H115" s="81">
        <f t="shared" si="22"/>
        <v>163.69762028974245</v>
      </c>
      <c r="I115" s="81">
        <f t="shared" si="22"/>
        <v>163.56828931606964</v>
      </c>
      <c r="J115" s="81">
        <f t="shared" si="22"/>
        <v>162.91655861446264</v>
      </c>
    </row>
    <row r="116" spans="2:10">
      <c r="B116" s="13" t="s">
        <v>79</v>
      </c>
      <c r="C116" s="28"/>
      <c r="D116" s="28"/>
      <c r="E116" s="28"/>
      <c r="F116" s="81">
        <f>E83-F83</f>
        <v>56.831350688291877</v>
      </c>
      <c r="G116" s="81">
        <f>F83-G83</f>
        <v>95.056007636170762</v>
      </c>
      <c r="H116" s="81">
        <f>G83-H83</f>
        <v>109.42724184868234</v>
      </c>
      <c r="I116" s="81">
        <f>H83-I83</f>
        <v>96.464430375331858</v>
      </c>
      <c r="J116" s="81">
        <f>I83-J83</f>
        <v>97.152431450601853</v>
      </c>
    </row>
    <row r="117" spans="2:10">
      <c r="B117" s="27" t="s">
        <v>121</v>
      </c>
      <c r="C117" s="28"/>
      <c r="D117" s="28"/>
      <c r="E117" s="28"/>
      <c r="F117" s="81">
        <f>E105-F105+F107-E107</f>
        <v>0</v>
      </c>
      <c r="G117" s="81">
        <f>F105-G105+G107-F107</f>
        <v>0</v>
      </c>
      <c r="H117" s="81">
        <f>G105-H105+H107-G107</f>
        <v>0</v>
      </c>
      <c r="I117" s="81">
        <f>H105-I105+I107-H107</f>
        <v>0</v>
      </c>
      <c r="J117" s="81">
        <f>I105-J105+J107-I107</f>
        <v>0</v>
      </c>
    </row>
    <row r="118" spans="2:10">
      <c r="B118" s="27" t="s">
        <v>135</v>
      </c>
      <c r="C118" s="28"/>
      <c r="D118" s="28"/>
      <c r="E118" s="28"/>
      <c r="F118" s="213"/>
      <c r="G118" s="213"/>
      <c r="H118" s="213"/>
      <c r="I118" s="213"/>
      <c r="J118" s="213"/>
    </row>
    <row r="119" spans="2:10">
      <c r="B119" s="26" t="s">
        <v>37</v>
      </c>
      <c r="F119" s="102">
        <f ca="1">SUM(F113:F118)</f>
        <v>865.43119788776994</v>
      </c>
      <c r="G119" s="102">
        <f ca="1">SUM(G113:G118)</f>
        <v>952.48706447339305</v>
      </c>
      <c r="H119" s="102">
        <f ca="1">SUM(H113:H118)</f>
        <v>1028.2801276982261</v>
      </c>
      <c r="I119" s="102">
        <f ca="1">SUM(I113:I118)</f>
        <v>1074.6257569146558</v>
      </c>
      <c r="J119" s="102">
        <f ca="1">SUM(J113:J118)</f>
        <v>1135.0615555027148</v>
      </c>
    </row>
    <row r="120" spans="2:10">
      <c r="B120" s="13"/>
    </row>
    <row r="121" spans="2:10">
      <c r="B121" s="13" t="s">
        <v>38</v>
      </c>
      <c r="F121" s="78">
        <f>-(F90)</f>
        <v>-26</v>
      </c>
      <c r="G121" s="78">
        <f>-(G90)</f>
        <v>-28</v>
      </c>
      <c r="H121" s="78">
        <f>-(H90)</f>
        <v>-30</v>
      </c>
      <c r="I121" s="78">
        <f>-(I90)</f>
        <v>-29</v>
      </c>
      <c r="J121" s="78">
        <f>-(J90)</f>
        <v>-31</v>
      </c>
    </row>
    <row r="122" spans="2:10">
      <c r="B122" s="13" t="s">
        <v>177</v>
      </c>
      <c r="F122" s="78">
        <f>-(F96+F102)</f>
        <v>-201</v>
      </c>
      <c r="G122" s="78">
        <f>-(G96+G102)</f>
        <v>-194</v>
      </c>
      <c r="H122" s="78">
        <f>-(H96+H102)</f>
        <v>-193</v>
      </c>
      <c r="I122" s="78">
        <f>-(I96+I102)</f>
        <v>-196</v>
      </c>
      <c r="J122" s="78">
        <f>-(J96+J102)</f>
        <v>-192</v>
      </c>
    </row>
    <row r="123" spans="2:10">
      <c r="B123" s="26" t="s">
        <v>39</v>
      </c>
      <c r="F123" s="133">
        <f>SUM(F121:F122)</f>
        <v>-227</v>
      </c>
      <c r="G123" s="133">
        <f>SUM(G121:G122)</f>
        <v>-222</v>
      </c>
      <c r="H123" s="133">
        <f>SUM(H121:H122)</f>
        <v>-223</v>
      </c>
      <c r="I123" s="133">
        <f>SUM(I121:I122)</f>
        <v>-225</v>
      </c>
      <c r="J123" s="133">
        <f>SUM(J121:J122)</f>
        <v>-223</v>
      </c>
    </row>
    <row r="124" spans="2:10">
      <c r="B124" s="13"/>
    </row>
    <row r="125" spans="2:10">
      <c r="B125" s="13" t="s">
        <v>95</v>
      </c>
      <c r="F125" s="78">
        <f>-(F159+F167+F175+F181)</f>
        <v>-322.1855000000001</v>
      </c>
      <c r="G125" s="78">
        <f ca="1">-(G159+G167+G175+G181)</f>
        <v>-177.86405000000008</v>
      </c>
      <c r="H125" s="78">
        <f ca="1">-(H159+H167+H175+H181)</f>
        <v>-177.86405000000008</v>
      </c>
      <c r="I125" s="78">
        <f ca="1">-(I159+I167+I175+I181)</f>
        <v>-177.86405000000008</v>
      </c>
      <c r="J125" s="78">
        <f ca="1">-(J159+J167+J175+J181)</f>
        <v>-33.542600000000014</v>
      </c>
    </row>
    <row r="126" spans="2:10">
      <c r="B126" s="27" t="s">
        <v>141</v>
      </c>
      <c r="F126" s="214"/>
      <c r="G126" s="214"/>
      <c r="H126" s="214"/>
      <c r="I126" s="214"/>
      <c r="J126" s="214"/>
    </row>
    <row r="127" spans="2:10">
      <c r="B127" s="118" t="s">
        <v>100</v>
      </c>
      <c r="C127" s="29"/>
      <c r="D127" s="29"/>
      <c r="E127" s="29"/>
      <c r="F127" s="133">
        <f ca="1">F119+F123+SUM(F125:F126)</f>
        <v>316.24569788776984</v>
      </c>
      <c r="G127" s="133">
        <f ca="1">G119+G123+SUM(G125:G126)</f>
        <v>552.62301447339291</v>
      </c>
      <c r="H127" s="133">
        <f ca="1">H119+H123+SUM(H125:H126)</f>
        <v>627.41607769822599</v>
      </c>
      <c r="I127" s="133">
        <f ca="1">I119+I123+SUM(I125:I126)</f>
        <v>671.76170691465563</v>
      </c>
      <c r="J127" s="133">
        <f ca="1">J119+J123+SUM(J125:J126)</f>
        <v>878.51895550271479</v>
      </c>
    </row>
    <row r="128" spans="2:10">
      <c r="B128" s="13" t="s">
        <v>28</v>
      </c>
      <c r="F128" s="81">
        <f ca="1">F152</f>
        <v>0</v>
      </c>
      <c r="G128" s="81">
        <f ca="1">G152</f>
        <v>0</v>
      </c>
      <c r="H128" s="81">
        <f ca="1">H152</f>
        <v>0</v>
      </c>
      <c r="I128" s="81">
        <f ca="1">I152</f>
        <v>0</v>
      </c>
      <c r="J128" s="81">
        <f ca="1">J152</f>
        <v>0</v>
      </c>
    </row>
    <row r="129" spans="2:10">
      <c r="B129" s="118" t="s">
        <v>97</v>
      </c>
      <c r="C129" s="29"/>
      <c r="D129" s="29"/>
      <c r="E129" s="29"/>
      <c r="F129" s="102">
        <f ca="1">SUM(F127:F128)</f>
        <v>316.24569788776984</v>
      </c>
      <c r="G129" s="102">
        <f ca="1">SUM(G127:G128)</f>
        <v>552.62301447339291</v>
      </c>
      <c r="H129" s="102">
        <f ca="1">SUM(H127:H128)</f>
        <v>627.41607769822599</v>
      </c>
      <c r="I129" s="102">
        <f ca="1">SUM(I127:I128)</f>
        <v>671.76170691465563</v>
      </c>
      <c r="J129" s="102">
        <f ca="1">SUM(J127:J128)</f>
        <v>878.51895550271479</v>
      </c>
    </row>
    <row r="130" spans="2:10">
      <c r="B130" s="45" t="s">
        <v>99</v>
      </c>
      <c r="F130" s="81">
        <f ca="1">-(F160)</f>
        <v>-316.24569788776984</v>
      </c>
      <c r="G130" s="81">
        <f ca="1">-(G160)</f>
        <v>-552.62301447339291</v>
      </c>
      <c r="H130" s="81">
        <f ca="1">-(H160)</f>
        <v>-627.41607769822599</v>
      </c>
      <c r="I130" s="81">
        <f ca="1">-(I160)</f>
        <v>-668.53695994061184</v>
      </c>
      <c r="J130" s="81">
        <f ca="1">-(J160)</f>
        <v>0</v>
      </c>
    </row>
    <row r="131" spans="2:10">
      <c r="B131" s="45" t="s">
        <v>101</v>
      </c>
      <c r="F131" s="81">
        <f ca="1">-(F168)</f>
        <v>0</v>
      </c>
      <c r="G131" s="81">
        <f ca="1">-(G168)</f>
        <v>0</v>
      </c>
      <c r="H131" s="81">
        <f ca="1">-(H168)</f>
        <v>0</v>
      </c>
      <c r="I131" s="81">
        <f ca="1">-(I168)</f>
        <v>-3.2247469740437964</v>
      </c>
      <c r="J131" s="81">
        <f ca="1">-(J168)</f>
        <v>-499.91425302595644</v>
      </c>
    </row>
    <row r="132" spans="2:10">
      <c r="B132" s="29" t="s">
        <v>40</v>
      </c>
      <c r="F132" s="133">
        <f ca="1">SUM(F129:F131)</f>
        <v>0</v>
      </c>
      <c r="G132" s="133">
        <f ca="1">SUM(G129:G131)</f>
        <v>0</v>
      </c>
      <c r="H132" s="133">
        <f ca="1">SUM(H129:H131)</f>
        <v>0</v>
      </c>
      <c r="I132" s="133">
        <f ca="1">SUM(I129:I131)</f>
        <v>0</v>
      </c>
      <c r="J132" s="133">
        <f ca="1">SUM(J129:J131)</f>
        <v>378.60470247675835</v>
      </c>
    </row>
    <row r="133" spans="2:10">
      <c r="B133" s="29"/>
      <c r="F133" s="57"/>
      <c r="G133" s="57"/>
      <c r="H133" s="57"/>
      <c r="I133" s="57"/>
      <c r="J133" s="57"/>
    </row>
    <row r="134" spans="2:10">
      <c r="B134" s="91" t="s">
        <v>104</v>
      </c>
      <c r="C134" s="17"/>
      <c r="D134" s="17"/>
      <c r="E134" s="17"/>
      <c r="F134" s="17"/>
      <c r="G134" s="17"/>
      <c r="H134" s="17"/>
      <c r="I134" s="17"/>
      <c r="J134" s="17"/>
    </row>
    <row r="135" spans="2:10">
      <c r="B135" s="44" t="str">
        <f t="shared" ref="B135:J135" si="23">B39</f>
        <v xml:space="preserve">Fiscal year  </v>
      </c>
      <c r="C135" s="39">
        <f t="shared" si="23"/>
        <v>2011</v>
      </c>
      <c r="D135" s="39">
        <f t="shared" si="23"/>
        <v>2012</v>
      </c>
      <c r="E135" s="39">
        <f t="shared" si="23"/>
        <v>2013</v>
      </c>
      <c r="F135" s="40">
        <f t="shared" si="23"/>
        <v>2014</v>
      </c>
      <c r="G135" s="40">
        <f t="shared" si="23"/>
        <v>2015</v>
      </c>
      <c r="H135" s="40">
        <f t="shared" si="23"/>
        <v>2016</v>
      </c>
      <c r="I135" s="40">
        <f t="shared" si="23"/>
        <v>2017</v>
      </c>
      <c r="J135" s="40">
        <f t="shared" si="23"/>
        <v>2018</v>
      </c>
    </row>
    <row r="136" spans="2:10">
      <c r="B136" s="17" t="str">
        <f t="shared" ref="B136:J136" si="24">B40</f>
        <v>Fiscal year end date</v>
      </c>
      <c r="C136" s="41">
        <f t="shared" si="24"/>
        <v>40633</v>
      </c>
      <c r="D136" s="41">
        <f t="shared" si="24"/>
        <v>40999</v>
      </c>
      <c r="E136" s="41">
        <f t="shared" si="24"/>
        <v>41364</v>
      </c>
      <c r="F136" s="41">
        <f t="shared" si="24"/>
        <v>41729</v>
      </c>
      <c r="G136" s="41">
        <f t="shared" si="24"/>
        <v>42094</v>
      </c>
      <c r="H136" s="41">
        <f t="shared" si="24"/>
        <v>42460</v>
      </c>
      <c r="I136" s="41">
        <f t="shared" si="24"/>
        <v>42825</v>
      </c>
      <c r="J136" s="41">
        <f t="shared" si="24"/>
        <v>43190</v>
      </c>
    </row>
    <row r="137" spans="2:10">
      <c r="B137" s="46"/>
      <c r="C137" s="13"/>
      <c r="D137" s="13"/>
      <c r="E137" s="13"/>
      <c r="F137" s="13"/>
      <c r="G137" s="13"/>
      <c r="H137" s="13"/>
      <c r="I137" s="13"/>
      <c r="J137" s="13"/>
    </row>
    <row r="138" spans="2:10">
      <c r="B138" s="31" t="s">
        <v>102</v>
      </c>
      <c r="F138" s="161">
        <f>D16</f>
        <v>180</v>
      </c>
      <c r="G138" s="78">
        <f ca="1">F140</f>
        <v>180</v>
      </c>
      <c r="H138" s="78">
        <f ca="1">G140</f>
        <v>180</v>
      </c>
      <c r="I138" s="78">
        <f ca="1">H140</f>
        <v>180</v>
      </c>
      <c r="J138" s="78">
        <f ca="1">I140</f>
        <v>180</v>
      </c>
    </row>
    <row r="139" spans="2:10">
      <c r="B139" s="48" t="s">
        <v>30</v>
      </c>
      <c r="F139" s="78">
        <f ca="1">F132</f>
        <v>0</v>
      </c>
      <c r="G139" s="78">
        <f ca="1">G132</f>
        <v>0</v>
      </c>
      <c r="H139" s="78">
        <f ca="1">H132</f>
        <v>0</v>
      </c>
      <c r="I139" s="78">
        <f ca="1">I132</f>
        <v>0</v>
      </c>
      <c r="J139" s="78">
        <f ca="1">J132</f>
        <v>378.60470247675835</v>
      </c>
    </row>
    <row r="140" spans="2:10">
      <c r="B140" s="58" t="s">
        <v>103</v>
      </c>
      <c r="C140" s="29"/>
      <c r="D140" s="125">
        <f>1496.9+86.1+52.6</f>
        <v>1635.6</v>
      </c>
      <c r="E140" s="125">
        <f>1379.2+131.2+71.5</f>
        <v>1581.9</v>
      </c>
      <c r="F140" s="133">
        <f ca="1">SUM(F138:F139)</f>
        <v>180</v>
      </c>
      <c r="G140" s="133">
        <f ca="1">SUM(G138:G139)</f>
        <v>180</v>
      </c>
      <c r="H140" s="133">
        <f ca="1">SUM(H138:H139)</f>
        <v>180</v>
      </c>
      <c r="I140" s="133">
        <f ca="1">SUM(I138:I139)</f>
        <v>180</v>
      </c>
      <c r="J140" s="133">
        <f ca="1">SUM(J138:J139)</f>
        <v>558.60470247675835</v>
      </c>
    </row>
    <row r="141" spans="2:10">
      <c r="B141" s="31" t="s">
        <v>47</v>
      </c>
      <c r="D141" s="121">
        <f>D142/AVERAGE(C140:D140)</f>
        <v>6.4808021521154321E-3</v>
      </c>
      <c r="E141" s="121">
        <f>E142/AVERAGE(D140:E140)</f>
        <v>5.1592851592851601E-3</v>
      </c>
      <c r="F141" s="59">
        <f>E141</f>
        <v>5.1592851592851601E-3</v>
      </c>
      <c r="G141" s="59">
        <f>F141</f>
        <v>5.1592851592851601E-3</v>
      </c>
      <c r="H141" s="59">
        <f>G141</f>
        <v>5.1592851592851601E-3</v>
      </c>
      <c r="I141" s="59">
        <f>H141</f>
        <v>5.1592851592851601E-3</v>
      </c>
      <c r="J141" s="59">
        <f>I141</f>
        <v>5.1592851592851601E-3</v>
      </c>
    </row>
    <row r="142" spans="2:10">
      <c r="B142" s="31" t="s">
        <v>13</v>
      </c>
      <c r="C142" s="42"/>
      <c r="D142" s="78">
        <f>D48</f>
        <v>10.6</v>
      </c>
      <c r="E142" s="78">
        <f>E48</f>
        <v>8.3000000000000007</v>
      </c>
      <c r="F142" s="210">
        <f ca="1">IF($D$10="OFF",AVERAGE(F138,F140)*F141,0)</f>
        <v>0.92867132867132884</v>
      </c>
      <c r="G142" s="210">
        <f ca="1">IF($D$10="OFF",AVERAGE(G138,G140)*G141,0)</f>
        <v>0.92867132867132884</v>
      </c>
      <c r="H142" s="210">
        <f ca="1">IF($D$10="OFF",AVERAGE(H138,H140)*H141,0)</f>
        <v>0.92867132867132884</v>
      </c>
      <c r="I142" s="210">
        <f ca="1">IF($D$10="OFF",AVERAGE(I138,I140)*I141,0)</f>
        <v>0.92867132867132884</v>
      </c>
      <c r="J142" s="210">
        <f ca="1">IF($D$10="OFF",AVERAGE(J138,J140)*J141,0)</f>
        <v>1.9053361400332853</v>
      </c>
    </row>
    <row r="143" spans="2:10">
      <c r="B143" s="31"/>
      <c r="C143" s="42"/>
      <c r="D143" s="42"/>
      <c r="E143" s="42"/>
      <c r="F143" s="60"/>
      <c r="G143" s="60"/>
      <c r="H143" s="60"/>
      <c r="I143" s="60"/>
      <c r="J143" s="60"/>
    </row>
    <row r="144" spans="2:10">
      <c r="B144" s="30" t="s">
        <v>28</v>
      </c>
      <c r="C144" s="27"/>
      <c r="D144" s="110"/>
      <c r="E144" s="110"/>
      <c r="F144" s="80"/>
      <c r="G144" s="80"/>
      <c r="H144" s="80"/>
      <c r="I144" s="80"/>
      <c r="J144" s="80"/>
    </row>
    <row r="145" spans="2:10">
      <c r="B145" s="65" t="s">
        <v>107</v>
      </c>
      <c r="C145" s="27"/>
      <c r="D145" s="27"/>
      <c r="E145" s="27"/>
      <c r="F145" s="162">
        <f>F138</f>
        <v>180</v>
      </c>
      <c r="G145" s="162">
        <f ca="1">F140</f>
        <v>180</v>
      </c>
      <c r="H145" s="162">
        <f ca="1">G140</f>
        <v>180</v>
      </c>
      <c r="I145" s="162">
        <f ca="1">H140</f>
        <v>180</v>
      </c>
      <c r="J145" s="162">
        <f ca="1">I140</f>
        <v>180</v>
      </c>
    </row>
    <row r="146" spans="2:10">
      <c r="B146" s="65" t="s">
        <v>43</v>
      </c>
      <c r="C146" s="27"/>
      <c r="D146" s="27"/>
      <c r="E146" s="27"/>
      <c r="F146" s="163">
        <f>D16</f>
        <v>180</v>
      </c>
      <c r="G146" s="163">
        <f>F146</f>
        <v>180</v>
      </c>
      <c r="H146" s="163">
        <f t="shared" ref="H146:J146" si="25">G146</f>
        <v>180</v>
      </c>
      <c r="I146" s="163">
        <f t="shared" si="25"/>
        <v>180</v>
      </c>
      <c r="J146" s="163">
        <f t="shared" si="25"/>
        <v>180</v>
      </c>
    </row>
    <row r="147" spans="2:10">
      <c r="B147" s="65" t="s">
        <v>44</v>
      </c>
      <c r="C147" s="27"/>
      <c r="D147" s="27"/>
      <c r="E147" s="27"/>
      <c r="F147" s="162">
        <f>F145-F146</f>
        <v>0</v>
      </c>
      <c r="G147" s="162">
        <f ca="1">G145-G146</f>
        <v>0</v>
      </c>
      <c r="H147" s="162">
        <f ca="1">H145-H146</f>
        <v>0</v>
      </c>
      <c r="I147" s="162">
        <f ca="1">I145-I146</f>
        <v>0</v>
      </c>
      <c r="J147" s="162">
        <f ca="1">J145-J146</f>
        <v>0</v>
      </c>
    </row>
    <row r="148" spans="2:10">
      <c r="B148" s="112" t="s">
        <v>45</v>
      </c>
      <c r="C148" s="35"/>
      <c r="D148" s="35"/>
      <c r="E148" s="35"/>
      <c r="F148" s="164">
        <f ca="1">F127</f>
        <v>316.24569788776984</v>
      </c>
      <c r="G148" s="164">
        <f ca="1">G127</f>
        <v>552.62301447339291</v>
      </c>
      <c r="H148" s="164">
        <f ca="1">H127</f>
        <v>627.41607769822599</v>
      </c>
      <c r="I148" s="164">
        <f ca="1">I127</f>
        <v>671.76170691465563</v>
      </c>
      <c r="J148" s="164">
        <f ca="1">J127</f>
        <v>878.51895550271479</v>
      </c>
    </row>
    <row r="149" spans="2:10">
      <c r="B149" s="104" t="s">
        <v>108</v>
      </c>
      <c r="C149" s="70"/>
      <c r="D149" s="70"/>
      <c r="E149" s="70"/>
      <c r="F149" s="165">
        <f ca="1">SUM(F147:F148)</f>
        <v>316.24569788776984</v>
      </c>
      <c r="G149" s="165">
        <f ca="1">SUM(G147:G148)</f>
        <v>552.62301447339291</v>
      </c>
      <c r="H149" s="165">
        <f ca="1">SUM(H147:H148)</f>
        <v>627.41607769822599</v>
      </c>
      <c r="I149" s="165">
        <f ca="1">SUM(I147:I148)</f>
        <v>671.76170691465563</v>
      </c>
      <c r="J149" s="165">
        <f ca="1">SUM(J147:J148)</f>
        <v>878.51895550271479</v>
      </c>
    </row>
    <row r="150" spans="2:10">
      <c r="B150" s="27"/>
      <c r="C150" s="27"/>
      <c r="D150" s="27"/>
      <c r="E150" s="27"/>
      <c r="F150" s="27"/>
      <c r="G150" s="27"/>
      <c r="H150" s="27"/>
      <c r="I150" s="27"/>
      <c r="J150" s="27"/>
    </row>
    <row r="151" spans="2:10">
      <c r="B151" s="34" t="s">
        <v>105</v>
      </c>
      <c r="C151" s="27"/>
      <c r="D151" s="27"/>
      <c r="E151" s="27"/>
      <c r="F151" s="166">
        <f>D28</f>
        <v>0</v>
      </c>
      <c r="G151" s="162">
        <f ca="1">F153</f>
        <v>0</v>
      </c>
      <c r="H151" s="162">
        <f ca="1">G153</f>
        <v>0</v>
      </c>
      <c r="I151" s="162">
        <f ca="1">H153</f>
        <v>0</v>
      </c>
      <c r="J151" s="162">
        <f ca="1">I153</f>
        <v>0</v>
      </c>
    </row>
    <row r="152" spans="2:10">
      <c r="B152" s="106" t="s">
        <v>30</v>
      </c>
      <c r="C152" s="27"/>
      <c r="D152" s="27"/>
      <c r="E152" s="27"/>
      <c r="F152" s="162">
        <f ca="1">-MIN(F149,F151)</f>
        <v>0</v>
      </c>
      <c r="G152" s="162">
        <f ca="1">-MIN(G149,G151)</f>
        <v>0</v>
      </c>
      <c r="H152" s="162">
        <f ca="1">-MIN(H149,H151)</f>
        <v>0</v>
      </c>
      <c r="I152" s="162">
        <f ca="1">-MIN(I149,I151)</f>
        <v>0</v>
      </c>
      <c r="J152" s="162">
        <f ca="1">-MIN(J149,J151)</f>
        <v>0</v>
      </c>
    </row>
    <row r="153" spans="2:10">
      <c r="B153" s="107" t="s">
        <v>106</v>
      </c>
      <c r="C153" s="27"/>
      <c r="D153" s="27"/>
      <c r="E153" s="27"/>
      <c r="F153" s="167">
        <f ca="1">SUM(F151:F152)</f>
        <v>0</v>
      </c>
      <c r="G153" s="167">
        <f ca="1">SUM(G151:G152)</f>
        <v>0</v>
      </c>
      <c r="H153" s="167">
        <f ca="1">SUM(H151:H152)</f>
        <v>0</v>
      </c>
      <c r="I153" s="167">
        <f ca="1">SUM(I151:I152)</f>
        <v>0</v>
      </c>
      <c r="J153" s="167">
        <f ca="1">SUM(J151:J152)</f>
        <v>0</v>
      </c>
    </row>
    <row r="154" spans="2:10">
      <c r="B154" s="104" t="s">
        <v>41</v>
      </c>
      <c r="C154" s="27"/>
      <c r="D154" s="108" t="s">
        <v>132</v>
      </c>
      <c r="E154" s="108" t="s">
        <v>133</v>
      </c>
      <c r="F154" s="165">
        <f>$D$155*F74+$E$155*F76</f>
        <v>510.74662499999999</v>
      </c>
      <c r="G154" s="165">
        <f t="shared" ref="G154:J154" si="26">$D$155*G74+$E$155*G76</f>
        <v>538.83768937500008</v>
      </c>
      <c r="H154" s="165">
        <f t="shared" si="26"/>
        <v>571.16795073750006</v>
      </c>
      <c r="I154" s="165">
        <f t="shared" si="26"/>
        <v>599.72634827437514</v>
      </c>
      <c r="J154" s="165">
        <f t="shared" si="26"/>
        <v>628.51321299154506</v>
      </c>
    </row>
    <row r="155" spans="2:10">
      <c r="B155" s="104" t="s">
        <v>42</v>
      </c>
      <c r="C155" s="27"/>
      <c r="D155" s="109">
        <v>0.8</v>
      </c>
      <c r="E155" s="109">
        <v>0.65</v>
      </c>
      <c r="F155" s="113" t="str">
        <f ca="1">IF(F153&gt;F154,"OVERDRAWN","OK")</f>
        <v>OK</v>
      </c>
      <c r="G155" s="113" t="str">
        <f t="shared" ref="G155:J155" ca="1" si="27">IF(G153&gt;G154,"OVERDRAWN","OK")</f>
        <v>OK</v>
      </c>
      <c r="H155" s="113" t="str">
        <f t="shared" ca="1" si="27"/>
        <v>OK</v>
      </c>
      <c r="I155" s="113" t="str">
        <f t="shared" ca="1" si="27"/>
        <v>OK</v>
      </c>
      <c r="J155" s="113" t="str">
        <f t="shared" ca="1" si="27"/>
        <v>OK</v>
      </c>
    </row>
    <row r="156" spans="2:10">
      <c r="B156" s="27"/>
      <c r="C156" s="27"/>
      <c r="D156" s="27"/>
      <c r="E156" s="27"/>
      <c r="F156" s="27"/>
      <c r="G156" s="27"/>
      <c r="H156" s="27"/>
      <c r="I156" s="27"/>
      <c r="J156" s="27"/>
    </row>
    <row r="157" spans="2:10">
      <c r="B157" s="30" t="s">
        <v>83</v>
      </c>
      <c r="C157" s="27"/>
      <c r="D157" s="27"/>
      <c r="E157" s="27"/>
      <c r="F157" s="27"/>
      <c r="G157" s="27"/>
      <c r="H157" s="27"/>
      <c r="I157" s="27"/>
      <c r="J157" s="27"/>
    </row>
    <row r="158" spans="2:10">
      <c r="B158" s="34" t="s">
        <v>87</v>
      </c>
      <c r="C158" s="27"/>
      <c r="D158" s="27"/>
      <c r="E158" s="27"/>
      <c r="F158" s="166">
        <f>D29</f>
        <v>2886.429000000001</v>
      </c>
      <c r="G158" s="162">
        <f ca="1">F161</f>
        <v>2281.5404021122308</v>
      </c>
      <c r="H158" s="162">
        <f ca="1">G161</f>
        <v>1584.595937638838</v>
      </c>
      <c r="I158" s="162">
        <f ca="1">H161</f>
        <v>812.85840994061186</v>
      </c>
      <c r="J158" s="162">
        <f ca="1">I161</f>
        <v>0</v>
      </c>
    </row>
    <row r="159" spans="2:10">
      <c r="B159" s="34" t="s">
        <v>96</v>
      </c>
      <c r="C159" s="27"/>
      <c r="D159" s="27"/>
      <c r="E159" s="27"/>
      <c r="F159" s="163">
        <f>MIN(F162*$F$158,F158)</f>
        <v>288.64290000000011</v>
      </c>
      <c r="G159" s="163">
        <f ca="1">MIN(G162*$F$158,G158)</f>
        <v>144.32145000000006</v>
      </c>
      <c r="H159" s="163">
        <f ca="1">MIN(H162*$F$158,H158)</f>
        <v>144.32145000000006</v>
      </c>
      <c r="I159" s="163">
        <f ca="1">MIN(I162*$F$158,I158)</f>
        <v>144.32145000000006</v>
      </c>
      <c r="J159" s="163">
        <f ca="1">MIN(J162*$F$158,J158)</f>
        <v>0</v>
      </c>
    </row>
    <row r="160" spans="2:10">
      <c r="B160" s="34" t="s">
        <v>98</v>
      </c>
      <c r="C160" s="27"/>
      <c r="D160" s="27"/>
      <c r="E160" s="27"/>
      <c r="F160" s="163">
        <f ca="1">MIN(F158-F159,F163)</f>
        <v>316.24569788776984</v>
      </c>
      <c r="G160" s="163">
        <f ca="1">MIN(G158-G159,G163)</f>
        <v>552.62301447339291</v>
      </c>
      <c r="H160" s="163">
        <f ca="1">MIN(H158-H159,H163)</f>
        <v>627.41607769822599</v>
      </c>
      <c r="I160" s="163">
        <f ca="1">MIN(I158-I159,I163)</f>
        <v>668.53695994061184</v>
      </c>
      <c r="J160" s="163">
        <f ca="1">MIN(J158-J159,J163)</f>
        <v>0</v>
      </c>
    </row>
    <row r="161" spans="2:10">
      <c r="B161" s="107" t="s">
        <v>90</v>
      </c>
      <c r="C161" s="53"/>
      <c r="D161" s="114"/>
      <c r="E161" s="53"/>
      <c r="F161" s="126">
        <f ca="1">F158-F159-F160</f>
        <v>2281.5404021122308</v>
      </c>
      <c r="G161" s="126">
        <f ca="1">G158-G159-G160</f>
        <v>1584.595937638838</v>
      </c>
      <c r="H161" s="126">
        <f ca="1">H158-H159-H160</f>
        <v>812.85840994061186</v>
      </c>
      <c r="I161" s="126">
        <f ca="1">I158-I159-I160</f>
        <v>0</v>
      </c>
      <c r="J161" s="126">
        <f ca="1">J158-J159-J160</f>
        <v>0</v>
      </c>
    </row>
    <row r="162" spans="2:10">
      <c r="B162" s="104" t="s">
        <v>111</v>
      </c>
      <c r="C162" s="70"/>
      <c r="E162" s="110" t="s">
        <v>143</v>
      </c>
      <c r="F162" s="115">
        <v>0.1</v>
      </c>
      <c r="G162" s="115">
        <v>0.05</v>
      </c>
      <c r="H162" s="115">
        <v>0.05</v>
      </c>
      <c r="I162" s="115">
        <v>0.05</v>
      </c>
      <c r="J162" s="115">
        <v>0.05</v>
      </c>
    </row>
    <row r="163" spans="2:10">
      <c r="B163" s="104" t="s">
        <v>142</v>
      </c>
      <c r="C163" s="70"/>
      <c r="E163" s="116">
        <v>1</v>
      </c>
      <c r="F163" s="168">
        <f ca="1">$E$163*(F149+F152)</f>
        <v>316.24569788776984</v>
      </c>
      <c r="G163" s="168">
        <f ca="1">$E$163*(G149+G152)</f>
        <v>552.62301447339291</v>
      </c>
      <c r="H163" s="168">
        <f ca="1">$E$163*(H149+H152)</f>
        <v>627.41607769822599</v>
      </c>
      <c r="I163" s="168">
        <f ca="1">$E$163*(I149+I152)</f>
        <v>671.76170691465563</v>
      </c>
      <c r="J163" s="168">
        <f ca="1">$E$163*(J149+J152)</f>
        <v>878.51895550271479</v>
      </c>
    </row>
    <row r="164" spans="2:10">
      <c r="B164" s="34"/>
      <c r="C164" s="27"/>
      <c r="F164" s="111"/>
      <c r="G164" s="111"/>
      <c r="H164" s="111"/>
      <c r="I164" s="111"/>
      <c r="J164" s="111"/>
    </row>
    <row r="165" spans="2:10">
      <c r="B165" s="30" t="s">
        <v>84</v>
      </c>
      <c r="C165" s="27"/>
      <c r="F165" s="80"/>
      <c r="G165" s="27"/>
      <c r="H165" s="27"/>
      <c r="I165" s="27"/>
      <c r="J165" s="27"/>
    </row>
    <row r="166" spans="2:10">
      <c r="B166" s="34" t="s">
        <v>88</v>
      </c>
      <c r="C166" s="27"/>
      <c r="F166" s="166">
        <f>D30</f>
        <v>670.8520000000002</v>
      </c>
      <c r="G166" s="162">
        <f ca="1">F169</f>
        <v>637.30940000000021</v>
      </c>
      <c r="H166" s="162">
        <f ca="1">G169</f>
        <v>603.76680000000022</v>
      </c>
      <c r="I166" s="162">
        <f ca="1">H169</f>
        <v>570.22420000000022</v>
      </c>
      <c r="J166" s="162">
        <f ca="1">I169</f>
        <v>533.45685302595643</v>
      </c>
    </row>
    <row r="167" spans="2:10">
      <c r="B167" s="34" t="s">
        <v>82</v>
      </c>
      <c r="C167" s="27"/>
      <c r="F167" s="163">
        <f>MIN(F170*$F$166,F166)</f>
        <v>33.542600000000014</v>
      </c>
      <c r="G167" s="163">
        <f ca="1">MIN(G170*$F$166,G166)</f>
        <v>33.542600000000014</v>
      </c>
      <c r="H167" s="163">
        <f ca="1">MIN(H170*$F$166,H166)</f>
        <v>33.542600000000014</v>
      </c>
      <c r="I167" s="163">
        <f ca="1">MIN(I170*$F$166,I166)</f>
        <v>33.542600000000014</v>
      </c>
      <c r="J167" s="163">
        <f ca="1">MIN(J170*$F$166,J166)</f>
        <v>33.542600000000014</v>
      </c>
    </row>
    <row r="168" spans="2:10">
      <c r="B168" s="34" t="s">
        <v>98</v>
      </c>
      <c r="C168" s="27"/>
      <c r="F168" s="163">
        <f ca="1">MIN(F166-F167,F171)</f>
        <v>0</v>
      </c>
      <c r="G168" s="163">
        <f ca="1">MIN(G166-G167,G171)</f>
        <v>0</v>
      </c>
      <c r="H168" s="163">
        <f ca="1">MIN(H166-H167,H171)</f>
        <v>0</v>
      </c>
      <c r="I168" s="163">
        <f ca="1">MIN(I166-I167,I171)</f>
        <v>3.2247469740437964</v>
      </c>
      <c r="J168" s="163">
        <f ca="1">MIN(J166-J167,J171)</f>
        <v>499.91425302595644</v>
      </c>
    </row>
    <row r="169" spans="2:10">
      <c r="B169" s="107" t="s">
        <v>89</v>
      </c>
      <c r="C169" s="53"/>
      <c r="F169" s="126">
        <f ca="1">F166-F167-F168</f>
        <v>637.30940000000021</v>
      </c>
      <c r="G169" s="126">
        <f ca="1">G166-G167-G168</f>
        <v>603.76680000000022</v>
      </c>
      <c r="H169" s="126">
        <f ca="1">H166-H167-H168</f>
        <v>570.22420000000022</v>
      </c>
      <c r="I169" s="126">
        <f ca="1">I166-I167-I168</f>
        <v>533.45685302595643</v>
      </c>
      <c r="J169" s="126">
        <f ca="1">J166-J167-J168</f>
        <v>0</v>
      </c>
    </row>
    <row r="170" spans="2:10">
      <c r="B170" s="104" t="s">
        <v>111</v>
      </c>
      <c r="C170" s="70"/>
      <c r="E170" s="110" t="s">
        <v>143</v>
      </c>
      <c r="F170" s="115">
        <v>0.05</v>
      </c>
      <c r="G170" s="115">
        <v>0.05</v>
      </c>
      <c r="H170" s="115">
        <v>0.05</v>
      </c>
      <c r="I170" s="115">
        <v>0.05</v>
      </c>
      <c r="J170" s="115">
        <v>0.05</v>
      </c>
    </row>
    <row r="171" spans="2:10">
      <c r="B171" s="104" t="s">
        <v>125</v>
      </c>
      <c r="C171" s="70"/>
      <c r="E171" s="116">
        <v>1</v>
      </c>
      <c r="F171" s="169">
        <f ca="1">$E$171*(F149+F152-F160)</f>
        <v>0</v>
      </c>
      <c r="G171" s="169">
        <f ca="1">$E$171*(G149+G152-G160)</f>
        <v>0</v>
      </c>
      <c r="H171" s="169">
        <f ca="1">$E$171*(H149+H152-H160)</f>
        <v>0</v>
      </c>
      <c r="I171" s="169">
        <f ca="1">$E$171*(I149+I152-I160)</f>
        <v>3.2247469740437964</v>
      </c>
      <c r="J171" s="169">
        <f ca="1">$E$171*(J149+J152-J160)</f>
        <v>878.51895550271479</v>
      </c>
    </row>
    <row r="172" spans="2:10">
      <c r="B172" s="86"/>
      <c r="C172" s="63"/>
      <c r="D172" s="63"/>
      <c r="E172" s="63"/>
      <c r="F172" s="94"/>
      <c r="G172" s="94"/>
      <c r="H172" s="94"/>
      <c r="I172" s="94"/>
      <c r="J172" s="94"/>
    </row>
    <row r="173" spans="2:10">
      <c r="B173" s="30" t="s">
        <v>85</v>
      </c>
      <c r="F173" s="42"/>
    </row>
    <row r="174" spans="2:10">
      <c r="B174" s="31" t="s">
        <v>92</v>
      </c>
      <c r="F174" s="161">
        <f>D31</f>
        <v>1632.9950000000006</v>
      </c>
      <c r="G174" s="78">
        <f>F176</f>
        <v>1632.9950000000006</v>
      </c>
      <c r="H174" s="78">
        <f t="shared" ref="H174:J174" si="28">G176</f>
        <v>1632.9950000000006</v>
      </c>
      <c r="I174" s="78">
        <f t="shared" si="28"/>
        <v>1632.9950000000006</v>
      </c>
      <c r="J174" s="78">
        <f t="shared" si="28"/>
        <v>1632.9950000000006</v>
      </c>
    </row>
    <row r="175" spans="2:10">
      <c r="B175" s="31" t="s">
        <v>82</v>
      </c>
      <c r="F175" s="134">
        <f>MIN(F177*$F$174,F174)</f>
        <v>0</v>
      </c>
      <c r="G175" s="134">
        <f>MIN(G177*$F$174,G174)</f>
        <v>0</v>
      </c>
      <c r="H175" s="134">
        <f>MIN(H177*$F$174,H174)</f>
        <v>0</v>
      </c>
      <c r="I175" s="134">
        <f>MIN(I177*$F$174,I174)</f>
        <v>0</v>
      </c>
      <c r="J175" s="134">
        <f>MIN(J177*$F$174,J174)</f>
        <v>0</v>
      </c>
    </row>
    <row r="176" spans="2:10">
      <c r="B176" s="58" t="s">
        <v>91</v>
      </c>
      <c r="C176" s="29"/>
      <c r="D176" s="29"/>
      <c r="E176" s="29"/>
      <c r="F176" s="131">
        <f>F174-F175</f>
        <v>1632.9950000000006</v>
      </c>
      <c r="G176" s="131">
        <f>G174-G175</f>
        <v>1632.9950000000006</v>
      </c>
      <c r="H176" s="131">
        <f>H174-H175</f>
        <v>1632.9950000000006</v>
      </c>
      <c r="I176" s="131">
        <f>I174-I175</f>
        <v>1632.9950000000006</v>
      </c>
      <c r="J176" s="131">
        <f>J174-J175</f>
        <v>1632.9950000000006</v>
      </c>
    </row>
    <row r="177" spans="2:10">
      <c r="B177" s="86" t="s">
        <v>111</v>
      </c>
      <c r="F177" s="90">
        <v>0</v>
      </c>
      <c r="G177" s="90">
        <v>0</v>
      </c>
      <c r="H177" s="90">
        <v>0</v>
      </c>
      <c r="I177" s="90">
        <v>0</v>
      </c>
      <c r="J177" s="90">
        <v>0</v>
      </c>
    </row>
    <row r="178" spans="2:10">
      <c r="B178" s="86"/>
      <c r="F178" s="90"/>
      <c r="G178" s="90"/>
      <c r="H178" s="90"/>
      <c r="I178" s="90"/>
      <c r="J178" s="90"/>
    </row>
    <row r="179" spans="2:10">
      <c r="B179" s="30" t="s">
        <v>86</v>
      </c>
      <c r="F179" s="42"/>
    </row>
    <row r="180" spans="2:10">
      <c r="B180" s="31" t="s">
        <v>94</v>
      </c>
      <c r="F180" s="161">
        <f>D32</f>
        <v>0</v>
      </c>
      <c r="G180" s="78">
        <f>F183</f>
        <v>0</v>
      </c>
      <c r="H180" s="78">
        <f t="shared" ref="H180:J180" si="29">G183</f>
        <v>0</v>
      </c>
      <c r="I180" s="78">
        <f t="shared" si="29"/>
        <v>0</v>
      </c>
      <c r="J180" s="78">
        <f t="shared" si="29"/>
        <v>0</v>
      </c>
    </row>
    <row r="181" spans="2:10">
      <c r="B181" s="31" t="s">
        <v>82</v>
      </c>
      <c r="C181" s="73" t="s">
        <v>127</v>
      </c>
      <c r="D181" s="73" t="s">
        <v>128</v>
      </c>
      <c r="F181" s="134">
        <f>F184*$F$180</f>
        <v>0</v>
      </c>
      <c r="G181" s="134">
        <f>G184*$F$180</f>
        <v>0</v>
      </c>
      <c r="H181" s="134">
        <f>H184*$F$180</f>
        <v>0</v>
      </c>
      <c r="I181" s="134">
        <f>I184*$F$180</f>
        <v>0</v>
      </c>
      <c r="J181" s="134">
        <f>J184*$F$180</f>
        <v>0</v>
      </c>
    </row>
    <row r="182" spans="2:10">
      <c r="B182" s="89" t="s">
        <v>129</v>
      </c>
      <c r="C182" s="88">
        <v>0.04</v>
      </c>
      <c r="D182" s="54">
        <v>0.08</v>
      </c>
      <c r="F182" s="134">
        <f>$C$182*F180</f>
        <v>0</v>
      </c>
      <c r="G182" s="134">
        <f>$C$182*G180</f>
        <v>0</v>
      </c>
      <c r="H182" s="134">
        <f>$C$182*H180</f>
        <v>0</v>
      </c>
      <c r="I182" s="134">
        <f>$C$182*I180</f>
        <v>0</v>
      </c>
      <c r="J182" s="134">
        <f>$C$182*J180</f>
        <v>0</v>
      </c>
    </row>
    <row r="183" spans="2:10">
      <c r="B183" s="58" t="s">
        <v>93</v>
      </c>
      <c r="C183" s="29"/>
      <c r="D183" s="54"/>
      <c r="E183" s="29"/>
      <c r="F183" s="131">
        <f>F180-F181+F182</f>
        <v>0</v>
      </c>
      <c r="G183" s="131">
        <f t="shared" ref="G183:J183" si="30">G180-G181+G182</f>
        <v>0</v>
      </c>
      <c r="H183" s="131">
        <f t="shared" si="30"/>
        <v>0</v>
      </c>
      <c r="I183" s="131">
        <f t="shared" si="30"/>
        <v>0</v>
      </c>
      <c r="J183" s="131">
        <f t="shared" si="30"/>
        <v>0</v>
      </c>
    </row>
    <row r="184" spans="2:10">
      <c r="B184" s="86" t="s">
        <v>111</v>
      </c>
      <c r="F184" s="90">
        <v>0</v>
      </c>
      <c r="G184" s="90">
        <v>0</v>
      </c>
      <c r="H184" s="90">
        <v>0</v>
      </c>
      <c r="I184" s="90">
        <v>0</v>
      </c>
      <c r="J184" s="90">
        <v>0</v>
      </c>
    </row>
    <row r="185" spans="2:10">
      <c r="B185" s="86"/>
      <c r="F185" s="90"/>
      <c r="G185" s="90"/>
      <c r="H185" s="90"/>
      <c r="I185" s="90"/>
      <c r="J185" s="90"/>
    </row>
    <row r="186" spans="2:10">
      <c r="B186" s="30" t="s">
        <v>109</v>
      </c>
      <c r="D186" s="101"/>
      <c r="E186" s="73"/>
      <c r="F186" s="90"/>
      <c r="G186" s="90"/>
      <c r="H186" s="90"/>
      <c r="I186" s="90"/>
      <c r="J186" s="90"/>
    </row>
    <row r="187" spans="2:10">
      <c r="B187" s="31" t="s">
        <v>110</v>
      </c>
      <c r="F187" s="170">
        <f>D33</f>
        <v>0</v>
      </c>
      <c r="G187" s="78">
        <f>F189</f>
        <v>0</v>
      </c>
      <c r="H187" s="78">
        <f t="shared" ref="H187:J187" si="31">G189</f>
        <v>0</v>
      </c>
      <c r="I187" s="78">
        <f t="shared" si="31"/>
        <v>0</v>
      </c>
      <c r="J187" s="78">
        <f t="shared" si="31"/>
        <v>0</v>
      </c>
    </row>
    <row r="188" spans="2:10">
      <c r="B188" s="89" t="s">
        <v>33</v>
      </c>
      <c r="F188" s="134">
        <f>$C$190*F187</f>
        <v>0</v>
      </c>
      <c r="G188" s="134">
        <f>$C$190*G187</f>
        <v>0</v>
      </c>
      <c r="H188" s="134">
        <f>$C$190*H187</f>
        <v>0</v>
      </c>
      <c r="I188" s="134">
        <f>$C$190*I187</f>
        <v>0</v>
      </c>
      <c r="J188" s="134">
        <f>$C$190*J187</f>
        <v>0</v>
      </c>
    </row>
    <row r="189" spans="2:10">
      <c r="B189" s="29" t="s">
        <v>112</v>
      </c>
      <c r="C189" s="73" t="s">
        <v>127</v>
      </c>
      <c r="D189" s="73" t="s">
        <v>128</v>
      </c>
      <c r="E189" s="29"/>
      <c r="F189" s="131">
        <f>F187+F188</f>
        <v>0</v>
      </c>
      <c r="G189" s="131">
        <f>G187+G188</f>
        <v>0</v>
      </c>
      <c r="H189" s="131">
        <f>H187+H188</f>
        <v>0</v>
      </c>
      <c r="I189" s="131">
        <f>I187+I188</f>
        <v>0</v>
      </c>
      <c r="J189" s="131">
        <f>J187+J188</f>
        <v>0</v>
      </c>
    </row>
    <row r="190" spans="2:10">
      <c r="B190" s="89" t="s">
        <v>134</v>
      </c>
      <c r="C190" s="88">
        <v>0.04</v>
      </c>
      <c r="D190" s="54">
        <v>0.08</v>
      </c>
      <c r="F190" s="78">
        <f>$D$190*F189</f>
        <v>0</v>
      </c>
      <c r="G190" s="78">
        <f>$D$190*G189</f>
        <v>0</v>
      </c>
      <c r="H190" s="78">
        <f>$D$190*H189</f>
        <v>0</v>
      </c>
      <c r="I190" s="78">
        <f>$D$190*I189</f>
        <v>0</v>
      </c>
      <c r="J190" s="78">
        <f>$D$190*J189</f>
        <v>0</v>
      </c>
    </row>
    <row r="191" spans="2:10">
      <c r="B191" s="89"/>
      <c r="F191" s="42"/>
    </row>
    <row r="192" spans="2:10">
      <c r="B192" s="145" t="s">
        <v>181</v>
      </c>
      <c r="F192" s="42"/>
    </row>
    <row r="193" spans="2:10">
      <c r="B193" s="31" t="s">
        <v>183</v>
      </c>
      <c r="C193" s="81"/>
      <c r="D193" s="173"/>
      <c r="E193" s="173"/>
      <c r="F193" s="161">
        <f>H33</f>
        <v>69.689165000000031</v>
      </c>
      <c r="G193" s="78">
        <f>F195</f>
        <v>60.02517625000003</v>
      </c>
      <c r="H193" s="78">
        <f t="shared" ref="H193:J193" si="32">G195</f>
        <v>50.361187500000028</v>
      </c>
      <c r="I193" s="78">
        <f t="shared" si="32"/>
        <v>40.697198750000027</v>
      </c>
      <c r="J193" s="78">
        <f t="shared" si="32"/>
        <v>31.033210000000025</v>
      </c>
    </row>
    <row r="194" spans="2:10">
      <c r="B194" s="31" t="s">
        <v>76</v>
      </c>
      <c r="C194" s="81"/>
      <c r="D194" s="81"/>
      <c r="E194" s="81"/>
      <c r="F194" s="78">
        <f>-(SUM($J$28:$J$32))</f>
        <v>-9.6639887500000032</v>
      </c>
      <c r="G194" s="78">
        <f>-(SUM($J$28:$J$32))</f>
        <v>-9.6639887500000032</v>
      </c>
      <c r="H194" s="78">
        <f>-(SUM($J$28:$J$32))</f>
        <v>-9.6639887500000032</v>
      </c>
      <c r="I194" s="78">
        <f>-(SUM($J$28:$J$32))</f>
        <v>-9.6639887500000032</v>
      </c>
      <c r="J194" s="78">
        <f>-(SUM($J$28:$J$32))</f>
        <v>-9.6639887500000032</v>
      </c>
    </row>
    <row r="195" spans="2:10">
      <c r="B195" s="29" t="s">
        <v>184</v>
      </c>
      <c r="C195" s="81"/>
      <c r="D195" s="81"/>
      <c r="E195" s="81"/>
      <c r="F195" s="133">
        <f>F193+F194</f>
        <v>60.02517625000003</v>
      </c>
      <c r="G195" s="133">
        <f t="shared" ref="G195:J195" si="33">G193+G194</f>
        <v>50.361187500000028</v>
      </c>
      <c r="H195" s="133">
        <f t="shared" si="33"/>
        <v>40.697198750000027</v>
      </c>
      <c r="I195" s="133">
        <f t="shared" si="33"/>
        <v>31.033210000000025</v>
      </c>
      <c r="J195" s="133">
        <f t="shared" si="33"/>
        <v>21.369221250000024</v>
      </c>
    </row>
    <row r="196" spans="2:10">
      <c r="B196" s="89"/>
      <c r="F196" s="42"/>
    </row>
    <row r="197" spans="2:10">
      <c r="B197" s="15" t="s">
        <v>162</v>
      </c>
      <c r="C197" s="17"/>
      <c r="D197" s="17"/>
      <c r="E197" s="17"/>
      <c r="F197" s="17"/>
      <c r="G197" s="17"/>
      <c r="H197" s="17"/>
      <c r="I197" s="17"/>
      <c r="J197" s="17"/>
    </row>
    <row r="198" spans="2:10">
      <c r="B198" s="13" t="s">
        <v>5</v>
      </c>
      <c r="C198" s="18">
        <f>C$39</f>
        <v>2011</v>
      </c>
      <c r="D198" s="18">
        <f>D$39</f>
        <v>2012</v>
      </c>
      <c r="E198" s="18">
        <f t="shared" ref="E198:J198" si="34">E$39</f>
        <v>2013</v>
      </c>
      <c r="F198" s="19">
        <f t="shared" si="34"/>
        <v>2014</v>
      </c>
      <c r="G198" s="19">
        <f t="shared" si="34"/>
        <v>2015</v>
      </c>
      <c r="H198" s="19">
        <f t="shared" si="34"/>
        <v>2016</v>
      </c>
      <c r="I198" s="19">
        <f t="shared" si="34"/>
        <v>2017</v>
      </c>
      <c r="J198" s="19">
        <f t="shared" si="34"/>
        <v>2018</v>
      </c>
    </row>
    <row r="199" spans="2:10">
      <c r="B199" s="20" t="s">
        <v>6</v>
      </c>
      <c r="C199" s="22">
        <f>C$40</f>
        <v>40633</v>
      </c>
      <c r="D199" s="22">
        <f>D$40</f>
        <v>40999</v>
      </c>
      <c r="E199" s="22">
        <f t="shared" ref="E199:J199" si="35">E$40</f>
        <v>41364</v>
      </c>
      <c r="F199" s="22">
        <f t="shared" si="35"/>
        <v>41729</v>
      </c>
      <c r="G199" s="22">
        <f t="shared" si="35"/>
        <v>42094</v>
      </c>
      <c r="H199" s="22">
        <f t="shared" si="35"/>
        <v>42460</v>
      </c>
      <c r="I199" s="22">
        <f t="shared" si="35"/>
        <v>42825</v>
      </c>
      <c r="J199" s="22">
        <f t="shared" si="35"/>
        <v>43190</v>
      </c>
    </row>
    <row r="200" spans="2:10">
      <c r="B200" s="26"/>
      <c r="C200" s="13"/>
      <c r="D200" s="13"/>
      <c r="E200" s="13"/>
      <c r="F200" s="13"/>
      <c r="G200" s="13"/>
      <c r="H200" s="13"/>
      <c r="I200" s="13"/>
      <c r="J200" s="13"/>
    </row>
    <row r="201" spans="2:10">
      <c r="B201" s="89" t="s">
        <v>158</v>
      </c>
      <c r="C201" s="140"/>
      <c r="D201" s="23"/>
      <c r="E201" s="13"/>
      <c r="F201" s="141">
        <v>49.08</v>
      </c>
      <c r="G201" s="141">
        <v>82.86</v>
      </c>
      <c r="H201" s="141">
        <v>134.82</v>
      </c>
      <c r="I201" s="141">
        <v>184.42</v>
      </c>
      <c r="J201" s="141">
        <v>221.26</v>
      </c>
    </row>
    <row r="202" spans="2:10">
      <c r="B202" s="31"/>
      <c r="C202" s="73" t="s">
        <v>159</v>
      </c>
      <c r="D202" s="73" t="s">
        <v>160</v>
      </c>
      <c r="E202" s="73" t="s">
        <v>161</v>
      </c>
      <c r="F202" s="138"/>
      <c r="G202" s="138"/>
      <c r="H202" s="138"/>
      <c r="I202" s="138"/>
      <c r="J202" s="138"/>
    </row>
    <row r="203" spans="2:10">
      <c r="B203" s="36" t="s">
        <v>28</v>
      </c>
      <c r="C203" s="142">
        <v>0.04</v>
      </c>
      <c r="D203" s="64">
        <v>0</v>
      </c>
      <c r="E203" s="105"/>
      <c r="F203" s="147"/>
      <c r="G203" s="147"/>
      <c r="H203" s="147"/>
      <c r="I203" s="147"/>
      <c r="J203" s="147"/>
    </row>
    <row r="204" spans="2:10">
      <c r="B204" s="31" t="s">
        <v>83</v>
      </c>
      <c r="C204" s="142">
        <v>0.04</v>
      </c>
      <c r="D204" s="64">
        <v>0.01</v>
      </c>
      <c r="E204" s="105"/>
      <c r="F204" s="147"/>
      <c r="G204" s="147"/>
      <c r="H204" s="147"/>
      <c r="I204" s="147"/>
      <c r="J204" s="147"/>
    </row>
    <row r="205" spans="2:10">
      <c r="B205" s="31" t="s">
        <v>84</v>
      </c>
      <c r="C205" s="142">
        <v>0.04</v>
      </c>
      <c r="D205" s="64">
        <v>0</v>
      </c>
      <c r="E205" s="105"/>
      <c r="F205" s="147"/>
      <c r="G205" s="147"/>
      <c r="H205" s="147"/>
      <c r="I205" s="147"/>
      <c r="J205" s="147"/>
    </row>
    <row r="206" spans="2:10">
      <c r="B206" s="31" t="s">
        <v>85</v>
      </c>
      <c r="C206" s="105"/>
      <c r="D206" s="105"/>
      <c r="E206" s="144">
        <v>8.1250000000000003E-2</v>
      </c>
      <c r="F206" s="78"/>
      <c r="G206" s="78"/>
      <c r="H206" s="78"/>
      <c r="I206" s="78"/>
      <c r="J206" s="78"/>
    </row>
    <row r="207" spans="2:10">
      <c r="B207" s="31" t="s">
        <v>131</v>
      </c>
      <c r="C207" s="105"/>
      <c r="D207" s="105"/>
      <c r="F207" s="78"/>
      <c r="G207" s="78"/>
      <c r="H207" s="78"/>
      <c r="I207" s="78"/>
      <c r="J207" s="78"/>
    </row>
    <row r="208" spans="2:10">
      <c r="B208" s="31" t="s">
        <v>130</v>
      </c>
      <c r="C208" s="135"/>
      <c r="D208" s="105"/>
      <c r="F208" s="78"/>
      <c r="G208" s="78"/>
      <c r="H208" s="78"/>
      <c r="I208" s="78"/>
      <c r="J208" s="78"/>
    </row>
    <row r="209" spans="2:10">
      <c r="B209" s="31"/>
      <c r="C209" s="29"/>
      <c r="D209" s="29"/>
      <c r="E209" s="26"/>
      <c r="F209" s="96"/>
      <c r="G209" s="96"/>
      <c r="H209" s="96"/>
      <c r="I209" s="96"/>
      <c r="J209" s="57"/>
    </row>
  </sheetData>
  <dataValidations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183"/>
    </row>
    <row r="3" spans="2:5">
      <c r="B3" s="180" t="str">
        <f>LBO!B3</f>
        <v>$ mm except per share</v>
      </c>
      <c r="C3" s="10"/>
    </row>
    <row r="4" spans="2:5">
      <c r="B4" s="36"/>
      <c r="C4" s="10"/>
    </row>
    <row r="5" spans="2:5">
      <c r="B5" s="36" t="s">
        <v>163</v>
      </c>
      <c r="C5" s="10"/>
      <c r="E5" s="148">
        <v>46.25</v>
      </c>
    </row>
    <row r="6" spans="2:5">
      <c r="B6" s="182" t="str">
        <f>IF(E6&lt;&gt;E5,"Please ensure offer price matches offer price in model.","")</f>
        <v/>
      </c>
      <c r="C6" s="10"/>
      <c r="E6" s="181">
        <f>LBO!H20</f>
        <v>46.25</v>
      </c>
    </row>
    <row r="7" spans="2:5">
      <c r="B7" s="79" t="s">
        <v>167</v>
      </c>
      <c r="E7" s="74">
        <f>143.973</f>
        <v>143.97300000000001</v>
      </c>
    </row>
    <row r="8" spans="2:5">
      <c r="B8" s="36" t="s">
        <v>56</v>
      </c>
      <c r="C8" s="10"/>
      <c r="E8" s="120">
        <f>E28</f>
        <v>10.7</v>
      </c>
    </row>
    <row r="9" spans="2:5">
      <c r="B9" s="31" t="s">
        <v>48</v>
      </c>
      <c r="C9" s="10"/>
      <c r="E9" s="147">
        <f>SUMPRODUCT(D18:D27,E18:E27)</f>
        <v>411.70000000000005</v>
      </c>
    </row>
    <row r="10" spans="2:5">
      <c r="B10" s="31" t="s">
        <v>49</v>
      </c>
      <c r="C10" s="10"/>
      <c r="E10" s="147">
        <f>E9/E5</f>
        <v>8.9016216216216222</v>
      </c>
    </row>
    <row r="11" spans="2:5">
      <c r="B11" s="31" t="s">
        <v>50</v>
      </c>
      <c r="C11" s="10"/>
      <c r="E11" s="147">
        <f>E8-E10</f>
        <v>1.7983783783783771</v>
      </c>
    </row>
    <row r="12" spans="2:5">
      <c r="B12" s="31" t="s">
        <v>51</v>
      </c>
      <c r="C12" s="10"/>
      <c r="E12" s="74">
        <v>0</v>
      </c>
    </row>
    <row r="13" spans="2:5">
      <c r="B13" s="31"/>
      <c r="C13" s="10"/>
      <c r="E13" s="74"/>
    </row>
    <row r="14" spans="2:5">
      <c r="B14" s="46" t="s">
        <v>52</v>
      </c>
      <c r="C14" s="10"/>
      <c r="D14" s="78"/>
      <c r="E14" s="147">
        <f>E7+E11+E12</f>
        <v>145.77137837837839</v>
      </c>
    </row>
    <row r="15" spans="2:5">
      <c r="B15" s="46"/>
      <c r="C15" s="10"/>
      <c r="D15" s="78"/>
      <c r="E15" s="147"/>
    </row>
    <row r="16" spans="2:5">
      <c r="B16" s="91" t="s">
        <v>185</v>
      </c>
      <c r="C16" s="17"/>
      <c r="D16" s="149"/>
      <c r="E16" s="72"/>
    </row>
    <row r="17" spans="2:5">
      <c r="C17" s="95" t="s">
        <v>164</v>
      </c>
      <c r="D17" s="95" t="s">
        <v>55</v>
      </c>
      <c r="E17" s="146" t="s">
        <v>165</v>
      </c>
    </row>
    <row r="18" spans="2:5">
      <c r="B18" s="175">
        <v>1</v>
      </c>
      <c r="C18" s="176">
        <v>0.2</v>
      </c>
      <c r="D18" s="176">
        <v>15</v>
      </c>
      <c r="E18" s="177">
        <f t="shared" ref="E18:E27" si="0">IF(D18&lt;$E$5,C18,0)</f>
        <v>0.2</v>
      </c>
    </row>
    <row r="19" spans="2:5">
      <c r="B19" s="175">
        <f>B18+1</f>
        <v>2</v>
      </c>
      <c r="C19" s="176">
        <v>0.7</v>
      </c>
      <c r="D19" s="176">
        <v>18</v>
      </c>
      <c r="E19" s="177">
        <f t="shared" si="0"/>
        <v>0.7</v>
      </c>
    </row>
    <row r="20" spans="2:5">
      <c r="B20" s="175">
        <f t="shared" ref="B20:B24" si="1">B19+1</f>
        <v>3</v>
      </c>
      <c r="C20" s="176">
        <v>0.1</v>
      </c>
      <c r="D20" s="176">
        <v>22</v>
      </c>
      <c r="E20" s="177">
        <f t="shared" si="0"/>
        <v>0.1</v>
      </c>
    </row>
    <row r="21" spans="2:5">
      <c r="B21" s="175">
        <f t="shared" si="1"/>
        <v>4</v>
      </c>
      <c r="C21" s="176">
        <v>0.3</v>
      </c>
      <c r="D21" s="176">
        <v>28</v>
      </c>
      <c r="E21" s="177">
        <f t="shared" si="0"/>
        <v>0.3</v>
      </c>
    </row>
    <row r="22" spans="2:5">
      <c r="B22" s="175">
        <f t="shared" si="1"/>
        <v>5</v>
      </c>
      <c r="C22" s="176">
        <v>0.3</v>
      </c>
      <c r="D22" s="176">
        <v>32</v>
      </c>
      <c r="E22" s="177">
        <f t="shared" si="0"/>
        <v>0.3</v>
      </c>
    </row>
    <row r="23" spans="2:5">
      <c r="B23" s="175">
        <f t="shared" si="1"/>
        <v>6</v>
      </c>
      <c r="C23" s="176">
        <v>0.4</v>
      </c>
      <c r="D23" s="176">
        <v>36</v>
      </c>
      <c r="E23" s="177">
        <f t="shared" si="0"/>
        <v>0.4</v>
      </c>
    </row>
    <row r="24" spans="2:5">
      <c r="B24" s="175">
        <f t="shared" si="1"/>
        <v>7</v>
      </c>
      <c r="C24" s="176">
        <v>1.3</v>
      </c>
      <c r="D24" s="176">
        <v>39</v>
      </c>
      <c r="E24" s="177">
        <f t="shared" si="0"/>
        <v>1.3</v>
      </c>
    </row>
    <row r="25" spans="2:5">
      <c r="B25" s="175">
        <f t="shared" ref="B25:B26" si="2">B24+1</f>
        <v>8</v>
      </c>
      <c r="C25" s="176">
        <v>7.4</v>
      </c>
      <c r="D25" s="176">
        <v>42</v>
      </c>
      <c r="E25" s="177">
        <f t="shared" si="0"/>
        <v>7.4</v>
      </c>
    </row>
    <row r="26" spans="2:5">
      <c r="B26" s="175">
        <f t="shared" si="2"/>
        <v>9</v>
      </c>
      <c r="C26" s="176"/>
      <c r="D26" s="176"/>
      <c r="E26" s="177">
        <f t="shared" si="0"/>
        <v>0</v>
      </c>
    </row>
    <row r="27" spans="2:5">
      <c r="B27" s="175">
        <f t="shared" ref="B27" si="3">B26+1</f>
        <v>10</v>
      </c>
      <c r="C27" s="176"/>
      <c r="D27" s="176"/>
      <c r="E27" s="178">
        <f t="shared" si="0"/>
        <v>0</v>
      </c>
    </row>
    <row r="28" spans="2:5">
      <c r="E28" s="179">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1" t="s">
        <v>59</v>
      </c>
      <c r="B2" s="69"/>
      <c r="C2" s="69"/>
      <c r="D2" s="69"/>
      <c r="E2" s="69"/>
      <c r="F2" s="69"/>
    </row>
    <row r="4" spans="1:6">
      <c r="A4" t="s">
        <v>60</v>
      </c>
      <c r="E4" s="29">
        <f>MAX(E8:E268)</f>
        <v>46.33</v>
      </c>
    </row>
    <row r="5" spans="1:6">
      <c r="A5" t="s">
        <v>61</v>
      </c>
      <c r="E5" s="29">
        <f>MIN(E8:E268)</f>
        <v>37.51</v>
      </c>
    </row>
    <row r="7" spans="1:6">
      <c r="A7" t="s">
        <v>62</v>
      </c>
      <c r="B7" t="s">
        <v>63</v>
      </c>
      <c r="C7" t="s">
        <v>57</v>
      </c>
      <c r="D7" t="s">
        <v>58</v>
      </c>
      <c r="E7" s="29" t="s">
        <v>64</v>
      </c>
      <c r="F7" t="s">
        <v>65</v>
      </c>
    </row>
    <row r="8" spans="1:6">
      <c r="A8" s="67">
        <v>41400</v>
      </c>
      <c r="B8">
        <v>45.5</v>
      </c>
      <c r="C8">
        <v>45.71</v>
      </c>
      <c r="D8">
        <v>45.07</v>
      </c>
      <c r="E8" s="29">
        <v>45.42</v>
      </c>
      <c r="F8">
        <v>34229100</v>
      </c>
    </row>
    <row r="9" spans="1:6">
      <c r="A9" s="67">
        <v>41397</v>
      </c>
      <c r="B9">
        <v>45.67</v>
      </c>
      <c r="C9">
        <v>45.77</v>
      </c>
      <c r="D9">
        <v>45.35</v>
      </c>
      <c r="E9" s="29">
        <v>45.42</v>
      </c>
      <c r="F9">
        <v>2058200</v>
      </c>
    </row>
    <row r="10" spans="1:6">
      <c r="A10" s="67">
        <v>41396</v>
      </c>
      <c r="B10">
        <v>45.45</v>
      </c>
      <c r="C10">
        <v>45.49</v>
      </c>
      <c r="D10">
        <v>44.97</v>
      </c>
      <c r="E10" s="29">
        <v>45.24</v>
      </c>
      <c r="F10">
        <v>3022300</v>
      </c>
    </row>
    <row r="11" spans="1:6">
      <c r="A11" s="67">
        <v>41395</v>
      </c>
      <c r="B11">
        <v>45.84</v>
      </c>
      <c r="C11">
        <v>45.96</v>
      </c>
      <c r="D11">
        <v>45.25</v>
      </c>
      <c r="E11" s="29">
        <v>45.39</v>
      </c>
      <c r="F11">
        <v>2306800</v>
      </c>
    </row>
    <row r="12" spans="1:6">
      <c r="A12" s="67">
        <v>41394</v>
      </c>
      <c r="B12">
        <v>45.34</v>
      </c>
      <c r="C12">
        <v>45.52</v>
      </c>
      <c r="D12">
        <v>45.17</v>
      </c>
      <c r="E12" s="29">
        <v>45.48</v>
      </c>
      <c r="F12">
        <v>2096700</v>
      </c>
    </row>
    <row r="13" spans="1:6">
      <c r="A13" s="67">
        <v>41393</v>
      </c>
      <c r="B13">
        <v>45.5</v>
      </c>
      <c r="C13">
        <v>45.7</v>
      </c>
      <c r="D13">
        <v>45.28</v>
      </c>
      <c r="E13" s="29">
        <v>45.43</v>
      </c>
      <c r="F13">
        <v>2294400</v>
      </c>
    </row>
    <row r="14" spans="1:6">
      <c r="A14" s="67">
        <v>41390</v>
      </c>
      <c r="B14">
        <v>45.68</v>
      </c>
      <c r="C14">
        <v>45.86</v>
      </c>
      <c r="D14">
        <v>45.53</v>
      </c>
      <c r="E14" s="29">
        <v>45.6</v>
      </c>
      <c r="F14">
        <v>1694700</v>
      </c>
    </row>
    <row r="15" spans="1:6">
      <c r="A15" s="67">
        <v>41389</v>
      </c>
      <c r="B15">
        <v>45.07</v>
      </c>
      <c r="C15">
        <v>45.83</v>
      </c>
      <c r="D15">
        <v>44.87</v>
      </c>
      <c r="E15" s="29">
        <v>45.69</v>
      </c>
      <c r="F15">
        <v>2360900</v>
      </c>
    </row>
    <row r="16" spans="1:6">
      <c r="A16" s="67">
        <v>41388</v>
      </c>
      <c r="B16">
        <v>45</v>
      </c>
      <c r="C16">
        <v>45.62</v>
      </c>
      <c r="D16">
        <v>44.22</v>
      </c>
      <c r="E16" s="29">
        <v>44.9</v>
      </c>
      <c r="F16">
        <v>6814000</v>
      </c>
    </row>
    <row r="17" spans="1:6">
      <c r="A17" s="67">
        <v>41387</v>
      </c>
      <c r="B17">
        <v>44.05</v>
      </c>
      <c r="C17">
        <v>44.29</v>
      </c>
      <c r="D17">
        <v>43.66</v>
      </c>
      <c r="E17" s="29">
        <v>44.13</v>
      </c>
      <c r="F17">
        <v>2856300</v>
      </c>
    </row>
    <row r="18" spans="1:6">
      <c r="A18" s="67">
        <v>41386</v>
      </c>
      <c r="B18">
        <v>44.08</v>
      </c>
      <c r="C18">
        <v>44.09</v>
      </c>
      <c r="D18">
        <v>43.41</v>
      </c>
      <c r="E18" s="29">
        <v>43.88</v>
      </c>
      <c r="F18">
        <v>1078900</v>
      </c>
    </row>
    <row r="19" spans="1:6">
      <c r="A19" s="67">
        <v>41383</v>
      </c>
      <c r="B19">
        <v>43.56</v>
      </c>
      <c r="C19">
        <v>44.08</v>
      </c>
      <c r="D19">
        <v>43.3</v>
      </c>
      <c r="E19" s="29">
        <v>43.86</v>
      </c>
      <c r="F19">
        <v>1367800</v>
      </c>
    </row>
    <row r="20" spans="1:6">
      <c r="A20" s="67">
        <v>41382</v>
      </c>
      <c r="B20">
        <v>44.21</v>
      </c>
      <c r="C20">
        <v>44.25</v>
      </c>
      <c r="D20">
        <v>43.44</v>
      </c>
      <c r="E20" s="29">
        <v>43.75</v>
      </c>
      <c r="F20">
        <v>1451300</v>
      </c>
    </row>
    <row r="21" spans="1:6">
      <c r="A21" s="67">
        <v>41381</v>
      </c>
      <c r="B21">
        <v>44.51</v>
      </c>
      <c r="C21">
        <v>44.68</v>
      </c>
      <c r="D21">
        <v>43.54</v>
      </c>
      <c r="E21" s="29">
        <v>44.03</v>
      </c>
      <c r="F21">
        <v>2156400</v>
      </c>
    </row>
    <row r="22" spans="1:6">
      <c r="A22" s="67">
        <v>41380</v>
      </c>
      <c r="B22">
        <v>44.59</v>
      </c>
      <c r="C22">
        <v>45.03</v>
      </c>
      <c r="D22">
        <v>44.5</v>
      </c>
      <c r="E22" s="29">
        <v>44.88</v>
      </c>
      <c r="F22">
        <v>1223400</v>
      </c>
    </row>
    <row r="23" spans="1:6">
      <c r="A23" s="67">
        <v>41379</v>
      </c>
      <c r="B23">
        <v>44.9</v>
      </c>
      <c r="C23">
        <v>45</v>
      </c>
      <c r="D23">
        <v>44.32</v>
      </c>
      <c r="E23" s="29">
        <v>44.32</v>
      </c>
      <c r="F23">
        <v>1273900</v>
      </c>
    </row>
    <row r="24" spans="1:6">
      <c r="A24" s="67">
        <v>41376</v>
      </c>
      <c r="B24">
        <v>45.02</v>
      </c>
      <c r="C24">
        <v>45.02</v>
      </c>
      <c r="D24">
        <v>44.65</v>
      </c>
      <c r="E24" s="29">
        <v>44.93</v>
      </c>
      <c r="F24">
        <v>1566600</v>
      </c>
    </row>
    <row r="25" spans="1:6">
      <c r="A25" s="67">
        <v>41375</v>
      </c>
      <c r="B25">
        <v>44.72</v>
      </c>
      <c r="C25">
        <v>45.65</v>
      </c>
      <c r="D25">
        <v>44.53</v>
      </c>
      <c r="E25" s="29">
        <v>45.02</v>
      </c>
      <c r="F25">
        <v>4248900</v>
      </c>
    </row>
    <row r="26" spans="1:6">
      <c r="A26" s="67">
        <v>41374</v>
      </c>
      <c r="B26">
        <v>44.45</v>
      </c>
      <c r="C26">
        <v>44.93</v>
      </c>
      <c r="D26">
        <v>44.37</v>
      </c>
      <c r="E26" s="29">
        <v>44.75</v>
      </c>
      <c r="F26">
        <v>2023200</v>
      </c>
    </row>
    <row r="27" spans="1:6">
      <c r="A27" s="67">
        <v>41373</v>
      </c>
      <c r="B27">
        <v>44.5</v>
      </c>
      <c r="C27">
        <v>44.62</v>
      </c>
      <c r="D27">
        <v>43.98</v>
      </c>
      <c r="E27" s="29">
        <v>44.34</v>
      </c>
      <c r="F27">
        <v>1952800</v>
      </c>
    </row>
    <row r="28" spans="1:6">
      <c r="A28" s="67">
        <v>41372</v>
      </c>
      <c r="B28">
        <v>45.05</v>
      </c>
      <c r="C28">
        <v>45.1</v>
      </c>
      <c r="D28">
        <v>44.42</v>
      </c>
      <c r="E28" s="29">
        <v>44.45</v>
      </c>
      <c r="F28">
        <v>1625500</v>
      </c>
    </row>
    <row r="29" spans="1:6">
      <c r="A29" s="67">
        <v>41369</v>
      </c>
      <c r="B29">
        <v>44.55</v>
      </c>
      <c r="C29">
        <v>45.28</v>
      </c>
      <c r="D29">
        <v>44.03</v>
      </c>
      <c r="E29" s="29">
        <v>45.11</v>
      </c>
      <c r="F29">
        <v>1635700</v>
      </c>
    </row>
    <row r="30" spans="1:6">
      <c r="A30" s="67">
        <v>41368</v>
      </c>
      <c r="B30">
        <v>45.42</v>
      </c>
      <c r="C30">
        <v>45.59</v>
      </c>
      <c r="D30">
        <v>44.93</v>
      </c>
      <c r="E30" s="29">
        <v>45.14</v>
      </c>
      <c r="F30">
        <v>1004100</v>
      </c>
    </row>
    <row r="31" spans="1:6">
      <c r="A31" s="67">
        <v>41367</v>
      </c>
      <c r="B31">
        <v>46.09</v>
      </c>
      <c r="C31">
        <v>46.3</v>
      </c>
      <c r="D31">
        <v>45.07</v>
      </c>
      <c r="E31" s="29">
        <v>45.44</v>
      </c>
      <c r="F31">
        <v>1471300</v>
      </c>
    </row>
    <row r="32" spans="1:6">
      <c r="A32" s="67">
        <v>41366</v>
      </c>
      <c r="B32">
        <v>46.19</v>
      </c>
      <c r="C32">
        <v>46.49</v>
      </c>
      <c r="D32">
        <v>46.03</v>
      </c>
      <c r="E32" s="29">
        <v>46.06</v>
      </c>
      <c r="F32">
        <v>1169600</v>
      </c>
    </row>
    <row r="33" spans="1:6">
      <c r="A33" s="67">
        <v>41365</v>
      </c>
      <c r="B33">
        <v>46.29</v>
      </c>
      <c r="C33">
        <v>46.5</v>
      </c>
      <c r="D33">
        <v>45.87</v>
      </c>
      <c r="E33" s="29">
        <v>46.02</v>
      </c>
      <c r="F33">
        <v>1124600</v>
      </c>
    </row>
    <row r="34" spans="1:6">
      <c r="A34" s="67">
        <v>41362</v>
      </c>
      <c r="B34">
        <v>46.33</v>
      </c>
      <c r="C34">
        <v>46.33</v>
      </c>
      <c r="D34">
        <v>46.33</v>
      </c>
      <c r="E34" s="29">
        <v>46.33</v>
      </c>
      <c r="F34">
        <v>0</v>
      </c>
    </row>
    <row r="35" spans="1:6">
      <c r="A35" s="67">
        <v>41361</v>
      </c>
      <c r="B35">
        <v>45.61</v>
      </c>
      <c r="C35">
        <v>46.48</v>
      </c>
      <c r="D35">
        <v>45.61</v>
      </c>
      <c r="E35" s="29">
        <v>46.33</v>
      </c>
      <c r="F35">
        <v>1145800</v>
      </c>
    </row>
    <row r="36" spans="1:6">
      <c r="A36" s="67">
        <v>41360</v>
      </c>
      <c r="B36">
        <v>45.63</v>
      </c>
      <c r="C36">
        <v>45.92</v>
      </c>
      <c r="D36">
        <v>45.25</v>
      </c>
      <c r="E36" s="29">
        <v>45.73</v>
      </c>
      <c r="F36">
        <v>1127000</v>
      </c>
    </row>
    <row r="37" spans="1:6">
      <c r="A37" s="67">
        <v>41359</v>
      </c>
      <c r="B37">
        <v>45.86</v>
      </c>
      <c r="C37">
        <v>46.18</v>
      </c>
      <c r="D37">
        <v>45.66</v>
      </c>
      <c r="E37" s="29">
        <v>45.78</v>
      </c>
      <c r="F37">
        <v>1283100</v>
      </c>
    </row>
    <row r="38" spans="1:6">
      <c r="A38" s="67">
        <v>41358</v>
      </c>
      <c r="B38">
        <v>45.95</v>
      </c>
      <c r="C38">
        <v>46.05</v>
      </c>
      <c r="D38">
        <v>45.49</v>
      </c>
      <c r="E38" s="29">
        <v>45.7</v>
      </c>
      <c r="F38">
        <v>1757200</v>
      </c>
    </row>
    <row r="39" spans="1:6">
      <c r="A39" s="67">
        <v>41355</v>
      </c>
      <c r="B39">
        <v>45.49</v>
      </c>
      <c r="C39">
        <v>45.93</v>
      </c>
      <c r="D39">
        <v>45.39</v>
      </c>
      <c r="E39" s="29">
        <v>45.74</v>
      </c>
      <c r="F39">
        <v>2110000</v>
      </c>
    </row>
    <row r="40" spans="1:6">
      <c r="A40" s="67">
        <v>41354</v>
      </c>
      <c r="B40">
        <v>43.61</v>
      </c>
      <c r="C40">
        <v>47.98</v>
      </c>
      <c r="D40">
        <v>43.5</v>
      </c>
      <c r="E40" s="29">
        <v>45.48</v>
      </c>
      <c r="F40">
        <v>6592300</v>
      </c>
    </row>
    <row r="41" spans="1:6">
      <c r="A41" s="67">
        <v>41353</v>
      </c>
      <c r="B41">
        <v>44.03</v>
      </c>
      <c r="C41">
        <v>44.45</v>
      </c>
      <c r="D41">
        <v>43.83</v>
      </c>
      <c r="E41" s="29">
        <v>43.99</v>
      </c>
      <c r="F41">
        <v>914200</v>
      </c>
    </row>
    <row r="42" spans="1:6">
      <c r="A42" s="67">
        <v>41352</v>
      </c>
      <c r="B42">
        <v>44.09</v>
      </c>
      <c r="C42">
        <v>44.16</v>
      </c>
      <c r="D42">
        <v>43.4</v>
      </c>
      <c r="E42" s="29">
        <v>43.68</v>
      </c>
      <c r="F42">
        <v>1214500</v>
      </c>
    </row>
    <row r="43" spans="1:6">
      <c r="A43" s="67">
        <v>41351</v>
      </c>
      <c r="B43">
        <v>43.65</v>
      </c>
      <c r="C43">
        <v>44.4</v>
      </c>
      <c r="D43">
        <v>43.56</v>
      </c>
      <c r="E43" s="29">
        <v>43.98</v>
      </c>
      <c r="F43">
        <v>1173700</v>
      </c>
    </row>
    <row r="44" spans="1:6">
      <c r="A44" s="67">
        <v>41348</v>
      </c>
      <c r="B44">
        <v>44.12</v>
      </c>
      <c r="C44">
        <v>44.69</v>
      </c>
      <c r="D44">
        <v>44.09</v>
      </c>
      <c r="E44" s="29">
        <v>44.12</v>
      </c>
      <c r="F44">
        <v>2730000</v>
      </c>
    </row>
    <row r="45" spans="1:6">
      <c r="A45" s="67">
        <v>41347</v>
      </c>
      <c r="B45">
        <v>43.88</v>
      </c>
      <c r="C45">
        <v>44.5</v>
      </c>
      <c r="D45">
        <v>43.83</v>
      </c>
      <c r="E45" s="29">
        <v>44.29</v>
      </c>
      <c r="F45">
        <v>2030500</v>
      </c>
    </row>
    <row r="46" spans="1:6">
      <c r="A46" s="67">
        <v>41346</v>
      </c>
      <c r="B46">
        <v>43.72</v>
      </c>
      <c r="C46">
        <v>44.12</v>
      </c>
      <c r="D46">
        <v>43.62</v>
      </c>
      <c r="E46" s="29">
        <v>43.66</v>
      </c>
      <c r="F46">
        <v>1725200</v>
      </c>
    </row>
    <row r="47" spans="1:6">
      <c r="A47" s="67">
        <v>41345</v>
      </c>
      <c r="B47">
        <v>43</v>
      </c>
      <c r="C47">
        <v>43.77</v>
      </c>
      <c r="D47">
        <v>43</v>
      </c>
      <c r="E47" s="29">
        <v>43.72</v>
      </c>
      <c r="F47">
        <v>1969000</v>
      </c>
    </row>
    <row r="48" spans="1:6">
      <c r="A48" s="67">
        <v>41344</v>
      </c>
      <c r="B48">
        <v>42.88</v>
      </c>
      <c r="C48">
        <v>43.48</v>
      </c>
      <c r="D48">
        <v>42.81</v>
      </c>
      <c r="E48" s="29">
        <v>43.4</v>
      </c>
      <c r="F48">
        <v>1858400</v>
      </c>
    </row>
    <row r="49" spans="1:6">
      <c r="A49" s="67">
        <v>41341</v>
      </c>
      <c r="B49">
        <v>42.46</v>
      </c>
      <c r="C49">
        <v>43.13</v>
      </c>
      <c r="D49">
        <v>42.35</v>
      </c>
      <c r="E49" s="29">
        <v>42.91</v>
      </c>
      <c r="F49">
        <v>1595900</v>
      </c>
    </row>
    <row r="50" spans="1:6">
      <c r="A50" s="67">
        <v>41340</v>
      </c>
      <c r="B50">
        <v>42.2</v>
      </c>
      <c r="C50">
        <v>42.55</v>
      </c>
      <c r="D50">
        <v>42.18</v>
      </c>
      <c r="E50" s="29">
        <v>42.33</v>
      </c>
      <c r="F50">
        <v>844600</v>
      </c>
    </row>
    <row r="51" spans="1:6">
      <c r="A51" s="67">
        <v>41339</v>
      </c>
      <c r="B51">
        <v>42.34</v>
      </c>
      <c r="C51">
        <v>42.63</v>
      </c>
      <c r="D51">
        <v>42.18</v>
      </c>
      <c r="E51" s="29">
        <v>42.22</v>
      </c>
      <c r="F51">
        <v>1318300</v>
      </c>
    </row>
    <row r="52" spans="1:6">
      <c r="A52" s="67">
        <v>41338</v>
      </c>
      <c r="B52">
        <v>41.41</v>
      </c>
      <c r="C52">
        <v>42.77</v>
      </c>
      <c r="D52">
        <v>41.37</v>
      </c>
      <c r="E52" s="29">
        <v>42.32</v>
      </c>
      <c r="F52">
        <v>2841500</v>
      </c>
    </row>
    <row r="53" spans="1:6">
      <c r="A53" s="67">
        <v>41337</v>
      </c>
      <c r="B53">
        <v>40.35</v>
      </c>
      <c r="C53">
        <v>40.880000000000003</v>
      </c>
      <c r="D53">
        <v>40.35</v>
      </c>
      <c r="E53" s="29">
        <v>40.799999999999997</v>
      </c>
      <c r="F53">
        <v>1428200</v>
      </c>
    </row>
    <row r="54" spans="1:6">
      <c r="A54" s="67">
        <v>41334</v>
      </c>
      <c r="B54">
        <v>39.83</v>
      </c>
      <c r="C54">
        <v>40.69</v>
      </c>
      <c r="D54">
        <v>39.46</v>
      </c>
      <c r="E54" s="29">
        <v>40.43</v>
      </c>
      <c r="F54">
        <v>1672500</v>
      </c>
    </row>
    <row r="55" spans="1:6">
      <c r="A55" s="67">
        <v>41333</v>
      </c>
      <c r="B55">
        <v>40.17</v>
      </c>
      <c r="C55">
        <v>40.619999999999997</v>
      </c>
      <c r="D55">
        <v>40.049999999999997</v>
      </c>
      <c r="E55" s="29">
        <v>40.11</v>
      </c>
      <c r="F55">
        <v>2814900</v>
      </c>
    </row>
    <row r="56" spans="1:6">
      <c r="A56" s="67">
        <v>41332</v>
      </c>
      <c r="B56">
        <v>40.01</v>
      </c>
      <c r="C56">
        <v>40.53</v>
      </c>
      <c r="D56">
        <v>39.880000000000003</v>
      </c>
      <c r="E56" s="29">
        <v>40.06</v>
      </c>
      <c r="F56">
        <v>1715200</v>
      </c>
    </row>
    <row r="57" spans="1:6">
      <c r="A57" s="67">
        <v>41331</v>
      </c>
      <c r="B57">
        <v>40.200000000000003</v>
      </c>
      <c r="C57">
        <v>40.270000000000003</v>
      </c>
      <c r="D57">
        <v>39.549999999999997</v>
      </c>
      <c r="E57" s="29">
        <v>40.03</v>
      </c>
      <c r="F57">
        <v>1904600</v>
      </c>
    </row>
    <row r="58" spans="1:6">
      <c r="A58" s="67">
        <v>41330</v>
      </c>
      <c r="B58">
        <v>40.61</v>
      </c>
      <c r="C58">
        <v>40.9</v>
      </c>
      <c r="D58">
        <v>40.06</v>
      </c>
      <c r="E58" s="29">
        <v>40.1</v>
      </c>
      <c r="F58">
        <v>1926800</v>
      </c>
    </row>
    <row r="59" spans="1:6">
      <c r="A59" s="67">
        <v>41327</v>
      </c>
      <c r="B59">
        <v>40.619999999999997</v>
      </c>
      <c r="C59">
        <v>40.74</v>
      </c>
      <c r="D59">
        <v>40.4</v>
      </c>
      <c r="E59" s="29">
        <v>40.54</v>
      </c>
      <c r="F59">
        <v>1363200</v>
      </c>
    </row>
    <row r="60" spans="1:6">
      <c r="A60" s="67">
        <v>41326</v>
      </c>
      <c r="B60">
        <v>41.09</v>
      </c>
      <c r="C60">
        <v>41.2</v>
      </c>
      <c r="D60">
        <v>40.15</v>
      </c>
      <c r="E60" s="29">
        <v>40.46</v>
      </c>
      <c r="F60">
        <v>1580100</v>
      </c>
    </row>
    <row r="61" spans="1:6">
      <c r="A61" s="67">
        <v>41325</v>
      </c>
      <c r="B61">
        <v>41.62</v>
      </c>
      <c r="C61">
        <v>42.13</v>
      </c>
      <c r="D61">
        <v>41.1</v>
      </c>
      <c r="E61" s="29">
        <v>41.11</v>
      </c>
      <c r="F61">
        <v>1591200</v>
      </c>
    </row>
    <row r="62" spans="1:6">
      <c r="A62" s="67">
        <v>41324</v>
      </c>
      <c r="B62">
        <v>41.42</v>
      </c>
      <c r="C62">
        <v>41.79</v>
      </c>
      <c r="D62">
        <v>41.2</v>
      </c>
      <c r="E62" s="29">
        <v>41.59</v>
      </c>
      <c r="F62">
        <v>1148200</v>
      </c>
    </row>
    <row r="63" spans="1:6">
      <c r="A63" s="67">
        <v>41323</v>
      </c>
      <c r="B63">
        <v>41.37</v>
      </c>
      <c r="C63">
        <v>41.37</v>
      </c>
      <c r="D63">
        <v>41.37</v>
      </c>
      <c r="E63" s="29">
        <v>41.37</v>
      </c>
      <c r="F63">
        <v>0</v>
      </c>
    </row>
    <row r="64" spans="1:6">
      <c r="A64" s="67">
        <v>41320</v>
      </c>
      <c r="B64">
        <v>41.29</v>
      </c>
      <c r="C64">
        <v>41.82</v>
      </c>
      <c r="D64">
        <v>41.27</v>
      </c>
      <c r="E64" s="29">
        <v>41.37</v>
      </c>
      <c r="F64">
        <v>1437300</v>
      </c>
    </row>
    <row r="65" spans="1:6">
      <c r="A65" s="67">
        <v>41319</v>
      </c>
      <c r="B65">
        <v>41</v>
      </c>
      <c r="C65">
        <v>41.57</v>
      </c>
      <c r="D65">
        <v>40.92</v>
      </c>
      <c r="E65" s="29">
        <v>41.46</v>
      </c>
      <c r="F65">
        <v>1182500</v>
      </c>
    </row>
    <row r="66" spans="1:6">
      <c r="A66" s="67">
        <v>41318</v>
      </c>
      <c r="B66">
        <v>41.28</v>
      </c>
      <c r="C66">
        <v>41.43</v>
      </c>
      <c r="D66">
        <v>40.97</v>
      </c>
      <c r="E66" s="29">
        <v>41.09</v>
      </c>
      <c r="F66">
        <v>1813600</v>
      </c>
    </row>
    <row r="67" spans="1:6">
      <c r="A67" s="67">
        <v>41317</v>
      </c>
      <c r="B67">
        <v>41.4</v>
      </c>
      <c r="C67">
        <v>41.59</v>
      </c>
      <c r="D67">
        <v>41.17</v>
      </c>
      <c r="E67" s="29">
        <v>41.24</v>
      </c>
      <c r="F67">
        <v>1378100</v>
      </c>
    </row>
    <row r="68" spans="1:6">
      <c r="A68" s="67">
        <v>41316</v>
      </c>
      <c r="B68">
        <v>41.8</v>
      </c>
      <c r="C68">
        <v>41.86</v>
      </c>
      <c r="D68">
        <v>40.94</v>
      </c>
      <c r="E68" s="29">
        <v>41.4</v>
      </c>
      <c r="F68">
        <v>2472600</v>
      </c>
    </row>
    <row r="69" spans="1:6">
      <c r="A69" s="67">
        <v>41313</v>
      </c>
      <c r="B69">
        <v>42</v>
      </c>
      <c r="C69">
        <v>42.46</v>
      </c>
      <c r="D69">
        <v>41.56</v>
      </c>
      <c r="E69" s="29">
        <v>41.86</v>
      </c>
      <c r="F69">
        <v>1231600</v>
      </c>
    </row>
    <row r="70" spans="1:6">
      <c r="A70" s="67">
        <v>41312</v>
      </c>
      <c r="B70">
        <v>41.6</v>
      </c>
      <c r="C70">
        <v>41.98</v>
      </c>
      <c r="D70">
        <v>41.49</v>
      </c>
      <c r="E70" s="29">
        <v>41.95</v>
      </c>
      <c r="F70">
        <v>1919200</v>
      </c>
    </row>
    <row r="71" spans="1:6">
      <c r="A71" s="67">
        <v>41311</v>
      </c>
      <c r="B71">
        <v>41.91</v>
      </c>
      <c r="C71">
        <v>42.17</v>
      </c>
      <c r="D71">
        <v>41.6</v>
      </c>
      <c r="E71" s="29">
        <v>41.85</v>
      </c>
      <c r="F71">
        <v>2420600</v>
      </c>
    </row>
    <row r="72" spans="1:6">
      <c r="A72" s="67">
        <v>41310</v>
      </c>
      <c r="B72">
        <v>41.84</v>
      </c>
      <c r="C72">
        <v>42.25</v>
      </c>
      <c r="D72">
        <v>41.59</v>
      </c>
      <c r="E72" s="29">
        <v>42.1</v>
      </c>
      <c r="F72">
        <v>1671600</v>
      </c>
    </row>
    <row r="73" spans="1:6">
      <c r="A73" s="67">
        <v>41309</v>
      </c>
      <c r="B73">
        <v>41.81</v>
      </c>
      <c r="C73">
        <v>42.21</v>
      </c>
      <c r="D73">
        <v>41.55</v>
      </c>
      <c r="E73" s="29">
        <v>41.56</v>
      </c>
      <c r="F73">
        <v>1851700</v>
      </c>
    </row>
    <row r="74" spans="1:6">
      <c r="A74" s="67">
        <v>41306</v>
      </c>
      <c r="B74">
        <v>41.97</v>
      </c>
      <c r="C74">
        <v>42.44</v>
      </c>
      <c r="D74">
        <v>41.63</v>
      </c>
      <c r="E74" s="29">
        <v>42.17</v>
      </c>
      <c r="F74">
        <v>1643200</v>
      </c>
    </row>
    <row r="75" spans="1:6">
      <c r="A75" s="67">
        <v>41305</v>
      </c>
      <c r="B75">
        <v>41.34</v>
      </c>
      <c r="C75">
        <v>41.95</v>
      </c>
      <c r="D75">
        <v>41.34</v>
      </c>
      <c r="E75" s="29">
        <v>41.55</v>
      </c>
      <c r="F75">
        <v>1523700</v>
      </c>
    </row>
    <row r="76" spans="1:6">
      <c r="A76" s="67">
        <v>41304</v>
      </c>
      <c r="B76">
        <v>41.65</v>
      </c>
      <c r="C76">
        <v>41.85</v>
      </c>
      <c r="D76">
        <v>41.22</v>
      </c>
      <c r="E76" s="29">
        <v>41.47</v>
      </c>
      <c r="F76">
        <v>2894600</v>
      </c>
    </row>
    <row r="77" spans="1:6">
      <c r="A77" s="67">
        <v>41303</v>
      </c>
      <c r="B77">
        <v>40</v>
      </c>
      <c r="C77">
        <v>41.71</v>
      </c>
      <c r="D77">
        <v>40</v>
      </c>
      <c r="E77" s="29">
        <v>41.71</v>
      </c>
      <c r="F77">
        <v>4776700</v>
      </c>
    </row>
    <row r="78" spans="1:6">
      <c r="A78" s="67">
        <v>41302</v>
      </c>
      <c r="B78">
        <v>44.8</v>
      </c>
      <c r="C78">
        <v>44.99</v>
      </c>
      <c r="D78">
        <v>44.42</v>
      </c>
      <c r="E78" s="29">
        <v>44.48</v>
      </c>
      <c r="F78">
        <v>1739200</v>
      </c>
    </row>
    <row r="79" spans="1:6">
      <c r="A79" s="67">
        <v>41299</v>
      </c>
      <c r="B79">
        <v>44.25</v>
      </c>
      <c r="C79">
        <v>44.82</v>
      </c>
      <c r="D79">
        <v>44.1</v>
      </c>
      <c r="E79" s="29">
        <v>44.5</v>
      </c>
      <c r="F79">
        <v>1062100</v>
      </c>
    </row>
    <row r="80" spans="1:6">
      <c r="A80" s="67">
        <v>41298</v>
      </c>
      <c r="B80">
        <v>43.86</v>
      </c>
      <c r="C80">
        <v>44.53</v>
      </c>
      <c r="D80">
        <v>43.85</v>
      </c>
      <c r="E80" s="29">
        <v>44.05</v>
      </c>
      <c r="F80">
        <v>993700</v>
      </c>
    </row>
    <row r="81" spans="1:6">
      <c r="A81" s="67">
        <v>41297</v>
      </c>
      <c r="B81">
        <v>43.73</v>
      </c>
      <c r="C81">
        <v>44.22</v>
      </c>
      <c r="D81">
        <v>43.54</v>
      </c>
      <c r="E81" s="29">
        <v>43.91</v>
      </c>
      <c r="F81">
        <v>1443000</v>
      </c>
    </row>
    <row r="82" spans="1:6">
      <c r="A82" s="67">
        <v>41296</v>
      </c>
      <c r="B82">
        <v>43.7</v>
      </c>
      <c r="C82">
        <v>43.83</v>
      </c>
      <c r="D82">
        <v>43.22</v>
      </c>
      <c r="E82" s="29">
        <v>43.36</v>
      </c>
      <c r="F82">
        <v>1117200</v>
      </c>
    </row>
    <row r="83" spans="1:6">
      <c r="A83" s="67">
        <v>41295</v>
      </c>
      <c r="B83">
        <v>43.81</v>
      </c>
      <c r="C83">
        <v>43.81</v>
      </c>
      <c r="D83">
        <v>43.81</v>
      </c>
      <c r="E83" s="29">
        <v>43.81</v>
      </c>
      <c r="F83">
        <v>0</v>
      </c>
    </row>
    <row r="84" spans="1:6">
      <c r="A84" s="67">
        <v>41292</v>
      </c>
      <c r="B84">
        <v>42.87</v>
      </c>
      <c r="C84">
        <v>43.82</v>
      </c>
      <c r="D84">
        <v>42.87</v>
      </c>
      <c r="E84" s="29">
        <v>43.81</v>
      </c>
      <c r="F84">
        <v>2141600</v>
      </c>
    </row>
    <row r="85" spans="1:6">
      <c r="A85" s="67">
        <v>41291</v>
      </c>
      <c r="B85">
        <v>42.82</v>
      </c>
      <c r="C85">
        <v>42.95</v>
      </c>
      <c r="D85">
        <v>42.65</v>
      </c>
      <c r="E85" s="29">
        <v>42.76</v>
      </c>
      <c r="F85">
        <v>995600</v>
      </c>
    </row>
    <row r="86" spans="1:6">
      <c r="A86" s="67">
        <v>41290</v>
      </c>
      <c r="B86">
        <v>42.61</v>
      </c>
      <c r="C86">
        <v>42.83</v>
      </c>
      <c r="D86">
        <v>42.17</v>
      </c>
      <c r="E86" s="29">
        <v>42.62</v>
      </c>
      <c r="F86">
        <v>1140500</v>
      </c>
    </row>
    <row r="87" spans="1:6">
      <c r="A87" s="67">
        <v>41289</v>
      </c>
      <c r="B87">
        <v>42.25</v>
      </c>
      <c r="C87">
        <v>42.82</v>
      </c>
      <c r="D87">
        <v>42.2</v>
      </c>
      <c r="E87" s="29">
        <v>42.65</v>
      </c>
      <c r="F87">
        <v>1545100</v>
      </c>
    </row>
    <row r="88" spans="1:6">
      <c r="A88" s="67">
        <v>41288</v>
      </c>
      <c r="B88">
        <v>42.49</v>
      </c>
      <c r="C88">
        <v>42.86</v>
      </c>
      <c r="D88">
        <v>42.28</v>
      </c>
      <c r="E88" s="29">
        <v>42.64</v>
      </c>
      <c r="F88">
        <v>957400</v>
      </c>
    </row>
    <row r="89" spans="1:6">
      <c r="A89" s="67">
        <v>41285</v>
      </c>
      <c r="B89">
        <v>42.25</v>
      </c>
      <c r="C89">
        <v>42.76</v>
      </c>
      <c r="D89">
        <v>42.13</v>
      </c>
      <c r="E89" s="29">
        <v>42.68</v>
      </c>
      <c r="F89">
        <v>1276800</v>
      </c>
    </row>
    <row r="90" spans="1:6">
      <c r="A90" s="67">
        <v>41284</v>
      </c>
      <c r="B90">
        <v>42.02</v>
      </c>
      <c r="C90">
        <v>42.41</v>
      </c>
      <c r="D90">
        <v>41.88</v>
      </c>
      <c r="E90" s="29">
        <v>42.23</v>
      </c>
      <c r="F90">
        <v>1810400</v>
      </c>
    </row>
    <row r="91" spans="1:6">
      <c r="A91" s="67">
        <v>41283</v>
      </c>
      <c r="B91">
        <v>41.05</v>
      </c>
      <c r="C91">
        <v>41.95</v>
      </c>
      <c r="D91">
        <v>41.01</v>
      </c>
      <c r="E91" s="29">
        <v>41.82</v>
      </c>
      <c r="F91">
        <v>1743400</v>
      </c>
    </row>
    <row r="92" spans="1:6">
      <c r="A92" s="67">
        <v>41282</v>
      </c>
      <c r="B92">
        <v>40.24</v>
      </c>
      <c r="C92">
        <v>41.08</v>
      </c>
      <c r="D92">
        <v>40.17</v>
      </c>
      <c r="E92" s="29">
        <v>40.92</v>
      </c>
      <c r="F92">
        <v>1186000</v>
      </c>
    </row>
    <row r="93" spans="1:6">
      <c r="A93" s="67">
        <v>41281</v>
      </c>
      <c r="B93">
        <v>40.700000000000003</v>
      </c>
      <c r="C93">
        <v>40.9</v>
      </c>
      <c r="D93">
        <v>40.28</v>
      </c>
      <c r="E93" s="29">
        <v>40.42</v>
      </c>
      <c r="F93">
        <v>916100</v>
      </c>
    </row>
    <row r="94" spans="1:6">
      <c r="A94" s="67">
        <v>41278</v>
      </c>
      <c r="B94">
        <v>40.92</v>
      </c>
      <c r="C94">
        <v>41.17</v>
      </c>
      <c r="D94">
        <v>40.72</v>
      </c>
      <c r="E94" s="29">
        <v>40.93</v>
      </c>
      <c r="F94">
        <v>818000</v>
      </c>
    </row>
    <row r="95" spans="1:6">
      <c r="A95" s="67">
        <v>41277</v>
      </c>
      <c r="B95">
        <v>41.04</v>
      </c>
      <c r="C95">
        <v>41.23</v>
      </c>
      <c r="D95">
        <v>40.68</v>
      </c>
      <c r="E95" s="29">
        <v>40.76</v>
      </c>
      <c r="F95">
        <v>976000</v>
      </c>
    </row>
    <row r="96" spans="1:6">
      <c r="A96" s="67">
        <v>41276</v>
      </c>
      <c r="B96">
        <v>40.28</v>
      </c>
      <c r="C96">
        <v>41.09</v>
      </c>
      <c r="D96">
        <v>40.21</v>
      </c>
      <c r="E96" s="29">
        <v>41.09</v>
      </c>
      <c r="F96">
        <v>2498700</v>
      </c>
    </row>
    <row r="97" spans="1:6">
      <c r="A97" s="67">
        <v>41275</v>
      </c>
      <c r="B97">
        <v>39.619999999999997</v>
      </c>
      <c r="C97">
        <v>39.619999999999997</v>
      </c>
      <c r="D97">
        <v>39.619999999999997</v>
      </c>
      <c r="E97" s="29">
        <v>39.619999999999997</v>
      </c>
      <c r="F97">
        <v>0</v>
      </c>
    </row>
    <row r="98" spans="1:6">
      <c r="A98" s="67">
        <v>41274</v>
      </c>
      <c r="B98">
        <v>39.56</v>
      </c>
      <c r="C98">
        <v>39.75</v>
      </c>
      <c r="D98">
        <v>39.31</v>
      </c>
      <c r="E98" s="29">
        <v>39.619999999999997</v>
      </c>
      <c r="F98">
        <v>1433100</v>
      </c>
    </row>
    <row r="99" spans="1:6">
      <c r="A99" s="67">
        <v>41271</v>
      </c>
      <c r="B99">
        <v>39.72</v>
      </c>
      <c r="C99">
        <v>39.880000000000003</v>
      </c>
      <c r="D99">
        <v>39.450000000000003</v>
      </c>
      <c r="E99" s="29">
        <v>39.56</v>
      </c>
      <c r="F99">
        <v>799400</v>
      </c>
    </row>
    <row r="100" spans="1:6">
      <c r="A100" s="67">
        <v>41270</v>
      </c>
      <c r="B100">
        <v>40.35</v>
      </c>
      <c r="C100">
        <v>40.39</v>
      </c>
      <c r="D100">
        <v>39.409999999999997</v>
      </c>
      <c r="E100" s="29">
        <v>39.880000000000003</v>
      </c>
      <c r="F100">
        <v>1381500</v>
      </c>
    </row>
    <row r="101" spans="1:6">
      <c r="A101" s="67">
        <v>41269</v>
      </c>
      <c r="B101">
        <v>40.74</v>
      </c>
      <c r="C101">
        <v>40.97</v>
      </c>
      <c r="D101">
        <v>40.29</v>
      </c>
      <c r="E101" s="29">
        <v>40.39</v>
      </c>
      <c r="F101">
        <v>982900</v>
      </c>
    </row>
    <row r="102" spans="1:6">
      <c r="A102" s="67">
        <v>41268</v>
      </c>
      <c r="B102">
        <v>40.869999999999997</v>
      </c>
      <c r="C102">
        <v>40.869999999999997</v>
      </c>
      <c r="D102">
        <v>40.869999999999997</v>
      </c>
      <c r="E102" s="29">
        <v>40.869999999999997</v>
      </c>
      <c r="F102">
        <v>0</v>
      </c>
    </row>
    <row r="103" spans="1:6">
      <c r="A103" s="67">
        <v>41267</v>
      </c>
      <c r="B103">
        <v>40.83</v>
      </c>
      <c r="C103">
        <v>41.04</v>
      </c>
      <c r="D103">
        <v>40.450000000000003</v>
      </c>
      <c r="E103" s="29">
        <v>40.869999999999997</v>
      </c>
      <c r="F103">
        <v>446900</v>
      </c>
    </row>
    <row r="104" spans="1:6">
      <c r="A104" s="67">
        <v>41264</v>
      </c>
      <c r="B104">
        <v>40.86</v>
      </c>
      <c r="C104">
        <v>41.1</v>
      </c>
      <c r="D104">
        <v>40.29</v>
      </c>
      <c r="E104" s="29">
        <v>40.71</v>
      </c>
      <c r="F104">
        <v>2968100</v>
      </c>
    </row>
    <row r="105" spans="1:6">
      <c r="A105" s="67">
        <v>41263</v>
      </c>
      <c r="B105">
        <v>41.98</v>
      </c>
      <c r="C105">
        <v>42.04</v>
      </c>
      <c r="D105">
        <v>41.79</v>
      </c>
      <c r="E105" s="29">
        <v>41.94</v>
      </c>
      <c r="F105">
        <v>1632100</v>
      </c>
    </row>
    <row r="106" spans="1:6">
      <c r="A106" s="67">
        <v>41262</v>
      </c>
      <c r="B106">
        <v>41.79</v>
      </c>
      <c r="C106">
        <v>42.3</v>
      </c>
      <c r="D106">
        <v>41.69</v>
      </c>
      <c r="E106" s="29">
        <v>41.91</v>
      </c>
      <c r="F106">
        <v>2858900</v>
      </c>
    </row>
    <row r="107" spans="1:6">
      <c r="A107" s="67">
        <v>41261</v>
      </c>
      <c r="B107">
        <v>41.11</v>
      </c>
      <c r="C107">
        <v>41.69</v>
      </c>
      <c r="D107">
        <v>40.82</v>
      </c>
      <c r="E107" s="29">
        <v>41.67</v>
      </c>
      <c r="F107">
        <v>2153400</v>
      </c>
    </row>
    <row r="108" spans="1:6">
      <c r="A108" s="67">
        <v>41260</v>
      </c>
      <c r="B108">
        <v>40.159999999999997</v>
      </c>
      <c r="C108">
        <v>41.1</v>
      </c>
      <c r="D108">
        <v>39.99</v>
      </c>
      <c r="E108" s="29">
        <v>41.08</v>
      </c>
      <c r="F108">
        <v>2233600</v>
      </c>
    </row>
    <row r="109" spans="1:6">
      <c r="A109" s="67">
        <v>41257</v>
      </c>
      <c r="B109">
        <v>39.729999999999997</v>
      </c>
      <c r="C109">
        <v>40.32</v>
      </c>
      <c r="D109">
        <v>39.61</v>
      </c>
      <c r="E109" s="29">
        <v>40.18</v>
      </c>
      <c r="F109">
        <v>995400</v>
      </c>
    </row>
    <row r="110" spans="1:6">
      <c r="A110" s="67">
        <v>41256</v>
      </c>
      <c r="B110">
        <v>40.68</v>
      </c>
      <c r="C110">
        <v>40.98</v>
      </c>
      <c r="D110">
        <v>39.799999999999997</v>
      </c>
      <c r="E110" s="29">
        <v>39.89</v>
      </c>
      <c r="F110">
        <v>1573100</v>
      </c>
    </row>
    <row r="111" spans="1:6">
      <c r="A111" s="67">
        <v>41255</v>
      </c>
      <c r="B111">
        <v>41.59</v>
      </c>
      <c r="C111">
        <v>41.6</v>
      </c>
      <c r="D111">
        <v>40.67</v>
      </c>
      <c r="E111" s="29">
        <v>40.799999999999997</v>
      </c>
      <c r="F111">
        <v>2112200</v>
      </c>
    </row>
    <row r="112" spans="1:6">
      <c r="A112" s="67">
        <v>41254</v>
      </c>
      <c r="B112">
        <v>41.3</v>
      </c>
      <c r="C112">
        <v>41.59</v>
      </c>
      <c r="D112">
        <v>40.950000000000003</v>
      </c>
      <c r="E112" s="29">
        <v>41.53</v>
      </c>
      <c r="F112">
        <v>1884300</v>
      </c>
    </row>
    <row r="113" spans="1:6">
      <c r="A113" s="67">
        <v>41253</v>
      </c>
      <c r="B113">
        <v>40.51</v>
      </c>
      <c r="C113">
        <v>41.42</v>
      </c>
      <c r="D113">
        <v>40.51</v>
      </c>
      <c r="E113" s="29">
        <v>41.42</v>
      </c>
      <c r="F113">
        <v>1126200</v>
      </c>
    </row>
    <row r="114" spans="1:6">
      <c r="A114" s="67">
        <v>41250</v>
      </c>
      <c r="B114">
        <v>41.01</v>
      </c>
      <c r="C114">
        <v>41.05</v>
      </c>
      <c r="D114">
        <v>40.69</v>
      </c>
      <c r="E114" s="29">
        <v>40.81</v>
      </c>
      <c r="F114">
        <v>1099200</v>
      </c>
    </row>
    <row r="115" spans="1:6">
      <c r="A115" s="67">
        <v>41249</v>
      </c>
      <c r="B115">
        <v>40.22</v>
      </c>
      <c r="C115">
        <v>40.74</v>
      </c>
      <c r="D115">
        <v>40.03</v>
      </c>
      <c r="E115" s="29">
        <v>40.729999999999997</v>
      </c>
      <c r="F115">
        <v>732200</v>
      </c>
    </row>
    <row r="116" spans="1:6">
      <c r="A116" s="67">
        <v>41248</v>
      </c>
      <c r="B116">
        <v>40.28</v>
      </c>
      <c r="C116">
        <v>40.380000000000003</v>
      </c>
      <c r="D116">
        <v>39.869999999999997</v>
      </c>
      <c r="E116" s="29">
        <v>40.200000000000003</v>
      </c>
      <c r="F116">
        <v>1217500</v>
      </c>
    </row>
    <row r="117" spans="1:6">
      <c r="A117" s="67">
        <v>41247</v>
      </c>
      <c r="B117">
        <v>40.6</v>
      </c>
      <c r="C117">
        <v>40.74</v>
      </c>
      <c r="D117">
        <v>40.22</v>
      </c>
      <c r="E117" s="29">
        <v>40.42</v>
      </c>
      <c r="F117">
        <v>937400</v>
      </c>
    </row>
    <row r="118" spans="1:6">
      <c r="A118" s="67">
        <v>41246</v>
      </c>
      <c r="B118">
        <v>41.08</v>
      </c>
      <c r="C118">
        <v>41.1</v>
      </c>
      <c r="D118">
        <v>40.54</v>
      </c>
      <c r="E118" s="29">
        <v>40.54</v>
      </c>
      <c r="F118">
        <v>861200</v>
      </c>
    </row>
    <row r="119" spans="1:6">
      <c r="A119" s="67">
        <v>41243</v>
      </c>
      <c r="B119">
        <v>40.950000000000003</v>
      </c>
      <c r="C119">
        <v>41.03</v>
      </c>
      <c r="D119">
        <v>40.72</v>
      </c>
      <c r="E119" s="29">
        <v>40.96</v>
      </c>
      <c r="F119">
        <v>1196900</v>
      </c>
    </row>
    <row r="120" spans="1:6">
      <c r="A120" s="67">
        <v>41242</v>
      </c>
      <c r="B120">
        <v>41</v>
      </c>
      <c r="C120">
        <v>41.08</v>
      </c>
      <c r="D120">
        <v>40.630000000000003</v>
      </c>
      <c r="E120" s="29">
        <v>40.880000000000003</v>
      </c>
      <c r="F120">
        <v>1101900</v>
      </c>
    </row>
    <row r="121" spans="1:6">
      <c r="A121" s="67">
        <v>41241</v>
      </c>
      <c r="B121">
        <v>40.340000000000003</v>
      </c>
      <c r="C121">
        <v>40.98</v>
      </c>
      <c r="D121">
        <v>39.93</v>
      </c>
      <c r="E121" s="29">
        <v>40.950000000000003</v>
      </c>
      <c r="F121">
        <v>1041000</v>
      </c>
    </row>
    <row r="122" spans="1:6">
      <c r="A122" s="67">
        <v>41240</v>
      </c>
      <c r="B122">
        <v>40.19</v>
      </c>
      <c r="C122">
        <v>41.36</v>
      </c>
      <c r="D122">
        <v>40.020000000000003</v>
      </c>
      <c r="E122" s="29">
        <v>40.619999999999997</v>
      </c>
      <c r="F122">
        <v>1894700</v>
      </c>
    </row>
    <row r="123" spans="1:6">
      <c r="A123" s="67">
        <v>41239</v>
      </c>
      <c r="B123">
        <v>40.090000000000003</v>
      </c>
      <c r="C123">
        <v>40.299999999999997</v>
      </c>
      <c r="D123">
        <v>39.79</v>
      </c>
      <c r="E123" s="29">
        <v>40.26</v>
      </c>
      <c r="F123">
        <v>1097800</v>
      </c>
    </row>
    <row r="124" spans="1:6">
      <c r="A124" s="67">
        <v>41236</v>
      </c>
      <c r="B124">
        <v>39.840000000000003</v>
      </c>
      <c r="C124">
        <v>40.26</v>
      </c>
      <c r="D124">
        <v>39.64</v>
      </c>
      <c r="E124" s="29">
        <v>40.19</v>
      </c>
      <c r="F124">
        <v>318800</v>
      </c>
    </row>
    <row r="125" spans="1:6">
      <c r="A125" s="67">
        <v>41235</v>
      </c>
      <c r="B125">
        <v>39.68</v>
      </c>
      <c r="C125">
        <v>39.68</v>
      </c>
      <c r="D125">
        <v>39.68</v>
      </c>
      <c r="E125" s="29">
        <v>39.68</v>
      </c>
      <c r="F125">
        <v>0</v>
      </c>
    </row>
    <row r="126" spans="1:6">
      <c r="A126" s="67">
        <v>41234</v>
      </c>
      <c r="B126">
        <v>39.53</v>
      </c>
      <c r="C126">
        <v>39.880000000000003</v>
      </c>
      <c r="D126">
        <v>39.479999999999997</v>
      </c>
      <c r="E126" s="29">
        <v>39.68</v>
      </c>
      <c r="F126">
        <v>536800</v>
      </c>
    </row>
    <row r="127" spans="1:6">
      <c r="A127" s="67">
        <v>41233</v>
      </c>
      <c r="B127">
        <v>39.58</v>
      </c>
      <c r="C127">
        <v>39.71</v>
      </c>
      <c r="D127">
        <v>39.33</v>
      </c>
      <c r="E127" s="29">
        <v>39.56</v>
      </c>
      <c r="F127">
        <v>1292700</v>
      </c>
    </row>
    <row r="128" spans="1:6">
      <c r="A128" s="67">
        <v>41232</v>
      </c>
      <c r="B128">
        <v>39.29</v>
      </c>
      <c r="C128">
        <v>39.659999999999997</v>
      </c>
      <c r="D128">
        <v>39.03</v>
      </c>
      <c r="E128" s="29">
        <v>39.590000000000003</v>
      </c>
      <c r="F128">
        <v>1018900</v>
      </c>
    </row>
    <row r="129" spans="1:6">
      <c r="A129" s="67">
        <v>41229</v>
      </c>
      <c r="B129">
        <v>38.89</v>
      </c>
      <c r="C129">
        <v>38.99</v>
      </c>
      <c r="D129">
        <v>38.04</v>
      </c>
      <c r="E129" s="29">
        <v>38.729999999999997</v>
      </c>
      <c r="F129">
        <v>1214600</v>
      </c>
    </row>
    <row r="130" spans="1:6">
      <c r="A130" s="67">
        <v>41228</v>
      </c>
      <c r="B130">
        <v>39.33</v>
      </c>
      <c r="C130">
        <v>39.47</v>
      </c>
      <c r="D130">
        <v>38.61</v>
      </c>
      <c r="E130" s="29">
        <v>39.01</v>
      </c>
      <c r="F130">
        <v>971800</v>
      </c>
    </row>
    <row r="131" spans="1:6">
      <c r="A131" s="67">
        <v>41227</v>
      </c>
      <c r="B131">
        <v>39.9</v>
      </c>
      <c r="C131">
        <v>40</v>
      </c>
      <c r="D131">
        <v>39.049999999999997</v>
      </c>
      <c r="E131" s="29">
        <v>39.26</v>
      </c>
      <c r="F131">
        <v>1222000</v>
      </c>
    </row>
    <row r="132" spans="1:6">
      <c r="A132" s="67">
        <v>41226</v>
      </c>
      <c r="B132">
        <v>39.92</v>
      </c>
      <c r="C132">
        <v>39.99</v>
      </c>
      <c r="D132">
        <v>39.54</v>
      </c>
      <c r="E132" s="29">
        <v>39.74</v>
      </c>
      <c r="F132">
        <v>805800</v>
      </c>
    </row>
    <row r="133" spans="1:6">
      <c r="A133" s="67">
        <v>41225</v>
      </c>
      <c r="B133">
        <v>40.299999999999997</v>
      </c>
      <c r="C133">
        <v>40.32</v>
      </c>
      <c r="D133">
        <v>39.729999999999997</v>
      </c>
      <c r="E133" s="29">
        <v>40.119999999999997</v>
      </c>
      <c r="F133">
        <v>642000</v>
      </c>
    </row>
    <row r="134" spans="1:6">
      <c r="A134" s="67">
        <v>41222</v>
      </c>
      <c r="B134">
        <v>39.82</v>
      </c>
      <c r="C134">
        <v>40.590000000000003</v>
      </c>
      <c r="D134">
        <v>39.82</v>
      </c>
      <c r="E134" s="29">
        <v>40.24</v>
      </c>
      <c r="F134">
        <v>972900</v>
      </c>
    </row>
    <row r="135" spans="1:6">
      <c r="A135" s="67">
        <v>41221</v>
      </c>
      <c r="B135">
        <v>40.94</v>
      </c>
      <c r="C135">
        <v>41.05</v>
      </c>
      <c r="D135">
        <v>39.96</v>
      </c>
      <c r="E135" s="29">
        <v>39.979999999999997</v>
      </c>
      <c r="F135">
        <v>1022600</v>
      </c>
    </row>
    <row r="136" spans="1:6">
      <c r="A136" s="67">
        <v>41220</v>
      </c>
      <c r="B136">
        <v>41.25</v>
      </c>
      <c r="C136">
        <v>41.34</v>
      </c>
      <c r="D136">
        <v>40.96</v>
      </c>
      <c r="E136" s="29">
        <v>41.08</v>
      </c>
      <c r="F136">
        <v>1507400</v>
      </c>
    </row>
    <row r="137" spans="1:6">
      <c r="A137" s="67">
        <v>41219</v>
      </c>
      <c r="B137">
        <v>41.21</v>
      </c>
      <c r="C137">
        <v>41.86</v>
      </c>
      <c r="D137">
        <v>41.19</v>
      </c>
      <c r="E137" s="29">
        <v>41.55</v>
      </c>
      <c r="F137">
        <v>2564300</v>
      </c>
    </row>
    <row r="138" spans="1:6">
      <c r="A138" s="67">
        <v>41218</v>
      </c>
      <c r="B138">
        <v>40.700000000000003</v>
      </c>
      <c r="C138">
        <v>41.16</v>
      </c>
      <c r="D138">
        <v>40.67</v>
      </c>
      <c r="E138" s="29">
        <v>41.06</v>
      </c>
      <c r="F138">
        <v>1298300</v>
      </c>
    </row>
    <row r="139" spans="1:6">
      <c r="A139" s="67">
        <v>41215</v>
      </c>
      <c r="B139">
        <v>41.11</v>
      </c>
      <c r="C139">
        <v>41.34</v>
      </c>
      <c r="D139">
        <v>40.97</v>
      </c>
      <c r="E139" s="29">
        <v>41.04</v>
      </c>
      <c r="F139">
        <v>1719300</v>
      </c>
    </row>
    <row r="140" spans="1:6">
      <c r="A140" s="67">
        <v>41214</v>
      </c>
      <c r="B140">
        <v>41.5</v>
      </c>
      <c r="C140">
        <v>41.72</v>
      </c>
      <c r="D140">
        <v>40.5</v>
      </c>
      <c r="E140" s="29">
        <v>40.98</v>
      </c>
      <c r="F140">
        <v>3891600</v>
      </c>
    </row>
    <row r="141" spans="1:6">
      <c r="A141" s="67">
        <v>41213</v>
      </c>
      <c r="B141">
        <v>41.02</v>
      </c>
      <c r="C141">
        <v>41.74</v>
      </c>
      <c r="D141">
        <v>40.49</v>
      </c>
      <c r="E141" s="29">
        <v>40.700000000000003</v>
      </c>
      <c r="F141">
        <v>1588900</v>
      </c>
    </row>
    <row r="142" spans="1:6">
      <c r="A142" s="67">
        <v>41212</v>
      </c>
      <c r="B142">
        <v>40.98</v>
      </c>
      <c r="C142">
        <v>40.98</v>
      </c>
      <c r="D142">
        <v>40.98</v>
      </c>
      <c r="E142" s="29">
        <v>40.98</v>
      </c>
      <c r="F142">
        <v>0</v>
      </c>
    </row>
    <row r="143" spans="1:6">
      <c r="A143" s="67">
        <v>41211</v>
      </c>
      <c r="B143">
        <v>40.98</v>
      </c>
      <c r="C143">
        <v>40.98</v>
      </c>
      <c r="D143">
        <v>40.98</v>
      </c>
      <c r="E143" s="29">
        <v>40.98</v>
      </c>
      <c r="F143">
        <v>0</v>
      </c>
    </row>
    <row r="144" spans="1:6">
      <c r="A144" s="67">
        <v>41208</v>
      </c>
      <c r="B144">
        <v>41.02</v>
      </c>
      <c r="C144">
        <v>41.58</v>
      </c>
      <c r="D144">
        <v>40.71</v>
      </c>
      <c r="E144" s="29">
        <v>40.98</v>
      </c>
      <c r="F144">
        <v>884200</v>
      </c>
    </row>
    <row r="145" spans="1:6">
      <c r="A145" s="67">
        <v>41207</v>
      </c>
      <c r="B145">
        <v>41.54</v>
      </c>
      <c r="C145">
        <v>41.74</v>
      </c>
      <c r="D145">
        <v>41.16</v>
      </c>
      <c r="E145" s="29">
        <v>41.47</v>
      </c>
      <c r="F145">
        <v>647800</v>
      </c>
    </row>
    <row r="146" spans="1:6">
      <c r="A146" s="67">
        <v>41206</v>
      </c>
      <c r="B146">
        <v>41.5</v>
      </c>
      <c r="C146">
        <v>41.76</v>
      </c>
      <c r="D146">
        <v>41.03</v>
      </c>
      <c r="E146" s="29">
        <v>41.38</v>
      </c>
      <c r="F146">
        <v>1233600</v>
      </c>
    </row>
    <row r="147" spans="1:6">
      <c r="A147" s="67">
        <v>41205</v>
      </c>
      <c r="B147">
        <v>40.770000000000003</v>
      </c>
      <c r="C147">
        <v>41.63</v>
      </c>
      <c r="D147">
        <v>40.35</v>
      </c>
      <c r="E147" s="29">
        <v>41.53</v>
      </c>
      <c r="F147">
        <v>1707300</v>
      </c>
    </row>
    <row r="148" spans="1:6">
      <c r="A148" s="67">
        <v>41204</v>
      </c>
      <c r="B148">
        <v>41.89</v>
      </c>
      <c r="C148">
        <v>41.89</v>
      </c>
      <c r="D148">
        <v>40.49</v>
      </c>
      <c r="E148" s="29">
        <v>41.02</v>
      </c>
      <c r="F148">
        <v>2081800</v>
      </c>
    </row>
    <row r="149" spans="1:6">
      <c r="A149" s="67">
        <v>41201</v>
      </c>
      <c r="B149">
        <v>41.12</v>
      </c>
      <c r="C149">
        <v>41.27</v>
      </c>
      <c r="D149">
        <v>40.24</v>
      </c>
      <c r="E149" s="29">
        <v>40.340000000000003</v>
      </c>
      <c r="F149">
        <v>1029700</v>
      </c>
    </row>
    <row r="150" spans="1:6">
      <c r="A150" s="67">
        <v>41200</v>
      </c>
      <c r="B150">
        <v>41.19</v>
      </c>
      <c r="C150">
        <v>41.46</v>
      </c>
      <c r="D150">
        <v>40.89</v>
      </c>
      <c r="E150" s="29">
        <v>41.1</v>
      </c>
      <c r="F150">
        <v>1115600</v>
      </c>
    </row>
    <row r="151" spans="1:6">
      <c r="A151" s="67">
        <v>41199</v>
      </c>
      <c r="B151">
        <v>41.59</v>
      </c>
      <c r="C151">
        <v>41.74</v>
      </c>
      <c r="D151">
        <v>41.05</v>
      </c>
      <c r="E151" s="29">
        <v>41.13</v>
      </c>
      <c r="F151">
        <v>1319000</v>
      </c>
    </row>
    <row r="152" spans="1:6">
      <c r="A152" s="67">
        <v>41198</v>
      </c>
      <c r="B152">
        <v>41.44</v>
      </c>
      <c r="C152">
        <v>42.17</v>
      </c>
      <c r="D152">
        <v>41.23</v>
      </c>
      <c r="E152" s="29">
        <v>42.02</v>
      </c>
      <c r="F152">
        <v>1311300</v>
      </c>
    </row>
    <row r="153" spans="1:6">
      <c r="A153" s="67">
        <v>41197</v>
      </c>
      <c r="B153">
        <v>42</v>
      </c>
      <c r="C153">
        <v>42.2</v>
      </c>
      <c r="D153">
        <v>41.14</v>
      </c>
      <c r="E153" s="29">
        <v>41.49</v>
      </c>
      <c r="F153">
        <v>1611200</v>
      </c>
    </row>
    <row r="154" spans="1:6">
      <c r="A154" s="67">
        <v>41194</v>
      </c>
      <c r="B154">
        <v>42.51</v>
      </c>
      <c r="C154">
        <v>42.78</v>
      </c>
      <c r="D154">
        <v>42.31</v>
      </c>
      <c r="E154" s="29">
        <v>42.55</v>
      </c>
      <c r="F154">
        <v>837300</v>
      </c>
    </row>
    <row r="155" spans="1:6">
      <c r="A155" s="67">
        <v>41193</v>
      </c>
      <c r="B155">
        <v>42.15</v>
      </c>
      <c r="C155">
        <v>42.52</v>
      </c>
      <c r="D155">
        <v>41.94</v>
      </c>
      <c r="E155" s="29">
        <v>42.43</v>
      </c>
      <c r="F155">
        <v>1319100</v>
      </c>
    </row>
    <row r="156" spans="1:6">
      <c r="A156" s="67">
        <v>41192</v>
      </c>
      <c r="B156">
        <v>42.46</v>
      </c>
      <c r="C156">
        <v>42.58</v>
      </c>
      <c r="D156">
        <v>41.91</v>
      </c>
      <c r="E156" s="29">
        <v>41.96</v>
      </c>
      <c r="F156">
        <v>1936500</v>
      </c>
    </row>
    <row r="157" spans="1:6">
      <c r="A157" s="67">
        <v>41191</v>
      </c>
      <c r="B157">
        <v>43.17</v>
      </c>
      <c r="C157">
        <v>43.24</v>
      </c>
      <c r="D157">
        <v>42.22</v>
      </c>
      <c r="E157" s="29">
        <v>42.45</v>
      </c>
      <c r="F157">
        <v>1101300</v>
      </c>
    </row>
    <row r="158" spans="1:6">
      <c r="A158" s="67">
        <v>41190</v>
      </c>
      <c r="B158">
        <v>43.19</v>
      </c>
      <c r="C158">
        <v>43.54</v>
      </c>
      <c r="D158">
        <v>43.05</v>
      </c>
      <c r="E158" s="29">
        <v>43.28</v>
      </c>
      <c r="F158">
        <v>712200</v>
      </c>
    </row>
    <row r="159" spans="1:6">
      <c r="A159" s="67">
        <v>41187</v>
      </c>
      <c r="B159">
        <v>43.67</v>
      </c>
      <c r="C159">
        <v>43.79</v>
      </c>
      <c r="D159">
        <v>43.2</v>
      </c>
      <c r="E159" s="29">
        <v>43.34</v>
      </c>
      <c r="F159">
        <v>1280300</v>
      </c>
    </row>
    <row r="160" spans="1:6">
      <c r="A160" s="67">
        <v>41186</v>
      </c>
      <c r="B160">
        <v>43.41</v>
      </c>
      <c r="C160">
        <v>43.62</v>
      </c>
      <c r="D160">
        <v>42.9</v>
      </c>
      <c r="E160" s="29">
        <v>43.39</v>
      </c>
      <c r="F160">
        <v>1049700</v>
      </c>
    </row>
    <row r="161" spans="1:6">
      <c r="A161" s="67">
        <v>41185</v>
      </c>
      <c r="B161">
        <v>43.45</v>
      </c>
      <c r="C161">
        <v>43.81</v>
      </c>
      <c r="D161">
        <v>42.97</v>
      </c>
      <c r="E161" s="29">
        <v>43.34</v>
      </c>
      <c r="F161">
        <v>1345100</v>
      </c>
    </row>
    <row r="162" spans="1:6">
      <c r="A162" s="67">
        <v>41184</v>
      </c>
      <c r="B162">
        <v>43</v>
      </c>
      <c r="C162">
        <v>44.06</v>
      </c>
      <c r="D162">
        <v>42.95</v>
      </c>
      <c r="E162" s="29">
        <v>43.48</v>
      </c>
      <c r="F162">
        <v>2710800</v>
      </c>
    </row>
    <row r="163" spans="1:6">
      <c r="A163" s="67">
        <v>41183</v>
      </c>
      <c r="B163">
        <v>41.88</v>
      </c>
      <c r="C163">
        <v>45</v>
      </c>
      <c r="D163">
        <v>41.22</v>
      </c>
      <c r="E163" s="29">
        <v>42.85</v>
      </c>
      <c r="F163">
        <v>6330500</v>
      </c>
    </row>
    <row r="164" spans="1:6">
      <c r="A164" s="67">
        <v>41180</v>
      </c>
      <c r="B164">
        <v>41.43</v>
      </c>
      <c r="C164">
        <v>41.75</v>
      </c>
      <c r="D164">
        <v>41.18</v>
      </c>
      <c r="E164" s="29">
        <v>41.49</v>
      </c>
      <c r="F164">
        <v>751200</v>
      </c>
    </row>
    <row r="165" spans="1:6">
      <c r="A165" s="67">
        <v>41179</v>
      </c>
      <c r="B165">
        <v>41.53</v>
      </c>
      <c r="C165">
        <v>41.86</v>
      </c>
      <c r="D165">
        <v>41.1</v>
      </c>
      <c r="E165" s="29">
        <v>41.67</v>
      </c>
      <c r="F165">
        <v>1022700</v>
      </c>
    </row>
    <row r="166" spans="1:6">
      <c r="A166" s="67">
        <v>41178</v>
      </c>
      <c r="B166">
        <v>41.91</v>
      </c>
      <c r="C166">
        <v>41.92</v>
      </c>
      <c r="D166">
        <v>41.26</v>
      </c>
      <c r="E166" s="29">
        <v>41.33</v>
      </c>
      <c r="F166">
        <v>1287500</v>
      </c>
    </row>
    <row r="167" spans="1:6">
      <c r="A167" s="67">
        <v>41177</v>
      </c>
      <c r="B167">
        <v>42.73</v>
      </c>
      <c r="C167">
        <v>42.87</v>
      </c>
      <c r="D167">
        <v>41.78</v>
      </c>
      <c r="E167" s="29">
        <v>41.85</v>
      </c>
      <c r="F167">
        <v>1204400</v>
      </c>
    </row>
    <row r="168" spans="1:6">
      <c r="A168" s="67">
        <v>41176</v>
      </c>
      <c r="B168">
        <v>42.51</v>
      </c>
      <c r="C168">
        <v>42.99</v>
      </c>
      <c r="D168">
        <v>42.38</v>
      </c>
      <c r="E168" s="29">
        <v>42.68</v>
      </c>
      <c r="F168">
        <v>862200</v>
      </c>
    </row>
    <row r="169" spans="1:6">
      <c r="A169" s="67">
        <v>41173</v>
      </c>
      <c r="B169">
        <v>42.83</v>
      </c>
      <c r="C169">
        <v>43.09</v>
      </c>
      <c r="D169">
        <v>42.51</v>
      </c>
      <c r="E169" s="29">
        <v>42.79</v>
      </c>
      <c r="F169">
        <v>3561100</v>
      </c>
    </row>
    <row r="170" spans="1:6">
      <c r="A170" s="67">
        <v>41172</v>
      </c>
      <c r="B170">
        <v>42.71</v>
      </c>
      <c r="C170">
        <v>43</v>
      </c>
      <c r="D170">
        <v>42.65</v>
      </c>
      <c r="E170" s="29">
        <v>42.83</v>
      </c>
      <c r="F170">
        <v>671700</v>
      </c>
    </row>
    <row r="171" spans="1:6">
      <c r="A171" s="67">
        <v>41171</v>
      </c>
      <c r="B171">
        <v>43</v>
      </c>
      <c r="C171">
        <v>43.48</v>
      </c>
      <c r="D171">
        <v>42.85</v>
      </c>
      <c r="E171" s="29">
        <v>42.94</v>
      </c>
      <c r="F171">
        <v>737300</v>
      </c>
    </row>
    <row r="172" spans="1:6">
      <c r="A172" s="67">
        <v>41170</v>
      </c>
      <c r="B172">
        <v>43.6</v>
      </c>
      <c r="C172">
        <v>44.2</v>
      </c>
      <c r="D172">
        <v>42.99</v>
      </c>
      <c r="E172" s="29">
        <v>43.09</v>
      </c>
      <c r="F172">
        <v>1080200</v>
      </c>
    </row>
    <row r="173" spans="1:6">
      <c r="A173" s="67">
        <v>41169</v>
      </c>
      <c r="B173">
        <v>43.2</v>
      </c>
      <c r="C173">
        <v>43.25</v>
      </c>
      <c r="D173">
        <v>42.71</v>
      </c>
      <c r="E173" s="29">
        <v>42.99</v>
      </c>
      <c r="F173">
        <v>769600</v>
      </c>
    </row>
    <row r="174" spans="1:6">
      <c r="A174" s="67">
        <v>41166</v>
      </c>
      <c r="B174">
        <v>42.95</v>
      </c>
      <c r="C174">
        <v>43.42</v>
      </c>
      <c r="D174">
        <v>42.76</v>
      </c>
      <c r="E174" s="29">
        <v>43.09</v>
      </c>
      <c r="F174">
        <v>920600</v>
      </c>
    </row>
    <row r="175" spans="1:6">
      <c r="A175" s="67">
        <v>41165</v>
      </c>
      <c r="B175">
        <v>42.7</v>
      </c>
      <c r="C175">
        <v>43.24</v>
      </c>
      <c r="D175">
        <v>42.37</v>
      </c>
      <c r="E175" s="29">
        <v>42.96</v>
      </c>
      <c r="F175">
        <v>785600</v>
      </c>
    </row>
    <row r="176" spans="1:6">
      <c r="A176" s="67">
        <v>41164</v>
      </c>
      <c r="B176">
        <v>42.81</v>
      </c>
      <c r="C176">
        <v>42.95</v>
      </c>
      <c r="D176">
        <v>42.49</v>
      </c>
      <c r="E176" s="29">
        <v>42.67</v>
      </c>
      <c r="F176">
        <v>769900</v>
      </c>
    </row>
    <row r="177" spans="1:6">
      <c r="A177" s="67">
        <v>41163</v>
      </c>
      <c r="B177">
        <v>42.59</v>
      </c>
      <c r="C177">
        <v>43</v>
      </c>
      <c r="D177">
        <v>42.07</v>
      </c>
      <c r="E177" s="29">
        <v>42.76</v>
      </c>
      <c r="F177">
        <v>896400</v>
      </c>
    </row>
    <row r="178" spans="1:6">
      <c r="A178" s="67">
        <v>41162</v>
      </c>
      <c r="B178">
        <v>43.08</v>
      </c>
      <c r="C178">
        <v>43.16</v>
      </c>
      <c r="D178">
        <v>42.52</v>
      </c>
      <c r="E178" s="29">
        <v>42.7</v>
      </c>
      <c r="F178">
        <v>1323600</v>
      </c>
    </row>
    <row r="179" spans="1:6">
      <c r="A179" s="67">
        <v>41159</v>
      </c>
      <c r="B179">
        <v>43.34</v>
      </c>
      <c r="C179">
        <v>43.48</v>
      </c>
      <c r="D179">
        <v>43.11</v>
      </c>
      <c r="E179" s="29">
        <v>43.33</v>
      </c>
      <c r="F179">
        <v>856800</v>
      </c>
    </row>
    <row r="180" spans="1:6">
      <c r="A180" s="67">
        <v>41158</v>
      </c>
      <c r="B180">
        <v>42.36</v>
      </c>
      <c r="C180">
        <v>43.61</v>
      </c>
      <c r="D180">
        <v>42.29</v>
      </c>
      <c r="E180" s="29">
        <v>43.49</v>
      </c>
      <c r="F180">
        <v>1710200</v>
      </c>
    </row>
    <row r="181" spans="1:6">
      <c r="A181" s="67">
        <v>41157</v>
      </c>
      <c r="B181">
        <v>41.86</v>
      </c>
      <c r="C181">
        <v>42.24</v>
      </c>
      <c r="D181">
        <v>41.74</v>
      </c>
      <c r="E181" s="29">
        <v>42.18</v>
      </c>
      <c r="F181">
        <v>1323100</v>
      </c>
    </row>
    <row r="182" spans="1:6">
      <c r="A182" s="67">
        <v>41156</v>
      </c>
      <c r="B182">
        <v>41.43</v>
      </c>
      <c r="C182">
        <v>42.13</v>
      </c>
      <c r="D182">
        <v>41.31</v>
      </c>
      <c r="E182" s="29">
        <v>42</v>
      </c>
      <c r="F182">
        <v>1093100</v>
      </c>
    </row>
    <row r="183" spans="1:6">
      <c r="A183" s="67">
        <v>41155</v>
      </c>
      <c r="B183">
        <v>41.4</v>
      </c>
      <c r="C183">
        <v>41.4</v>
      </c>
      <c r="D183">
        <v>41.4</v>
      </c>
      <c r="E183" s="29">
        <v>41.4</v>
      </c>
      <c r="F183">
        <v>0</v>
      </c>
    </row>
    <row r="184" spans="1:6">
      <c r="A184" s="67">
        <v>41152</v>
      </c>
      <c r="B184">
        <v>41.46</v>
      </c>
      <c r="C184">
        <v>41.82</v>
      </c>
      <c r="D184">
        <v>41.07</v>
      </c>
      <c r="E184" s="29">
        <v>41.4</v>
      </c>
      <c r="F184">
        <v>1066600</v>
      </c>
    </row>
    <row r="185" spans="1:6">
      <c r="A185" s="67">
        <v>41151</v>
      </c>
      <c r="B185">
        <v>41.57</v>
      </c>
      <c r="C185">
        <v>41.6</v>
      </c>
      <c r="D185">
        <v>40.98</v>
      </c>
      <c r="E185" s="29">
        <v>41.09</v>
      </c>
      <c r="F185">
        <v>780100</v>
      </c>
    </row>
    <row r="186" spans="1:6">
      <c r="A186" s="67">
        <v>41150</v>
      </c>
      <c r="B186">
        <v>41.54</v>
      </c>
      <c r="C186">
        <v>41.82</v>
      </c>
      <c r="D186">
        <v>41.44</v>
      </c>
      <c r="E186" s="29">
        <v>41.75</v>
      </c>
      <c r="F186">
        <v>815200</v>
      </c>
    </row>
    <row r="187" spans="1:6">
      <c r="A187" s="67">
        <v>41149</v>
      </c>
      <c r="B187">
        <v>41.58</v>
      </c>
      <c r="C187">
        <v>41.94</v>
      </c>
      <c r="D187">
        <v>41.36</v>
      </c>
      <c r="E187" s="29">
        <v>41.68</v>
      </c>
      <c r="F187">
        <v>980000</v>
      </c>
    </row>
    <row r="188" spans="1:6">
      <c r="A188" s="67">
        <v>41148</v>
      </c>
      <c r="B188">
        <v>42.2</v>
      </c>
      <c r="C188">
        <v>42.22</v>
      </c>
      <c r="D188">
        <v>41.48</v>
      </c>
      <c r="E188" s="29">
        <v>41.54</v>
      </c>
      <c r="F188">
        <v>1056700</v>
      </c>
    </row>
    <row r="189" spans="1:6">
      <c r="A189" s="67">
        <v>41145</v>
      </c>
      <c r="B189">
        <v>41.86</v>
      </c>
      <c r="C189">
        <v>42.51</v>
      </c>
      <c r="D189">
        <v>41.81</v>
      </c>
      <c r="E189" s="29">
        <v>42.14</v>
      </c>
      <c r="F189">
        <v>1097900</v>
      </c>
    </row>
    <row r="190" spans="1:6">
      <c r="A190" s="67">
        <v>41144</v>
      </c>
      <c r="B190">
        <v>41.99</v>
      </c>
      <c r="C190">
        <v>42.35</v>
      </c>
      <c r="D190">
        <v>41.82</v>
      </c>
      <c r="E190" s="29">
        <v>42.04</v>
      </c>
      <c r="F190">
        <v>909300</v>
      </c>
    </row>
    <row r="191" spans="1:6">
      <c r="A191" s="67">
        <v>41143</v>
      </c>
      <c r="B191">
        <v>42.27</v>
      </c>
      <c r="C191">
        <v>42.42</v>
      </c>
      <c r="D191">
        <v>42.05</v>
      </c>
      <c r="E191" s="29">
        <v>42.17</v>
      </c>
      <c r="F191">
        <v>1272600</v>
      </c>
    </row>
    <row r="192" spans="1:6">
      <c r="A192" s="67">
        <v>41142</v>
      </c>
      <c r="B192">
        <v>42.26</v>
      </c>
      <c r="C192">
        <v>42.59</v>
      </c>
      <c r="D192">
        <v>42.14</v>
      </c>
      <c r="E192" s="29">
        <v>42.28</v>
      </c>
      <c r="F192">
        <v>1156900</v>
      </c>
    </row>
    <row r="193" spans="1:6">
      <c r="A193" s="67">
        <v>41141</v>
      </c>
      <c r="B193">
        <v>42.8</v>
      </c>
      <c r="C193">
        <v>42.8</v>
      </c>
      <c r="D193">
        <v>42.15</v>
      </c>
      <c r="E193" s="29">
        <v>42.24</v>
      </c>
      <c r="F193">
        <v>1209100</v>
      </c>
    </row>
    <row r="194" spans="1:6">
      <c r="A194" s="67">
        <v>41138</v>
      </c>
      <c r="B194">
        <v>42.48</v>
      </c>
      <c r="C194">
        <v>42.8</v>
      </c>
      <c r="D194">
        <v>41.89</v>
      </c>
      <c r="E194" s="29">
        <v>42.66</v>
      </c>
      <c r="F194">
        <v>1534100</v>
      </c>
    </row>
    <row r="195" spans="1:6">
      <c r="A195" s="67">
        <v>41137</v>
      </c>
      <c r="B195">
        <v>41.5</v>
      </c>
      <c r="C195">
        <v>42.43</v>
      </c>
      <c r="D195">
        <v>41.43</v>
      </c>
      <c r="E195" s="29">
        <v>42.4</v>
      </c>
      <c r="F195">
        <v>1482700</v>
      </c>
    </row>
    <row r="196" spans="1:6">
      <c r="A196" s="67">
        <v>41136</v>
      </c>
      <c r="B196">
        <v>40.99</v>
      </c>
      <c r="C196">
        <v>41.51</v>
      </c>
      <c r="D196">
        <v>40.85</v>
      </c>
      <c r="E196" s="29">
        <v>41.4</v>
      </c>
      <c r="F196">
        <v>609600</v>
      </c>
    </row>
    <row r="197" spans="1:6">
      <c r="A197" s="67">
        <v>41135</v>
      </c>
      <c r="B197">
        <v>41.11</v>
      </c>
      <c r="C197">
        <v>41.65</v>
      </c>
      <c r="D197">
        <v>40.94</v>
      </c>
      <c r="E197" s="29">
        <v>41.05</v>
      </c>
      <c r="F197">
        <v>1387400</v>
      </c>
    </row>
    <row r="198" spans="1:6">
      <c r="A198" s="67">
        <v>41134</v>
      </c>
      <c r="B198">
        <v>41.13</v>
      </c>
      <c r="C198">
        <v>41.33</v>
      </c>
      <c r="D198">
        <v>40.9</v>
      </c>
      <c r="E198" s="29">
        <v>41.01</v>
      </c>
      <c r="F198">
        <v>1147800</v>
      </c>
    </row>
    <row r="199" spans="1:6">
      <c r="A199" s="67">
        <v>41131</v>
      </c>
      <c r="B199">
        <v>40.93</v>
      </c>
      <c r="C199">
        <v>41.29</v>
      </c>
      <c r="D199">
        <v>40.9</v>
      </c>
      <c r="E199" s="29">
        <v>41.25</v>
      </c>
      <c r="F199">
        <v>843700</v>
      </c>
    </row>
    <row r="200" spans="1:6">
      <c r="A200" s="67">
        <v>41130</v>
      </c>
      <c r="B200">
        <v>40.71</v>
      </c>
      <c r="C200">
        <v>41.4</v>
      </c>
      <c r="D200">
        <v>40.68</v>
      </c>
      <c r="E200" s="29">
        <v>41</v>
      </c>
      <c r="F200">
        <v>1527000</v>
      </c>
    </row>
    <row r="201" spans="1:6">
      <c r="A201" s="67">
        <v>41129</v>
      </c>
      <c r="B201">
        <v>40.590000000000003</v>
      </c>
      <c r="C201">
        <v>41.23</v>
      </c>
      <c r="D201">
        <v>40.5</v>
      </c>
      <c r="E201" s="29">
        <v>40.93</v>
      </c>
      <c r="F201">
        <v>2104600</v>
      </c>
    </row>
    <row r="202" spans="1:6">
      <c r="A202" s="67">
        <v>41128</v>
      </c>
      <c r="B202">
        <v>40.340000000000003</v>
      </c>
      <c r="C202">
        <v>41.07</v>
      </c>
      <c r="D202">
        <v>40.32</v>
      </c>
      <c r="E202" s="29">
        <v>40.76</v>
      </c>
      <c r="F202">
        <v>2185300</v>
      </c>
    </row>
    <row r="203" spans="1:6">
      <c r="A203" s="67">
        <v>41127</v>
      </c>
      <c r="B203">
        <v>39.35</v>
      </c>
      <c r="C203">
        <v>40.72</v>
      </c>
      <c r="D203">
        <v>39.25</v>
      </c>
      <c r="E203" s="29">
        <v>40.340000000000003</v>
      </c>
      <c r="F203">
        <v>2203300</v>
      </c>
    </row>
    <row r="204" spans="1:6">
      <c r="A204" s="67">
        <v>41124</v>
      </c>
      <c r="B204">
        <v>38.26</v>
      </c>
      <c r="C204">
        <v>39.36</v>
      </c>
      <c r="D204">
        <v>38.08</v>
      </c>
      <c r="E204" s="29">
        <v>39.130000000000003</v>
      </c>
      <c r="F204">
        <v>2363800</v>
      </c>
    </row>
    <row r="205" spans="1:6">
      <c r="A205" s="67">
        <v>41123</v>
      </c>
      <c r="B205">
        <v>36.869999999999997</v>
      </c>
      <c r="C205">
        <v>37.86</v>
      </c>
      <c r="D205">
        <v>36.61</v>
      </c>
      <c r="E205" s="29">
        <v>37.81</v>
      </c>
      <c r="F205">
        <v>1965800</v>
      </c>
    </row>
    <row r="206" spans="1:6">
      <c r="A206" s="67">
        <v>41122</v>
      </c>
      <c r="B206">
        <v>36.92</v>
      </c>
      <c r="C206">
        <v>37.96</v>
      </c>
      <c r="D206">
        <v>35.479999999999997</v>
      </c>
      <c r="E206" s="29">
        <v>37.51</v>
      </c>
      <c r="F206">
        <v>4906500</v>
      </c>
    </row>
    <row r="207" spans="1:6">
      <c r="A207" s="67">
        <v>41121</v>
      </c>
      <c r="B207">
        <v>39.770000000000003</v>
      </c>
      <c r="C207">
        <v>39.99</v>
      </c>
      <c r="D207">
        <v>39.17</v>
      </c>
      <c r="E207" s="29">
        <v>39.6</v>
      </c>
      <c r="F207">
        <v>2479700</v>
      </c>
    </row>
    <row r="208" spans="1:6">
      <c r="A208" s="67">
        <v>41120</v>
      </c>
      <c r="B208">
        <v>39.93</v>
      </c>
      <c r="C208">
        <v>40.479999999999997</v>
      </c>
      <c r="D208">
        <v>39.29</v>
      </c>
      <c r="E208" s="29">
        <v>39.520000000000003</v>
      </c>
      <c r="F208">
        <v>1893200</v>
      </c>
    </row>
    <row r="209" spans="1:6">
      <c r="A209" s="67">
        <v>41117</v>
      </c>
      <c r="B209">
        <v>40</v>
      </c>
      <c r="C209">
        <v>40.11</v>
      </c>
      <c r="D209">
        <v>39.18</v>
      </c>
      <c r="E209" s="29">
        <v>39.76</v>
      </c>
      <c r="F209">
        <v>1922400</v>
      </c>
    </row>
    <row r="210" spans="1:6">
      <c r="A210" s="67">
        <v>41116</v>
      </c>
      <c r="B210">
        <v>39.840000000000003</v>
      </c>
      <c r="C210">
        <v>40.42</v>
      </c>
      <c r="D210">
        <v>39.4</v>
      </c>
      <c r="E210" s="29">
        <v>39.92</v>
      </c>
      <c r="F210">
        <v>1069200</v>
      </c>
    </row>
    <row r="211" spans="1:6">
      <c r="A211" s="67">
        <v>41115</v>
      </c>
      <c r="B211">
        <v>38.71</v>
      </c>
      <c r="C211">
        <v>39.43</v>
      </c>
      <c r="D211">
        <v>38.58</v>
      </c>
      <c r="E211" s="29">
        <v>39.130000000000003</v>
      </c>
      <c r="F211">
        <v>1218100</v>
      </c>
    </row>
    <row r="212" spans="1:6">
      <c r="A212" s="67">
        <v>41114</v>
      </c>
      <c r="B212">
        <v>39.31</v>
      </c>
      <c r="C212">
        <v>39.44</v>
      </c>
      <c r="D212">
        <v>38.520000000000003</v>
      </c>
      <c r="E212" s="29">
        <v>38.75</v>
      </c>
      <c r="F212">
        <v>1632900</v>
      </c>
    </row>
    <row r="213" spans="1:6">
      <c r="A213" s="67">
        <v>41113</v>
      </c>
      <c r="B213">
        <v>39.64</v>
      </c>
      <c r="C213">
        <v>39.72</v>
      </c>
      <c r="D213">
        <v>38.56</v>
      </c>
      <c r="E213" s="29">
        <v>39.299999999999997</v>
      </c>
      <c r="F213">
        <v>1595300</v>
      </c>
    </row>
    <row r="214" spans="1:6">
      <c r="A214" s="67">
        <v>41110</v>
      </c>
      <c r="B214">
        <v>40.880000000000003</v>
      </c>
      <c r="C214">
        <v>40.880000000000003</v>
      </c>
      <c r="D214">
        <v>40.229999999999997</v>
      </c>
      <c r="E214" s="29">
        <v>40.42</v>
      </c>
      <c r="F214">
        <v>1012800</v>
      </c>
    </row>
    <row r="215" spans="1:6">
      <c r="A215" s="67">
        <v>41109</v>
      </c>
      <c r="B215">
        <v>40.659999999999997</v>
      </c>
      <c r="C215">
        <v>41.27</v>
      </c>
      <c r="D215">
        <v>40.54</v>
      </c>
      <c r="E215" s="29">
        <v>40.83</v>
      </c>
      <c r="F215">
        <v>1302100</v>
      </c>
    </row>
    <row r="216" spans="1:6">
      <c r="A216" s="67">
        <v>41108</v>
      </c>
      <c r="B216">
        <v>39.17</v>
      </c>
      <c r="C216">
        <v>40.94</v>
      </c>
      <c r="D216">
        <v>39.090000000000003</v>
      </c>
      <c r="E216" s="29">
        <v>40.6</v>
      </c>
      <c r="F216">
        <v>1112200</v>
      </c>
    </row>
    <row r="217" spans="1:6">
      <c r="A217" s="67">
        <v>41107</v>
      </c>
      <c r="B217">
        <v>39.47</v>
      </c>
      <c r="C217">
        <v>39.619999999999997</v>
      </c>
      <c r="D217">
        <v>38.85</v>
      </c>
      <c r="E217" s="29">
        <v>39.51</v>
      </c>
      <c r="F217">
        <v>717200</v>
      </c>
    </row>
    <row r="218" spans="1:6">
      <c r="A218" s="67">
        <v>41106</v>
      </c>
      <c r="B218">
        <v>39.29</v>
      </c>
      <c r="C218">
        <v>39.479999999999997</v>
      </c>
      <c r="D218">
        <v>38.86</v>
      </c>
      <c r="E218" s="29">
        <v>39.32</v>
      </c>
      <c r="F218">
        <v>1218100</v>
      </c>
    </row>
    <row r="219" spans="1:6">
      <c r="A219" s="67">
        <v>41103</v>
      </c>
      <c r="B219">
        <v>39.020000000000003</v>
      </c>
      <c r="C219">
        <v>39.61</v>
      </c>
      <c r="D219">
        <v>38.94</v>
      </c>
      <c r="E219" s="29">
        <v>39.53</v>
      </c>
      <c r="F219">
        <v>1245300</v>
      </c>
    </row>
    <row r="220" spans="1:6">
      <c r="A220" s="67">
        <v>41102</v>
      </c>
      <c r="B220">
        <v>39.15</v>
      </c>
      <c r="C220">
        <v>39.33</v>
      </c>
      <c r="D220">
        <v>38.76</v>
      </c>
      <c r="E220" s="29">
        <v>39.07</v>
      </c>
      <c r="F220">
        <v>1199600</v>
      </c>
    </row>
    <row r="221" spans="1:6">
      <c r="A221" s="67">
        <v>41101</v>
      </c>
      <c r="B221">
        <v>39.64</v>
      </c>
      <c r="C221">
        <v>40.1</v>
      </c>
      <c r="D221">
        <v>39.21</v>
      </c>
      <c r="E221" s="29">
        <v>39.450000000000003</v>
      </c>
      <c r="F221">
        <v>1108700</v>
      </c>
    </row>
    <row r="222" spans="1:6">
      <c r="A222" s="67">
        <v>41100</v>
      </c>
      <c r="B222">
        <v>40.340000000000003</v>
      </c>
      <c r="C222">
        <v>40.6</v>
      </c>
      <c r="D222">
        <v>39.44</v>
      </c>
      <c r="E222" s="29">
        <v>39.64</v>
      </c>
      <c r="F222">
        <v>1340900</v>
      </c>
    </row>
    <row r="223" spans="1:6">
      <c r="A223" s="67">
        <v>41099</v>
      </c>
      <c r="B223">
        <v>40.47</v>
      </c>
      <c r="C223">
        <v>40.61</v>
      </c>
      <c r="D223">
        <v>39.82</v>
      </c>
      <c r="E223" s="29">
        <v>40.18</v>
      </c>
      <c r="F223">
        <v>1689500</v>
      </c>
    </row>
    <row r="224" spans="1:6">
      <c r="A224" s="67">
        <v>41096</v>
      </c>
      <c r="B224">
        <v>41.92</v>
      </c>
      <c r="C224">
        <v>42.12</v>
      </c>
      <c r="D224">
        <v>40.33</v>
      </c>
      <c r="E224" s="29">
        <v>40.67</v>
      </c>
      <c r="F224">
        <v>2169000</v>
      </c>
    </row>
    <row r="225" spans="1:6">
      <c r="A225" s="67">
        <v>41095</v>
      </c>
      <c r="B225">
        <v>42.38</v>
      </c>
      <c r="C225">
        <v>42.8</v>
      </c>
      <c r="D225">
        <v>41.97</v>
      </c>
      <c r="E225" s="29">
        <v>42.18</v>
      </c>
      <c r="F225">
        <v>1235000</v>
      </c>
    </row>
    <row r="226" spans="1:6">
      <c r="A226" s="67">
        <v>41094</v>
      </c>
      <c r="B226">
        <v>42.29</v>
      </c>
      <c r="C226">
        <v>42.29</v>
      </c>
      <c r="D226">
        <v>42.29</v>
      </c>
      <c r="E226" s="29">
        <v>42.29</v>
      </c>
      <c r="F226">
        <v>0</v>
      </c>
    </row>
    <row r="227" spans="1:6">
      <c r="A227" s="67">
        <v>41093</v>
      </c>
      <c r="B227">
        <v>42.91</v>
      </c>
      <c r="C227">
        <v>42.94</v>
      </c>
      <c r="D227">
        <v>42.04</v>
      </c>
      <c r="E227" s="29">
        <v>42.29</v>
      </c>
      <c r="F227">
        <v>1223400</v>
      </c>
    </row>
    <row r="228" spans="1:6">
      <c r="A228" s="67">
        <v>41092</v>
      </c>
      <c r="B228">
        <v>43</v>
      </c>
      <c r="C228">
        <v>43.6</v>
      </c>
      <c r="D228">
        <v>42.44</v>
      </c>
      <c r="E228" s="29">
        <v>42.58</v>
      </c>
      <c r="F228">
        <v>1157800</v>
      </c>
    </row>
    <row r="229" spans="1:6">
      <c r="A229" s="67">
        <v>41089</v>
      </c>
      <c r="B229">
        <v>42.14</v>
      </c>
      <c r="C229">
        <v>42.7</v>
      </c>
      <c r="D229">
        <v>41.81</v>
      </c>
      <c r="E229" s="29">
        <v>42.68</v>
      </c>
      <c r="F229">
        <v>1657200</v>
      </c>
    </row>
    <row r="230" spans="1:6">
      <c r="A230" s="67">
        <v>41088</v>
      </c>
      <c r="B230">
        <v>41.5</v>
      </c>
      <c r="C230">
        <v>41.64</v>
      </c>
      <c r="D230">
        <v>40.950000000000003</v>
      </c>
      <c r="E230" s="29">
        <v>41.53</v>
      </c>
      <c r="F230">
        <v>733700</v>
      </c>
    </row>
    <row r="231" spans="1:6">
      <c r="A231" s="67">
        <v>41087</v>
      </c>
      <c r="B231">
        <v>41.69</v>
      </c>
      <c r="C231">
        <v>42.04</v>
      </c>
      <c r="D231">
        <v>41.39</v>
      </c>
      <c r="E231" s="29">
        <v>41.71</v>
      </c>
      <c r="F231">
        <v>1079600</v>
      </c>
    </row>
    <row r="232" spans="1:6">
      <c r="A232" s="67">
        <v>41086</v>
      </c>
      <c r="B232">
        <v>41.83</v>
      </c>
      <c r="C232">
        <v>42</v>
      </c>
      <c r="D232">
        <v>41.45</v>
      </c>
      <c r="E232" s="29">
        <v>41.52</v>
      </c>
      <c r="F232">
        <v>1325900</v>
      </c>
    </row>
    <row r="233" spans="1:6">
      <c r="A233" s="67">
        <v>41085</v>
      </c>
      <c r="B233">
        <v>42.67</v>
      </c>
      <c r="C233">
        <v>42.72</v>
      </c>
      <c r="D233">
        <v>41.73</v>
      </c>
      <c r="E233" s="29">
        <v>41.78</v>
      </c>
      <c r="F233">
        <v>1405400</v>
      </c>
    </row>
    <row r="234" spans="1:6">
      <c r="A234" s="67">
        <v>41082</v>
      </c>
      <c r="B234">
        <v>42.32</v>
      </c>
      <c r="C234">
        <v>43.02</v>
      </c>
      <c r="D234">
        <v>42.32</v>
      </c>
      <c r="E234" s="29">
        <v>42.9</v>
      </c>
      <c r="F234">
        <v>1898100</v>
      </c>
    </row>
    <row r="235" spans="1:6">
      <c r="A235" s="67">
        <v>41081</v>
      </c>
      <c r="B235">
        <v>43.77</v>
      </c>
      <c r="C235">
        <v>43.99</v>
      </c>
      <c r="D235">
        <v>42.18</v>
      </c>
      <c r="E235" s="29">
        <v>42.32</v>
      </c>
      <c r="F235">
        <v>2368500</v>
      </c>
    </row>
    <row r="236" spans="1:6">
      <c r="A236" s="67">
        <v>41080</v>
      </c>
      <c r="B236">
        <v>43.94</v>
      </c>
      <c r="C236">
        <v>44.2</v>
      </c>
      <c r="D236">
        <v>43.68</v>
      </c>
      <c r="E236" s="29">
        <v>43.96</v>
      </c>
      <c r="F236">
        <v>1455100</v>
      </c>
    </row>
    <row r="237" spans="1:6">
      <c r="A237" s="67">
        <v>41079</v>
      </c>
      <c r="B237">
        <v>44.3</v>
      </c>
      <c r="C237">
        <v>44.69</v>
      </c>
      <c r="D237">
        <v>43.64</v>
      </c>
      <c r="E237" s="29">
        <v>43.83</v>
      </c>
      <c r="F237">
        <v>1695400</v>
      </c>
    </row>
    <row r="238" spans="1:6">
      <c r="A238" s="67">
        <v>41078</v>
      </c>
      <c r="B238">
        <v>43.69</v>
      </c>
      <c r="C238">
        <v>44.32</v>
      </c>
      <c r="D238">
        <v>43.45</v>
      </c>
      <c r="E238" s="29">
        <v>44.01</v>
      </c>
      <c r="F238">
        <v>1407300</v>
      </c>
    </row>
    <row r="239" spans="1:6">
      <c r="A239" s="67">
        <v>41075</v>
      </c>
      <c r="B239">
        <v>43.07</v>
      </c>
      <c r="C239">
        <v>43.85</v>
      </c>
      <c r="D239">
        <v>42.92</v>
      </c>
      <c r="E239" s="29">
        <v>43.76</v>
      </c>
      <c r="F239">
        <v>2489400</v>
      </c>
    </row>
    <row r="240" spans="1:6">
      <c r="A240" s="67">
        <v>41074</v>
      </c>
      <c r="B240">
        <v>43.31</v>
      </c>
      <c r="C240">
        <v>43.65</v>
      </c>
      <c r="D240">
        <v>42.68</v>
      </c>
      <c r="E240" s="29">
        <v>43</v>
      </c>
      <c r="F240">
        <v>2866600</v>
      </c>
    </row>
    <row r="241" spans="1:6">
      <c r="A241" s="67">
        <v>41073</v>
      </c>
      <c r="B241">
        <v>43</v>
      </c>
      <c r="C241">
        <v>43.73</v>
      </c>
      <c r="D241">
        <v>42.52</v>
      </c>
      <c r="E241" s="29">
        <v>43.44</v>
      </c>
      <c r="F241">
        <v>2176800</v>
      </c>
    </row>
    <row r="242" spans="1:6">
      <c r="A242" s="67">
        <v>41072</v>
      </c>
      <c r="B242">
        <v>42.48</v>
      </c>
      <c r="C242">
        <v>43.29</v>
      </c>
      <c r="D242">
        <v>42.3</v>
      </c>
      <c r="E242" s="29">
        <v>43.25</v>
      </c>
      <c r="F242">
        <v>1772100</v>
      </c>
    </row>
    <row r="243" spans="1:6">
      <c r="A243" s="67">
        <v>41071</v>
      </c>
      <c r="B243">
        <v>43.67</v>
      </c>
      <c r="C243">
        <v>43.78</v>
      </c>
      <c r="D243">
        <v>42.38</v>
      </c>
      <c r="E243" s="29">
        <v>42.47</v>
      </c>
      <c r="F243">
        <v>1672800</v>
      </c>
    </row>
    <row r="244" spans="1:6">
      <c r="A244" s="67">
        <v>41068</v>
      </c>
      <c r="B244">
        <v>43.36</v>
      </c>
      <c r="C244">
        <v>43.84</v>
      </c>
      <c r="D244">
        <v>43.21</v>
      </c>
      <c r="E244" s="29">
        <v>43.7</v>
      </c>
      <c r="F244">
        <v>1416100</v>
      </c>
    </row>
    <row r="245" spans="1:6">
      <c r="A245" s="67">
        <v>41067</v>
      </c>
      <c r="B245">
        <v>44</v>
      </c>
      <c r="C245">
        <v>44.07</v>
      </c>
      <c r="D245">
        <v>43.32</v>
      </c>
      <c r="E245" s="29">
        <v>43.71</v>
      </c>
      <c r="F245">
        <v>2255900</v>
      </c>
    </row>
    <row r="246" spans="1:6">
      <c r="A246" s="67">
        <v>41066</v>
      </c>
      <c r="B246">
        <v>42.52</v>
      </c>
      <c r="C246">
        <v>43.71</v>
      </c>
      <c r="D246">
        <v>42.36</v>
      </c>
      <c r="E246" s="29">
        <v>43.71</v>
      </c>
      <c r="F246">
        <v>1886000</v>
      </c>
    </row>
    <row r="247" spans="1:6">
      <c r="A247" s="67">
        <v>41065</v>
      </c>
      <c r="B247">
        <v>41.24</v>
      </c>
      <c r="C247">
        <v>42.38</v>
      </c>
      <c r="D247">
        <v>41.23</v>
      </c>
      <c r="E247" s="29">
        <v>42.23</v>
      </c>
      <c r="F247">
        <v>1126500</v>
      </c>
    </row>
    <row r="248" spans="1:6">
      <c r="A248" s="67">
        <v>41064</v>
      </c>
      <c r="B248">
        <v>42.04</v>
      </c>
      <c r="C248">
        <v>42.86</v>
      </c>
      <c r="D248">
        <v>41.27</v>
      </c>
      <c r="E248" s="29">
        <v>41.71</v>
      </c>
      <c r="F248">
        <v>1466500</v>
      </c>
    </row>
    <row r="249" spans="1:6">
      <c r="A249" s="67">
        <v>41061</v>
      </c>
      <c r="B249">
        <v>41.73</v>
      </c>
      <c r="C249">
        <v>42.56</v>
      </c>
      <c r="D249">
        <v>41.62</v>
      </c>
      <c r="E249" s="29">
        <v>41.89</v>
      </c>
      <c r="F249">
        <v>2829900</v>
      </c>
    </row>
    <row r="250" spans="1:6">
      <c r="A250" s="67">
        <v>41060</v>
      </c>
      <c r="B250">
        <v>43.12</v>
      </c>
      <c r="C250">
        <v>43.12</v>
      </c>
      <c r="D250">
        <v>41.77</v>
      </c>
      <c r="E250" s="29">
        <v>42.32</v>
      </c>
      <c r="F250">
        <v>3210800</v>
      </c>
    </row>
    <row r="251" spans="1:6">
      <c r="A251" s="67">
        <v>41059</v>
      </c>
      <c r="B251">
        <v>43.36</v>
      </c>
      <c r="C251">
        <v>43.38</v>
      </c>
      <c r="D251">
        <v>42.83</v>
      </c>
      <c r="E251" s="29">
        <v>43</v>
      </c>
      <c r="F251">
        <v>1445800</v>
      </c>
    </row>
    <row r="252" spans="1:6">
      <c r="A252" s="67">
        <v>41058</v>
      </c>
      <c r="B252">
        <v>44.05</v>
      </c>
      <c r="C252">
        <v>44.29</v>
      </c>
      <c r="D252">
        <v>43.27</v>
      </c>
      <c r="E252" s="29">
        <v>43.86</v>
      </c>
      <c r="F252">
        <v>1788200</v>
      </c>
    </row>
    <row r="253" spans="1:6">
      <c r="A253" s="67">
        <v>41057</v>
      </c>
      <c r="B253">
        <v>43.69</v>
      </c>
      <c r="C253">
        <v>43.69</v>
      </c>
      <c r="D253">
        <v>43.69</v>
      </c>
      <c r="E253" s="29">
        <v>43.69</v>
      </c>
      <c r="F253">
        <v>0</v>
      </c>
    </row>
    <row r="254" spans="1:6">
      <c r="A254" s="67">
        <v>41054</v>
      </c>
      <c r="B254">
        <v>43.15</v>
      </c>
      <c r="C254">
        <v>44.16</v>
      </c>
      <c r="D254">
        <v>43.01</v>
      </c>
      <c r="E254" s="29">
        <v>43.69</v>
      </c>
      <c r="F254">
        <v>2365600</v>
      </c>
    </row>
    <row r="255" spans="1:6">
      <c r="A255" s="67">
        <v>41053</v>
      </c>
      <c r="B255">
        <v>43.19</v>
      </c>
      <c r="C255">
        <v>43.24</v>
      </c>
      <c r="D255">
        <v>42.44</v>
      </c>
      <c r="E255" s="29">
        <v>42.97</v>
      </c>
      <c r="F255">
        <v>2489100</v>
      </c>
    </row>
    <row r="256" spans="1:6">
      <c r="A256" s="67">
        <v>41052</v>
      </c>
      <c r="B256">
        <v>42.37</v>
      </c>
      <c r="C256">
        <v>43.51</v>
      </c>
      <c r="D256">
        <v>42.01</v>
      </c>
      <c r="E256" s="29">
        <v>43.39</v>
      </c>
      <c r="F256">
        <v>2624200</v>
      </c>
    </row>
    <row r="257" spans="1:6">
      <c r="A257" s="67">
        <v>41051</v>
      </c>
      <c r="B257">
        <v>42.9</v>
      </c>
      <c r="C257">
        <v>43.01</v>
      </c>
      <c r="D257">
        <v>42.47</v>
      </c>
      <c r="E257" s="29">
        <v>42.73</v>
      </c>
      <c r="F257">
        <v>1839100</v>
      </c>
    </row>
    <row r="258" spans="1:6">
      <c r="A258" s="67">
        <v>41050</v>
      </c>
      <c r="B258">
        <v>41.59</v>
      </c>
      <c r="C258">
        <v>43.18</v>
      </c>
      <c r="D258">
        <v>41.49</v>
      </c>
      <c r="E258" s="29">
        <v>42.96</v>
      </c>
      <c r="F258">
        <v>2735200</v>
      </c>
    </row>
    <row r="259" spans="1:6">
      <c r="A259" s="67">
        <v>41047</v>
      </c>
      <c r="B259">
        <v>42.52</v>
      </c>
      <c r="C259">
        <v>43.05</v>
      </c>
      <c r="D259">
        <v>41.54</v>
      </c>
      <c r="E259" s="29">
        <v>41.66</v>
      </c>
      <c r="F259">
        <v>4568800</v>
      </c>
    </row>
    <row r="260" spans="1:6">
      <c r="A260" s="67">
        <v>41046</v>
      </c>
      <c r="B260">
        <v>43.5</v>
      </c>
      <c r="C260">
        <v>43.7</v>
      </c>
      <c r="D260">
        <v>42.35</v>
      </c>
      <c r="E260" s="29">
        <v>42.38</v>
      </c>
      <c r="F260">
        <v>2546500</v>
      </c>
    </row>
    <row r="261" spans="1:6">
      <c r="A261" s="67">
        <v>41045</v>
      </c>
      <c r="B261">
        <v>44.5</v>
      </c>
      <c r="C261">
        <v>44.5</v>
      </c>
      <c r="D261">
        <v>43.29</v>
      </c>
      <c r="E261" s="29">
        <v>43.3</v>
      </c>
      <c r="F261">
        <v>5806700</v>
      </c>
    </row>
    <row r="262" spans="1:6">
      <c r="A262" s="67">
        <v>41044</v>
      </c>
      <c r="B262">
        <v>43.75</v>
      </c>
      <c r="C262">
        <v>45.7</v>
      </c>
      <c r="D262">
        <v>42.88</v>
      </c>
      <c r="E262" s="29">
        <v>44.51</v>
      </c>
      <c r="F262">
        <v>9349900</v>
      </c>
    </row>
    <row r="263" spans="1:6">
      <c r="A263" s="67">
        <v>41043</v>
      </c>
      <c r="B263">
        <v>42.03</v>
      </c>
      <c r="C263">
        <v>44.35</v>
      </c>
      <c r="D263">
        <v>41.73</v>
      </c>
      <c r="E263" s="29">
        <v>43.92</v>
      </c>
      <c r="F263">
        <v>7045700</v>
      </c>
    </row>
    <row r="264" spans="1:6">
      <c r="A264" s="67">
        <v>41040</v>
      </c>
      <c r="B264">
        <v>40.11</v>
      </c>
      <c r="C264">
        <v>40.93</v>
      </c>
      <c r="D264">
        <v>40.07</v>
      </c>
      <c r="E264" s="29">
        <v>40.4</v>
      </c>
      <c r="F264">
        <v>1823400</v>
      </c>
    </row>
    <row r="265" spans="1:6">
      <c r="A265" s="67">
        <v>41039</v>
      </c>
      <c r="B265">
        <v>38.97</v>
      </c>
      <c r="C265">
        <v>40.68</v>
      </c>
      <c r="D265">
        <v>38.97</v>
      </c>
      <c r="E265" s="29">
        <v>40.28</v>
      </c>
      <c r="F265">
        <v>3679900</v>
      </c>
    </row>
    <row r="266" spans="1:6">
      <c r="A266" s="67">
        <v>41038</v>
      </c>
      <c r="B266">
        <v>39.46</v>
      </c>
      <c r="C266">
        <v>40.15</v>
      </c>
      <c r="D266">
        <v>39.08</v>
      </c>
      <c r="E266" s="29">
        <v>39.71</v>
      </c>
      <c r="F266">
        <v>2542600</v>
      </c>
    </row>
    <row r="267" spans="1:6">
      <c r="A267" s="67">
        <v>41037</v>
      </c>
      <c r="B267">
        <v>39.81</v>
      </c>
      <c r="C267">
        <v>39.92</v>
      </c>
      <c r="D267">
        <v>39.130000000000003</v>
      </c>
      <c r="E267" s="29">
        <v>39.86</v>
      </c>
      <c r="F267">
        <v>2381000</v>
      </c>
    </row>
    <row r="268" spans="1:6">
      <c r="A268" s="67">
        <v>41036</v>
      </c>
      <c r="B268">
        <v>39.9</v>
      </c>
      <c r="C268">
        <v>40.33</v>
      </c>
      <c r="D268">
        <v>39.86</v>
      </c>
      <c r="E268" s="29">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2014-12-11T00:17:23Z</dcterms:modified>
</cp:coreProperties>
</file>