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F214" i="1" l="1"/>
  <c r="G214" i="1" l="1"/>
  <c r="H214" i="1" s="1"/>
  <c r="I214" i="1" s="1"/>
  <c r="J214" i="1" s="1"/>
  <c r="J102" i="1" l="1"/>
  <c r="I102" i="1"/>
  <c r="H102" i="1"/>
  <c r="G102" i="1"/>
  <c r="F102" i="1"/>
  <c r="E74" i="1"/>
  <c r="D74" i="1"/>
  <c r="D105" i="1"/>
  <c r="E105" i="1"/>
  <c r="F298" i="1" l="1"/>
  <c r="C199" i="1"/>
  <c r="E199" i="1"/>
  <c r="D199" i="1"/>
  <c r="E87" i="1"/>
  <c r="D87" i="1"/>
  <c r="E72" i="1"/>
  <c r="D72" i="1"/>
  <c r="E39" i="1"/>
  <c r="F32" i="1"/>
  <c r="F31" i="1"/>
  <c r="F30" i="1"/>
  <c r="F29" i="1"/>
  <c r="F28" i="1"/>
  <c r="H8" i="1"/>
  <c r="J21" i="1"/>
  <c r="H15" i="1"/>
  <c r="H14" i="1"/>
  <c r="B279" i="1"/>
  <c r="B280" i="1"/>
  <c r="B281" i="1"/>
  <c r="E5" i="9"/>
  <c r="E4" i="9"/>
  <c r="B3" i="11"/>
  <c r="B2" i="11"/>
  <c r="B2" i="1"/>
  <c r="B19" i="11"/>
  <c r="B20" i="11" s="1"/>
  <c r="B21" i="11" s="1"/>
  <c r="B22" i="11" s="1"/>
  <c r="B23" i="11" s="1"/>
  <c r="B24" i="11" s="1"/>
  <c r="B25" i="11" s="1"/>
  <c r="B26" i="11" s="1"/>
  <c r="B27" i="11" s="1"/>
  <c r="E86" i="1" l="1"/>
  <c r="E71" i="1"/>
  <c r="E198" i="1"/>
  <c r="C92" i="1"/>
  <c r="C93" i="1"/>
  <c r="C98" i="1"/>
  <c r="C99" i="1"/>
  <c r="E301" i="1"/>
  <c r="E302" i="1" s="1"/>
  <c r="E303" i="1" s="1"/>
  <c r="E304" i="1" s="1"/>
  <c r="G299" i="1"/>
  <c r="H299" i="1" s="1"/>
  <c r="I299" i="1" s="1"/>
  <c r="J299" i="1" s="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E310" i="1"/>
  <c r="E311" i="1" s="1"/>
  <c r="E312" i="1" s="1"/>
  <c r="E313" i="1" s="1"/>
  <c r="G308" i="1"/>
  <c r="H308" i="1" s="1"/>
  <c r="I308" i="1" s="1"/>
  <c r="J308" i="1" s="1"/>
  <c r="F288" i="1"/>
  <c r="G289" i="1"/>
  <c r="H289" i="1" s="1"/>
  <c r="I289" i="1" s="1"/>
  <c r="J289" i="1" s="1"/>
  <c r="E291" i="1"/>
  <c r="E292" i="1" s="1"/>
  <c r="E293" i="1" s="1"/>
  <c r="E294" i="1" s="1"/>
  <c r="G107" i="1" l="1"/>
  <c r="D75" i="1"/>
  <c r="D98" i="1"/>
  <c r="F251" i="1"/>
  <c r="F252" i="1" s="1"/>
  <c r="F253" i="1" s="1"/>
  <c r="F254" i="1" s="1"/>
  <c r="G251" i="1"/>
  <c r="G252" i="1" s="1"/>
  <c r="G253" i="1" s="1"/>
  <c r="G254" i="1" s="1"/>
  <c r="H251" i="1"/>
  <c r="H252" i="1" s="1"/>
  <c r="H253" i="1" s="1"/>
  <c r="H254" i="1" s="1"/>
  <c r="I251" i="1"/>
  <c r="I252" i="1" s="1"/>
  <c r="I253" i="1" s="1"/>
  <c r="I254" i="1" s="1"/>
  <c r="B271" i="1"/>
  <c r="B270" i="1"/>
  <c r="H269" i="1"/>
  <c r="H268" i="1"/>
  <c r="H107" i="1" l="1"/>
  <c r="K93" i="1"/>
  <c r="F93" i="1" s="1"/>
  <c r="G93" i="1" s="1"/>
  <c r="H93" i="1" s="1"/>
  <c r="I93" i="1" s="1"/>
  <c r="J93" i="1" s="1"/>
  <c r="B238" i="1"/>
  <c r="I107" i="1" l="1"/>
  <c r="B250" i="1"/>
  <c r="J107" i="1" l="1"/>
  <c r="B269" i="1"/>
  <c r="B268" i="1"/>
  <c r="B267" i="1"/>
  <c r="B266" i="1"/>
  <c r="B265" i="1"/>
  <c r="B264" i="1"/>
  <c r="I257" i="1"/>
  <c r="I258" i="1" s="1"/>
  <c r="I259" i="1" s="1"/>
  <c r="I260" i="1" s="1"/>
  <c r="H257" i="1"/>
  <c r="H258" i="1" s="1"/>
  <c r="H259" i="1" s="1"/>
  <c r="H260" i="1" s="1"/>
  <c r="G257" i="1"/>
  <c r="G258" i="1" s="1"/>
  <c r="G259" i="1" s="1"/>
  <c r="G260" i="1" s="1"/>
  <c r="F257" i="1"/>
  <c r="F258" i="1" s="1"/>
  <c r="F259" i="1" s="1"/>
  <c r="F260" i="1" s="1"/>
  <c r="B256" i="1"/>
  <c r="B244" i="1"/>
  <c r="B251" i="1"/>
  <c r="F146" i="1"/>
  <c r="G146" i="1" s="1"/>
  <c r="H146" i="1" s="1"/>
  <c r="I146" i="1" s="1"/>
  <c r="J146" i="1" s="1"/>
  <c r="C136" i="1"/>
  <c r="E83" i="1"/>
  <c r="D83" i="1"/>
  <c r="B239" i="1" l="1"/>
  <c r="B245" i="1"/>
  <c r="B257" i="1"/>
  <c r="F105" i="1"/>
  <c r="G105" i="1" l="1"/>
  <c r="G117" i="1" s="1"/>
  <c r="B252" i="1"/>
  <c r="B262" i="1"/>
  <c r="B246" i="1"/>
  <c r="B259" i="1"/>
  <c r="B258" i="1"/>
  <c r="B240" i="1"/>
  <c r="F117" i="1"/>
  <c r="H105" i="1"/>
  <c r="B248" i="1" l="1"/>
  <c r="B241" i="1"/>
  <c r="B247" i="1"/>
  <c r="B253" i="1"/>
  <c r="B242" i="1"/>
  <c r="B254" i="1"/>
  <c r="B260" i="1"/>
  <c r="H117" i="1"/>
  <c r="I105" i="1"/>
  <c r="I117" i="1" l="1"/>
  <c r="J105" i="1"/>
  <c r="J117" i="1" l="1"/>
  <c r="E142" i="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F39" i="1"/>
  <c r="C64" i="1"/>
  <c r="E79" i="1"/>
  <c r="F79" i="1" s="1"/>
  <c r="G79" i="1" s="1"/>
  <c r="H79" i="1" s="1"/>
  <c r="I79" i="1" s="1"/>
  <c r="J79" i="1" s="1"/>
  <c r="E136" i="1"/>
  <c r="F40" i="1"/>
  <c r="F199" i="1" l="1"/>
  <c r="F198" i="1"/>
  <c r="D198" i="1"/>
  <c r="F71" i="1"/>
  <c r="F86" i="1"/>
  <c r="F87" i="1"/>
  <c r="F72" i="1"/>
  <c r="D86" i="1"/>
  <c r="D71" i="1"/>
  <c r="H10" i="1"/>
  <c r="I10" i="1"/>
  <c r="I12" i="1" s="1"/>
  <c r="I17" i="1" s="1"/>
  <c r="J10" i="1"/>
  <c r="H66" i="1"/>
  <c r="F64" i="1"/>
  <c r="G64" i="1" s="1"/>
  <c r="H64" i="1" s="1"/>
  <c r="I64" i="1" s="1"/>
  <c r="J64" i="1" s="1"/>
  <c r="D34" i="1"/>
  <c r="F232" i="1"/>
  <c r="G39" i="1"/>
  <c r="D51" i="1"/>
  <c r="D67" i="1" s="1"/>
  <c r="E81" i="1"/>
  <c r="F81" i="1" s="1"/>
  <c r="G81" i="1" s="1"/>
  <c r="H81" i="1" s="1"/>
  <c r="I81" i="1" s="1"/>
  <c r="J81" i="1" s="1"/>
  <c r="E51" i="1"/>
  <c r="C39" i="1"/>
  <c r="D135" i="1"/>
  <c r="F136" i="1"/>
  <c r="F111" i="1"/>
  <c r="G40" i="1"/>
  <c r="C51" i="1"/>
  <c r="F135" i="1"/>
  <c r="F110" i="1"/>
  <c r="G199" i="1" l="1"/>
  <c r="C198" i="1"/>
  <c r="G198" i="1"/>
  <c r="F270" i="1"/>
  <c r="G72" i="1"/>
  <c r="G87" i="1"/>
  <c r="G71" i="1"/>
  <c r="G86" i="1"/>
  <c r="I66" i="1"/>
  <c r="C135" i="1"/>
  <c r="H39" i="1"/>
  <c r="G232" i="1"/>
  <c r="E250" i="1"/>
  <c r="E251" i="1" s="1"/>
  <c r="E252" i="1" s="1"/>
  <c r="E253" i="1" s="1"/>
  <c r="E254" i="1" s="1"/>
  <c r="C227" i="1"/>
  <c r="D28" i="1"/>
  <c r="D53" i="1"/>
  <c r="D33" i="1"/>
  <c r="D29" i="1"/>
  <c r="H29" i="1" s="1"/>
  <c r="D32" i="1"/>
  <c r="H32" i="1" s="1"/>
  <c r="D31" i="1"/>
  <c r="H31" i="1" s="1"/>
  <c r="D30" i="1"/>
  <c r="H30" i="1" s="1"/>
  <c r="C53" i="1"/>
  <c r="C67" i="1"/>
  <c r="E67" i="1"/>
  <c r="F67" i="1" s="1"/>
  <c r="E53" i="1"/>
  <c r="G135" i="1"/>
  <c r="G110" i="1"/>
  <c r="G136" i="1"/>
  <c r="G111" i="1"/>
  <c r="H40" i="1"/>
  <c r="F42" i="1"/>
  <c r="F46" i="1" s="1"/>
  <c r="F187" i="1" l="1"/>
  <c r="H28" i="1"/>
  <c r="H33" i="1" s="1"/>
  <c r="H198" i="1"/>
  <c r="H199" i="1"/>
  <c r="H72" i="1"/>
  <c r="H87" i="1"/>
  <c r="H86" i="1"/>
  <c r="H71" i="1"/>
  <c r="J29" i="1"/>
  <c r="J31" i="1"/>
  <c r="J32" i="1"/>
  <c r="J66" i="1"/>
  <c r="J28" i="1"/>
  <c r="F266" i="1"/>
  <c r="J30" i="1"/>
  <c r="F267" i="1"/>
  <c r="H232" i="1"/>
  <c r="F264" i="1"/>
  <c r="F269" i="1"/>
  <c r="F265" i="1"/>
  <c r="F92" i="1"/>
  <c r="F76" i="1"/>
  <c r="F74" i="1"/>
  <c r="G67" i="1"/>
  <c r="F268" i="1"/>
  <c r="E238" i="1"/>
  <c r="E239" i="1" s="1"/>
  <c r="E240" i="1" s="1"/>
  <c r="E241" i="1" s="1"/>
  <c r="E242" i="1" s="1"/>
  <c r="E233" i="1"/>
  <c r="F151" i="1"/>
  <c r="F166" i="1"/>
  <c r="F167" i="1" s="1"/>
  <c r="E235" i="1"/>
  <c r="F188" i="1"/>
  <c r="E244" i="1"/>
  <c r="E245" i="1" s="1"/>
  <c r="E246" i="1" s="1"/>
  <c r="E247" i="1" s="1"/>
  <c r="E248" i="1" s="1"/>
  <c r="F180" i="1"/>
  <c r="F158" i="1"/>
  <c r="F159" i="1" s="1"/>
  <c r="E234" i="1"/>
  <c r="F174" i="1"/>
  <c r="E236" i="1"/>
  <c r="H110" i="1"/>
  <c r="H135" i="1"/>
  <c r="I39" i="1"/>
  <c r="H111" i="1"/>
  <c r="I40" i="1"/>
  <c r="H136" i="1"/>
  <c r="F80" i="1"/>
  <c r="F45" i="1"/>
  <c r="G42" i="1"/>
  <c r="G46" i="1" s="1"/>
  <c r="F44" i="1"/>
  <c r="F154" i="1" l="1"/>
  <c r="I199" i="1"/>
  <c r="I198" i="1"/>
  <c r="F175" i="1"/>
  <c r="F176" i="1" s="1"/>
  <c r="I86" i="1"/>
  <c r="I71" i="1"/>
  <c r="I87" i="1"/>
  <c r="I72" i="1"/>
  <c r="F193" i="1"/>
  <c r="J33" i="1"/>
  <c r="I194" i="1"/>
  <c r="H194" i="1"/>
  <c r="J194" i="1"/>
  <c r="G194" i="1"/>
  <c r="F194" i="1"/>
  <c r="I232" i="1"/>
  <c r="G92" i="1"/>
  <c r="G76" i="1"/>
  <c r="H67" i="1"/>
  <c r="F43" i="1"/>
  <c r="F58" i="1" s="1"/>
  <c r="F115" i="1" s="1"/>
  <c r="F47" i="1"/>
  <c r="F56" i="1" s="1"/>
  <c r="F181" i="1"/>
  <c r="F207" i="1" s="1"/>
  <c r="F182" i="1"/>
  <c r="F208" i="1" s="1"/>
  <c r="F118" i="1" s="1"/>
  <c r="F189" i="1"/>
  <c r="I181" i="1"/>
  <c r="J181" i="1"/>
  <c r="H181" i="1"/>
  <c r="G181" i="1"/>
  <c r="G80" i="1"/>
  <c r="I111" i="1"/>
  <c r="I136" i="1"/>
  <c r="J40" i="1"/>
  <c r="I110" i="1"/>
  <c r="I135" i="1"/>
  <c r="J39" i="1"/>
  <c r="G44" i="1"/>
  <c r="G45" i="1"/>
  <c r="G74" i="1"/>
  <c r="H42" i="1"/>
  <c r="H46" i="1" s="1"/>
  <c r="J198" i="1" l="1"/>
  <c r="J199" i="1"/>
  <c r="F212" i="1" s="1"/>
  <c r="F206" i="1"/>
  <c r="F236" i="1" s="1"/>
  <c r="G154" i="1"/>
  <c r="J87" i="1"/>
  <c r="J72" i="1"/>
  <c r="J71" i="1"/>
  <c r="J86" i="1"/>
  <c r="F195" i="1"/>
  <c r="J232" i="1"/>
  <c r="F190" i="1"/>
  <c r="F126" i="1" s="1"/>
  <c r="H92" i="1"/>
  <c r="H76" i="1"/>
  <c r="F78" i="1"/>
  <c r="I67" i="1"/>
  <c r="G43" i="1"/>
  <c r="G47" i="1"/>
  <c r="G56" i="1" s="1"/>
  <c r="F183" i="1"/>
  <c r="G180" i="1" s="1"/>
  <c r="F125" i="1"/>
  <c r="G187" i="1"/>
  <c r="G188" i="1" s="1"/>
  <c r="G174" i="1"/>
  <c r="G121" i="1"/>
  <c r="F121" i="1"/>
  <c r="J135" i="1"/>
  <c r="J110" i="1"/>
  <c r="J136" i="1"/>
  <c r="J111" i="1"/>
  <c r="H45" i="1"/>
  <c r="I42" i="1"/>
  <c r="I46" i="1" s="1"/>
  <c r="H80" i="1"/>
  <c r="H44" i="1"/>
  <c r="H74" i="1"/>
  <c r="G175" i="1" l="1"/>
  <c r="H154" i="1"/>
  <c r="G193" i="1"/>
  <c r="G195" i="1" s="1"/>
  <c r="G182" i="1"/>
  <c r="G208" i="1" s="1"/>
  <c r="G118" i="1" s="1"/>
  <c r="G207" i="1"/>
  <c r="F83" i="1"/>
  <c r="F116" i="1" s="1"/>
  <c r="F244" i="1"/>
  <c r="F245" i="1" s="1"/>
  <c r="F246" i="1" s="1"/>
  <c r="F247" i="1" s="1"/>
  <c r="F248" i="1" s="1"/>
  <c r="I92" i="1"/>
  <c r="I76" i="1"/>
  <c r="J67" i="1"/>
  <c r="G58" i="1"/>
  <c r="G115" i="1" s="1"/>
  <c r="G78" i="1"/>
  <c r="H43" i="1"/>
  <c r="H47" i="1"/>
  <c r="H56" i="1" s="1"/>
  <c r="F238" i="1"/>
  <c r="F239" i="1" s="1"/>
  <c r="F240" i="1" s="1"/>
  <c r="F241" i="1" s="1"/>
  <c r="F242" i="1" s="1"/>
  <c r="G183" i="1"/>
  <c r="H180" i="1" s="1"/>
  <c r="G189" i="1"/>
  <c r="G176" i="1"/>
  <c r="H174" i="1" s="1"/>
  <c r="I45" i="1"/>
  <c r="I80" i="1"/>
  <c r="I74" i="1"/>
  <c r="I44" i="1"/>
  <c r="H121" i="1"/>
  <c r="J42" i="1"/>
  <c r="J46" i="1" s="1"/>
  <c r="I154" i="1" l="1"/>
  <c r="G206" i="1"/>
  <c r="H175" i="1"/>
  <c r="H193" i="1"/>
  <c r="H195" i="1" s="1"/>
  <c r="H182" i="1"/>
  <c r="H208" i="1" s="1"/>
  <c r="H118" i="1" s="1"/>
  <c r="H207" i="1"/>
  <c r="G190" i="1"/>
  <c r="G126" i="1" s="1"/>
  <c r="J92" i="1"/>
  <c r="J76" i="1"/>
  <c r="H78" i="1"/>
  <c r="H58" i="1"/>
  <c r="H115" i="1" s="1"/>
  <c r="G83" i="1"/>
  <c r="G116" i="1" s="1"/>
  <c r="I43" i="1"/>
  <c r="I78" i="1" s="1"/>
  <c r="I47" i="1"/>
  <c r="I56" i="1" s="1"/>
  <c r="G238" i="1"/>
  <c r="G239" i="1" s="1"/>
  <c r="G240" i="1" s="1"/>
  <c r="G241" i="1" s="1"/>
  <c r="G242" i="1" s="1"/>
  <c r="G236" i="1"/>
  <c r="H176" i="1"/>
  <c r="I174" i="1" s="1"/>
  <c r="H187" i="1"/>
  <c r="H188" i="1" s="1"/>
  <c r="J80" i="1"/>
  <c r="I121" i="1"/>
  <c r="J74" i="1"/>
  <c r="J44" i="1"/>
  <c r="J45" i="1"/>
  <c r="H206" i="1" l="1"/>
  <c r="H183" i="1"/>
  <c r="J154" i="1"/>
  <c r="I175" i="1"/>
  <c r="I176" i="1" s="1"/>
  <c r="J174" i="1" s="1"/>
  <c r="I193" i="1"/>
  <c r="I195" i="1" s="1"/>
  <c r="H238" i="1"/>
  <c r="H239" i="1" s="1"/>
  <c r="H240" i="1" s="1"/>
  <c r="H241" i="1" s="1"/>
  <c r="H242" i="1" s="1"/>
  <c r="H83" i="1"/>
  <c r="H116" i="1" s="1"/>
  <c r="I58" i="1"/>
  <c r="I115" i="1" s="1"/>
  <c r="J43" i="1"/>
  <c r="J58" i="1" s="1"/>
  <c r="J115" i="1" s="1"/>
  <c r="J47" i="1"/>
  <c r="J56" i="1" s="1"/>
  <c r="I180" i="1"/>
  <c r="H236" i="1"/>
  <c r="H189" i="1"/>
  <c r="G244" i="1"/>
  <c r="G245" i="1" s="1"/>
  <c r="G246" i="1" s="1"/>
  <c r="G247" i="1" s="1"/>
  <c r="G248" i="1" s="1"/>
  <c r="J121" i="1"/>
  <c r="I206" i="1" l="1"/>
  <c r="I236" i="1" s="1"/>
  <c r="J175" i="1"/>
  <c r="J176" i="1" s="1"/>
  <c r="F221" i="1" s="1"/>
  <c r="G221" i="1" s="1"/>
  <c r="H221" i="1" s="1"/>
  <c r="I221" i="1" s="1"/>
  <c r="J221" i="1" s="1"/>
  <c r="J193" i="1"/>
  <c r="J195" i="1" s="1"/>
  <c r="I182" i="1"/>
  <c r="I208" i="1" s="1"/>
  <c r="I118" i="1" s="1"/>
  <c r="I207" i="1"/>
  <c r="H190" i="1"/>
  <c r="H126" i="1" s="1"/>
  <c r="I83" i="1"/>
  <c r="I116" i="1" s="1"/>
  <c r="J78" i="1"/>
  <c r="I183" i="1"/>
  <c r="I187" i="1"/>
  <c r="I188" i="1" s="1"/>
  <c r="J206" i="1" l="1"/>
  <c r="I238" i="1"/>
  <c r="I239" i="1" s="1"/>
  <c r="I240" i="1" s="1"/>
  <c r="I241" i="1" s="1"/>
  <c r="I242" i="1" s="1"/>
  <c r="J83" i="1"/>
  <c r="J116" i="1" s="1"/>
  <c r="J180" i="1"/>
  <c r="I189" i="1"/>
  <c r="H244" i="1"/>
  <c r="H245" i="1" s="1"/>
  <c r="H246" i="1" s="1"/>
  <c r="H247" i="1" s="1"/>
  <c r="H248" i="1" s="1"/>
  <c r="J236" i="1"/>
  <c r="C236" i="1" s="1"/>
  <c r="J182" i="1" l="1"/>
  <c r="J208" i="1" s="1"/>
  <c r="J118" i="1" s="1"/>
  <c r="J207" i="1"/>
  <c r="I190" i="1"/>
  <c r="I126" i="1" s="1"/>
  <c r="D236" i="1"/>
  <c r="J267" i="1" s="1"/>
  <c r="I267" i="1"/>
  <c r="J187" i="1"/>
  <c r="J188" i="1" s="1"/>
  <c r="J183" i="1" l="1"/>
  <c r="F222" i="1" s="1"/>
  <c r="G222" i="1" s="1"/>
  <c r="H222" i="1" s="1"/>
  <c r="I222" i="1" s="1"/>
  <c r="J222" i="1" s="1"/>
  <c r="J189" i="1"/>
  <c r="I244" i="1"/>
  <c r="I245" i="1" s="1"/>
  <c r="I246" i="1" s="1"/>
  <c r="I247" i="1" s="1"/>
  <c r="I248" i="1" s="1"/>
  <c r="F223" i="1" l="1"/>
  <c r="G223" i="1" s="1"/>
  <c r="H223" i="1" s="1"/>
  <c r="I223" i="1" s="1"/>
  <c r="J223" i="1" s="1"/>
  <c r="J190" i="1"/>
  <c r="J12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F215" i="1" l="1"/>
  <c r="G215" i="1" s="1"/>
  <c r="H215" i="1" s="1"/>
  <c r="I215" i="1" s="1"/>
  <c r="J215" i="1" s="1"/>
  <c r="I95" i="1"/>
  <c r="I114" i="1"/>
  <c r="J114" i="1"/>
  <c r="H114" i="1"/>
  <c r="H60" i="1"/>
  <c r="J95" i="1" l="1"/>
  <c r="F216" i="1"/>
  <c r="G216" i="1"/>
  <c r="H216" i="1" l="1"/>
  <c r="I216" i="1" l="1"/>
  <c r="J216" i="1"/>
  <c r="C27" i="1" l="1"/>
  <c r="E18" i="11" l="1"/>
  <c r="E19" i="11"/>
  <c r="E20" i="11"/>
  <c r="E21" i="11"/>
  <c r="E22" i="11"/>
  <c r="E23" i="11"/>
  <c r="E24" i="11"/>
  <c r="E25" i="11"/>
  <c r="E26" i="11"/>
  <c r="E27" i="11"/>
  <c r="E9" i="11" l="1"/>
  <c r="E10" i="11" s="1"/>
  <c r="E28" i="11"/>
  <c r="E8" i="11" s="1"/>
  <c r="E11" i="11" l="1"/>
  <c r="E14" i="11" s="1"/>
  <c r="J18" i="1" l="1"/>
  <c r="J17" i="1" s="1"/>
  <c r="J12" i="1" s="1"/>
  <c r="I18" i="1"/>
  <c r="H18" i="1"/>
  <c r="C279" i="1" l="1"/>
  <c r="I20" i="1"/>
  <c r="J11" i="1"/>
  <c r="H11" i="1" s="1"/>
  <c r="H12" i="1" s="1"/>
  <c r="H17" i="1" s="1"/>
  <c r="H36" i="1" l="1"/>
  <c r="D22" i="1" s="1"/>
  <c r="H20" i="1"/>
  <c r="H21" i="1" s="1"/>
  <c r="D20" i="1"/>
  <c r="C278" i="1"/>
  <c r="C283" i="1" s="1"/>
  <c r="I21" i="1"/>
  <c r="D23" i="1" l="1"/>
  <c r="E6" i="11"/>
  <c r="B6" i="11" s="1"/>
  <c r="C284" i="1"/>
  <c r="C280" i="1"/>
  <c r="C281" i="1" s="1"/>
  <c r="D35" i="1" l="1"/>
  <c r="C35" i="1" l="1"/>
  <c r="C36" i="1" s="1"/>
  <c r="E256" i="1"/>
  <c r="E257" i="1" s="1"/>
  <c r="E258" i="1" s="1"/>
  <c r="E259" i="1" s="1"/>
  <c r="E260" i="1" s="1"/>
  <c r="F271" i="1"/>
  <c r="G267" i="1" s="1"/>
  <c r="C226" i="1"/>
  <c r="D227" i="1" s="1"/>
  <c r="D36" i="1"/>
  <c r="D229" i="1" l="1"/>
  <c r="G269" i="1"/>
  <c r="D226" i="1"/>
  <c r="G264" i="1"/>
  <c r="F272" i="1"/>
  <c r="G272" i="1" s="1"/>
  <c r="G266" i="1"/>
  <c r="G270" i="1"/>
  <c r="G271" i="1"/>
  <c r="D228" i="1"/>
  <c r="G265" i="1"/>
  <c r="G268" i="1"/>
  <c r="E226" i="1" l="1"/>
  <c r="H271" i="1" s="1"/>
  <c r="E227" i="1"/>
  <c r="H270" i="1" s="1"/>
  <c r="H272" i="1" l="1"/>
  <c r="F277" i="1" l="1"/>
  <c r="G277" i="1" s="1"/>
  <c r="H277" i="1" s="1"/>
  <c r="I277" i="1" l="1"/>
  <c r="J277" i="1" l="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 r="F218" i="1"/>
  <c r="G218" i="1"/>
  <c r="H218" i="1"/>
  <c r="I218" i="1"/>
  <c r="J218" i="1"/>
  <c r="F219" i="1"/>
  <c r="G219" i="1"/>
  <c r="H219" i="1"/>
  <c r="I219" i="1"/>
  <c r="J219" i="1"/>
  <c r="F220" i="1"/>
  <c r="G220" i="1"/>
  <c r="H220" i="1"/>
  <c r="I220" i="1"/>
  <c r="J220" i="1"/>
  <c r="F224" i="1"/>
  <c r="G224" i="1"/>
  <c r="H224" i="1"/>
  <c r="I224" i="1"/>
  <c r="J224"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 r="C233" i="1"/>
  <c r="D233" i="1"/>
  <c r="F233" i="1"/>
  <c r="G233" i="1"/>
  <c r="H233" i="1"/>
  <c r="I233" i="1"/>
  <c r="J233" i="1"/>
  <c r="C234" i="1"/>
  <c r="D234" i="1"/>
  <c r="F234" i="1"/>
  <c r="G234" i="1"/>
  <c r="H234" i="1"/>
  <c r="I234" i="1"/>
  <c r="J234" i="1"/>
  <c r="C235" i="1"/>
  <c r="D235" i="1"/>
  <c r="F235" i="1"/>
  <c r="G235" i="1"/>
  <c r="H235" i="1"/>
  <c r="I235" i="1"/>
  <c r="J235" i="1"/>
  <c r="C238" i="1"/>
  <c r="D238" i="1"/>
  <c r="J238" i="1"/>
  <c r="C239" i="1"/>
  <c r="D239" i="1"/>
  <c r="J239" i="1"/>
  <c r="C240" i="1"/>
  <c r="D240" i="1"/>
  <c r="J240" i="1"/>
  <c r="C241" i="1"/>
  <c r="D241" i="1"/>
  <c r="J241" i="1"/>
  <c r="C242" i="1"/>
  <c r="D242" i="1"/>
  <c r="J242" i="1"/>
  <c r="C244" i="1"/>
  <c r="D244" i="1"/>
  <c r="J244" i="1"/>
  <c r="C245" i="1"/>
  <c r="D245" i="1"/>
  <c r="J245" i="1"/>
  <c r="C246" i="1"/>
  <c r="D246" i="1"/>
  <c r="J246" i="1"/>
  <c r="C247" i="1"/>
  <c r="D247" i="1"/>
  <c r="J247" i="1"/>
  <c r="C248" i="1"/>
  <c r="D248" i="1"/>
  <c r="J248" i="1"/>
  <c r="C250" i="1"/>
  <c r="D250" i="1"/>
  <c r="J250" i="1"/>
  <c r="C251" i="1"/>
  <c r="D251" i="1"/>
  <c r="J251" i="1"/>
  <c r="C252" i="1"/>
  <c r="D252" i="1"/>
  <c r="J252" i="1"/>
  <c r="C253" i="1"/>
  <c r="D253" i="1"/>
  <c r="J253" i="1"/>
  <c r="C254" i="1"/>
  <c r="D254" i="1"/>
  <c r="J254" i="1"/>
  <c r="C256" i="1"/>
  <c r="D256" i="1"/>
  <c r="J256" i="1"/>
  <c r="C257" i="1"/>
  <c r="D257" i="1"/>
  <c r="J257" i="1"/>
  <c r="C258" i="1"/>
  <c r="D258" i="1"/>
  <c r="J258" i="1"/>
  <c r="C259" i="1"/>
  <c r="D259" i="1"/>
  <c r="J259" i="1"/>
  <c r="C260" i="1"/>
  <c r="D260" i="1"/>
  <c r="J260" i="1"/>
  <c r="I264" i="1"/>
  <c r="J264" i="1"/>
  <c r="I265" i="1"/>
  <c r="J265" i="1"/>
  <c r="I266" i="1"/>
  <c r="J266" i="1"/>
  <c r="I268" i="1"/>
  <c r="J268" i="1"/>
  <c r="I269" i="1"/>
  <c r="J269" i="1"/>
  <c r="I270" i="1"/>
  <c r="J270" i="1"/>
  <c r="I271" i="1"/>
  <c r="J271" i="1"/>
  <c r="C277" i="1"/>
  <c r="E289" i="1"/>
  <c r="E299" i="1"/>
  <c r="E308"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 ref="E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<sst xmlns="http://schemas.openxmlformats.org/spreadsheetml/2006/main" count="295" uniqueCount="237">
  <si>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</si>
  <si>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</si>
  <si>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</si>
  <si>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</si>
  <si>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</si>
  <si>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</si>
  <si>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</si>
  <si>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</si>
  <si>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</si>
  <si>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</si>
  <si>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</si>
  <si>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</si>
  <si>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</si>
  <si>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</si>
  <si>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</si>
  <si>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</si>
  <si>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</si>
  <si>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</si>
  <si>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</si>
  <si>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</si>
  <si>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</si>
  <si>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</si>
  <si>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</si>
  <si>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</si>
  <si>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</si>
  <si>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</si>
  <si>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</si>
  <si>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</si>
  <si>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</si>
  <si>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</si>
  <si>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</si>
  <si>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</si>
  <si>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</si>
  <si>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</si>
  <si>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</si>
  <si>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</si>
  <si>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</si>
  <si>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</si>
  <si>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</si>
  <si>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</si>
  <si>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</si>
  <si>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</si>
  <si>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</si>
  <si>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</si>
  <si>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</si>
  <si>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</si>
  <si>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</si>
  <si>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</si>
  <si>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</si>
  <si>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</si>
  <si>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</si>
  <si>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</si>
  <si>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</si>
  <si>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</si>
  <si>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</si>
  <si>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</si>
  <si>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</si>
  <si>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</si>
  <si>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</si>
  <si>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</si>
  <si>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</si>
  <si>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</si>
  <si>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</si>
  <si>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</si>
  <si>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</si>
  <si>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</si>
  <si>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</si>
  <si>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</si>
  <si>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</si>
  <si>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</si>
  <si>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</si>
  <si>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</si>
  <si>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</si>
  <si>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</si>
  <si>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</si>
  <si>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</si>
  <si>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</si>
  <si>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</si>
  <si>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</si>
  <si>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</si>
  <si>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</si>
  <si>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</si>
  <si>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</si>
  <si>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</si>
  <si>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</si>
  <si>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</si>
  <si>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</si>
  <si>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</si>
  <si>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</si>
  <si>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</si>
  <si>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</si>
  <si>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</si>
  <si>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</si>
  <si>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</si>
  <si>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</si>
  <si>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</si>
  <si>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</si>
  <si>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</si>
  <si>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</si>
  <si>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</si>
  <si>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</si>
  <si>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</si>
  <si>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</si>
  <si>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</si>
  <si>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</si>
  <si>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</si>
  <si>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</si>
  <si>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</si>
  <si>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</si>
  <si>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</si>
  <si>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</si>
  <si>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</si>
  <si>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</si>
  <si>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</si>
  <si>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</si>
  <si>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</si>
  <si>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</si>
  <si>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</si>
  <si>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</si>
  <si>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</si>
  <si>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</si>
  <si>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</si>
  <si>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</si>
  <si>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</si>
  <si>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</si>
  <si>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</si>
  <si>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</si>
  <si>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</si>
  <si>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</si>
  <si>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</si>
  <si>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</si>
  <si>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</si>
  <si>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</si>
  <si>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</si>
  <si>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</si>
  <si>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</si>
  <si>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</si>
  <si>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</si>
  <si>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</si>
  <si>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</si>
  <si>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</si>
  <si>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</si>
  <si>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</si>
  <si>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</si>
  <si>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</si>
  <si>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</si>
  <si>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</si>
  <si>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</si>
  <si>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 Inventory</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</si>
  <si>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</si>
  <si>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</si>
  <si>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</si>
  <si>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</si>
  <si>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</si>
  <si>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</si>
  <si>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</si>
  <si>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</si>
  <si>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</si>
  <si>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</si>
  <si>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</si>
  <si>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</si>
  <si>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</si>
  <si>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</si>
  <si>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</si>
  <si>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</si>
  <si>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</si>
  <si>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</si>
  <si>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</si>
  <si>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</si>
  <si>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</si>
  <si>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</si>
  <si>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</si>
  <si>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</si>
  <si>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</si>
  <si>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</si>
  <si>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</si>
  <si>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</si>
  <si>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</si>
  <si>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</si>
  <si>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</si>
  <si>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</si>
  <si>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</si>
  <si>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</si>
  <si>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</si>
  <si>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</si>
  <si>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</si>
  <si>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</si>
  <si>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</si>
  <si>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</si>
  <si>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</si>
  <si>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</si>
  <si>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</si>
  <si>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</si>
  <si>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</si>
  <si>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</si>
  <si>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</si>
  <si>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</si>
  <si>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</si>
  <si>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</si>
  <si>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</si>
  <si>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</si>
  <si>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</si>
  <si>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</si>
  <si>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Fully diluted</t>
  </si>
  <si>
    <t>Goodwill and other assets</t>
  </si>
  <si>
    <t xml:space="preserve">Purchases of intangible assets and capitalized software development costs </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</si>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</sst>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0.00_);\(#,##0.00\);@_)"/>
    <numFmt numFmtId="235" formatCode="&quot;Approach&quot;\ 0"/>
    <numFmt numFmtId="236" formatCode="0.0"/>
    <numFmt numFmtId="237" formatCode="0\ &quot;yrs&quot;"/>
    <numFmt numFmtId="238" formatCode="&quot;Tranche&quot;\ 0"/>
    <numFmt numFmtId="239" formatCode="&quot;Assumed exit on &quot;[$-409]mmmm\ d\,\ yyyy;@"/>
  </numFmts>
  <fonts count="85">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08">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175"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169" fontId="69" fillId="0" borderId="0" xfId="0" applyNumberFormat="1" applyFont="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9"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37" fontId="0" fillId="0" borderId="29" xfId="0" applyNumberFormat="1"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78"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37" fontId="5" fillId="0" borderId="0" xfId="0" applyNumberFormat="1" applyFont="1" applyBorder="1" applyAlignment="1">
      <alignment horizontal="right"/>
    </xf>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233"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165" fontId="0" fillId="0" borderId="0" xfId="0" applyNumberFormat="1" applyFont="1" applyFill="1" applyBorder="1"/>
    <xf numFmtId="175" fontId="0" fillId="0" borderId="0" xfId="0" applyNumberFormat="1" applyFont="1" applyFill="1" applyBorder="1"/>
    <xf numFmtId="230" fontId="5" fillId="0" borderId="0" xfId="0" applyNumberFormat="1" applyFont="1" applyBorder="1" applyAlignment="1">
      <alignment horizontal="right"/>
    </xf>
    <xf numFmtId="230" fontId="0" fillId="0" borderId="0" xfId="0" applyNumberFormat="1" applyFont="1" applyBorder="1" applyAlignment="1">
      <alignment horizontal="right"/>
    </xf>
    <xf numFmtId="210" fontId="71" fillId="0" borderId="0" xfId="0" applyNumberFormat="1" applyFont="1" applyBorder="1" applyAlignment="1">
      <alignment horizontal="right"/>
    </xf>
    <xf numFmtId="175" fontId="4" fillId="0" borderId="0" xfId="0" applyNumberFormat="1" applyFont="1" applyAlignment="1">
      <alignment horizontal="right"/>
    </xf>
    <xf numFmtId="235" fontId="1" fillId="0" borderId="0" xfId="0" applyNumberFormat="1" applyFont="1"/>
    <xf numFmtId="235" fontId="1" fillId="0" borderId="0" xfId="0" applyNumberFormat="1" applyFont="1" applyAlignment="1">
      <alignment horizontal="right"/>
    </xf>
    <xf numFmtId="210" fontId="4" fillId="0" borderId="0" xfId="0" applyNumberFormat="1" applyFont="1" applyBorder="1" applyAlignment="1">
      <alignment horizontal="right"/>
    </xf>
    <xf numFmtId="0" fontId="80" fillId="0" borderId="0" xfId="0" applyFont="1" applyAlignment="1">
      <alignment horizontal="right"/>
    </xf>
    <xf numFmtId="210" fontId="5" fillId="0" borderId="0" xfId="0" applyNumberFormat="1" applyFont="1" applyBorder="1"/>
    <xf numFmtId="210" fontId="0" fillId="0" borderId="0" xfId="0" applyNumberFormat="1" applyFont="1" applyAlignment="1">
      <alignment horizontal="center"/>
    </xf>
    <xf numFmtId="236"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1"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6" fillId="0" borderId="0" xfId="0" applyFont="1" applyAlignment="1">
      <alignment horizontal="right"/>
    </xf>
    <xf numFmtId="238"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78" fillId="0" borderId="2" xfId="0" applyFont="1" applyBorder="1" applyAlignment="1">
      <alignment horizontal="centerContinuous"/>
    </xf>
    <xf numFmtId="174" fontId="69" fillId="0" borderId="2" xfId="0" applyNumberFormat="1" applyFont="1" applyBorder="1" applyAlignment="1">
      <alignment horizontal="centerContinuous"/>
    </xf>
    <xf numFmtId="210"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7" fontId="5" fillId="0" borderId="0" xfId="0" applyNumberFormat="1" applyFont="1" applyFill="1"/>
    <xf numFmtId="231" fontId="83"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79" fillId="0" borderId="0" xfId="186" applyNumberFormat="1" applyFont="1" applyBorder="1" applyAlignment="1" applyProtection="1">
      <alignment horizontal="center"/>
      <protection locked="0"/>
    </xf>
    <xf numFmtId="231" fontId="79" fillId="0" borderId="0" xfId="186" applyNumberFormat="1" applyFont="1" applyFill="1" applyBorder="1" applyAlignment="1" applyProtection="1">
      <alignment horizontal="center"/>
      <protection locked="0"/>
    </xf>
    <xf numFmtId="231" fontId="84"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5" fontId="7" fillId="31" borderId="27" xfId="0" applyNumberFormat="1" applyFont="1" applyFill="1" applyBorder="1" applyAlignment="1">
      <alignment horizontal="center"/>
    </xf>
    <xf numFmtId="230" fontId="80" fillId="0" borderId="0" xfId="0" applyNumberFormat="1" applyFont="1" applyFill="1" applyBorder="1" applyAlignment="1">
      <alignment horizontal="center"/>
    </xf>
    <xf numFmtId="165" fontId="0" fillId="0" borderId="24" xfId="0" applyNumberFormat="1" applyFont="1" applyBorder="1" applyAlignment="1">
      <alignment horizontal="center"/>
    </xf>
    <xf numFmtId="230" fontId="0" fillId="0" borderId="24" xfId="0" applyNumberFormat="1" applyFont="1" applyFill="1" applyBorder="1" applyAlignment="1">
      <alignment horizontal="center"/>
    </xf>
    <xf numFmtId="165" fontId="1" fillId="0" borderId="24" xfId="0" applyNumberFormat="1" applyFont="1" applyFill="1" applyBorder="1" applyAlignment="1">
      <alignment horizontal="center"/>
    </xf>
    <xf numFmtId="0" fontId="0" fillId="0" borderId="24" xfId="0" applyFont="1" applyBorder="1" applyAlignment="1">
      <alignment horizontal="center"/>
    </xf>
    <xf numFmtId="210" fontId="4" fillId="0" borderId="24" xfId="0" applyNumberFormat="1" applyFont="1" applyBorder="1" applyAlignment="1">
      <alignment horizontal="center"/>
    </xf>
    <xf numFmtId="210" fontId="1" fillId="0" borderId="24" xfId="0" applyNumberFormat="1" applyFont="1" applyBorder="1" applyAlignment="1">
      <alignment horizontal="center"/>
    </xf>
    <xf numFmtId="165" fontId="71" fillId="0" borderId="24" xfId="0" applyNumberFormat="1" applyFont="1" applyFill="1" applyBorder="1" applyAlignment="1">
      <alignment horizontal="center"/>
    </xf>
    <xf numFmtId="165" fontId="0" fillId="0" borderId="28" xfId="0" applyNumberFormat="1" applyFont="1" applyBorder="1" applyAlignment="1">
      <alignment horizontal="center"/>
    </xf>
    <xf numFmtId="175" fontId="0" fillId="0" borderId="26" xfId="0" applyNumberFormat="1" applyFont="1" applyFill="1" applyBorder="1" applyAlignment="1">
      <alignment horizontal="center"/>
    </xf>
    <xf numFmtId="234" fontId="1" fillId="0" borderId="24" xfId="0" applyNumberFormat="1" applyFont="1" applyFill="1" applyBorder="1" applyAlignment="1">
      <alignment horizontal="center"/>
    </xf>
    <xf numFmtId="39" fontId="7" fillId="0" borderId="0" xfId="0" applyNumberFormat="1" applyFont="1" applyBorder="1" applyAlignment="1">
      <alignment horizontal="right"/>
    </xf>
    <xf numFmtId="210" fontId="4" fillId="0" borderId="2" xfId="0" applyNumberFormat="1" applyFont="1" applyBorder="1"/>
    <xf numFmtId="239"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78"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210" fontId="0" fillId="0" borderId="0" xfId="0" applyNumberFormat="1" applyFont="1" applyFill="1"/>
    <xf numFmtId="230" fontId="5"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5">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14"/>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124</v>
      </c>
      <c r="C5" s="17"/>
      <c r="D5" s="17"/>
      <c r="E5" s="13"/>
      <c r="F5" s="97" t="s">
        <v>125</v>
      </c>
      <c r="G5" s="17"/>
      <c r="H5" s="17"/>
      <c r="I5" s="17"/>
      <c r="J5" s="17"/>
    </row>
    <row r="6" spans="2:10">
      <c r="B6" s="103" t="s">
        <v>1</v>
      </c>
      <c r="D6" s="3" t="s">
        <v>171</v>
      </c>
      <c r="E6" s="13"/>
    </row>
    <row r="7" spans="2:10">
      <c r="B7" s="103" t="s">
        <v>122</v>
      </c>
      <c r="D7" s="3" t="s">
        <v>171</v>
      </c>
      <c r="E7" s="13"/>
      <c r="F7" s="66" t="s">
        <v>198</v>
      </c>
      <c r="H7" s="270">
        <v>2</v>
      </c>
      <c r="I7" s="198">
        <v>1</v>
      </c>
      <c r="J7" s="199">
        <v>2</v>
      </c>
    </row>
    <row r="8" spans="2:10">
      <c r="B8" s="83" t="s">
        <v>123</v>
      </c>
      <c r="D8" s="78">
        <v>45.42</v>
      </c>
      <c r="E8" s="13"/>
      <c r="H8" s="271" t="str">
        <f>CHOOSE($H$7,I8,J8)</f>
        <v>Explicit offer/share</v>
      </c>
      <c r="I8" s="201" t="s">
        <v>200</v>
      </c>
      <c r="J8" s="201" t="s">
        <v>201</v>
      </c>
    </row>
    <row r="9" spans="2:10">
      <c r="B9" s="103" t="s">
        <v>197</v>
      </c>
      <c r="D9" s="5">
        <v>41400</v>
      </c>
      <c r="E9" s="13"/>
      <c r="H9" s="13"/>
    </row>
    <row r="10" spans="2:10">
      <c r="B10" s="83" t="s">
        <v>2</v>
      </c>
      <c r="D10" s="7" t="s">
        <v>3</v>
      </c>
      <c r="E10" s="13"/>
      <c r="F10" s="6" t="s">
        <v>68</v>
      </c>
      <c r="H10" s="279">
        <f>$D$13</f>
        <v>882.70000000000027</v>
      </c>
      <c r="I10" s="188">
        <f>$D$13</f>
        <v>882.70000000000027</v>
      </c>
      <c r="J10" s="188">
        <f>$D$13</f>
        <v>882.70000000000027</v>
      </c>
    </row>
    <row r="11" spans="2:10">
      <c r="E11" s="13"/>
      <c r="F11" s="6" t="s">
        <v>119</v>
      </c>
      <c r="H11" s="273">
        <f>CHOOSE($H$7,I11,J11)</f>
        <v>7.3252818058230416</v>
      </c>
      <c r="I11" s="194">
        <v>8</v>
      </c>
      <c r="J11" s="195">
        <f>J12/J10</f>
        <v>7.3252818058230416</v>
      </c>
    </row>
    <row r="12" spans="2:10">
      <c r="B12" s="15" t="s">
        <v>226</v>
      </c>
      <c r="C12" s="17"/>
      <c r="D12" s="15"/>
      <c r="E12" s="13"/>
      <c r="F12" s="4" t="s">
        <v>56</v>
      </c>
      <c r="H12" s="274">
        <f>D13*H11</f>
        <v>6466.0262500000008</v>
      </c>
      <c r="I12" s="250">
        <f>I10*I11</f>
        <v>7061.6000000000022</v>
      </c>
      <c r="J12" s="250">
        <f>J17-J14-J15</f>
        <v>6466.0262500000008</v>
      </c>
    </row>
    <row r="13" spans="2:10">
      <c r="B13" s="83" t="s">
        <v>224</v>
      </c>
      <c r="D13" s="192">
        <f>E60</f>
        <v>882.70000000000027</v>
      </c>
      <c r="E13" s="13"/>
      <c r="H13" s="275"/>
    </row>
    <row r="14" spans="2:10">
      <c r="B14" s="83" t="s">
        <v>236</v>
      </c>
      <c r="D14" s="160">
        <v>-1306</v>
      </c>
      <c r="E14" s="13"/>
      <c r="F14" s="83" t="s">
        <v>195</v>
      </c>
      <c r="H14" s="276">
        <f>$D$14</f>
        <v>-1306</v>
      </c>
      <c r="I14" s="200">
        <f>$D$14</f>
        <v>-1306</v>
      </c>
      <c r="J14" s="200">
        <f>$D$14</f>
        <v>-1306</v>
      </c>
    </row>
    <row r="15" spans="2:10">
      <c r="B15" s="83" t="s">
        <v>47</v>
      </c>
      <c r="D15" s="160">
        <v>1581.9</v>
      </c>
      <c r="E15" s="13"/>
      <c r="F15" s="83" t="s">
        <v>193</v>
      </c>
      <c r="H15" s="276">
        <f>$D$15</f>
        <v>1581.9</v>
      </c>
      <c r="I15" s="200">
        <f>$D$15</f>
        <v>1581.9</v>
      </c>
      <c r="J15" s="200">
        <f>$D$15</f>
        <v>1581.9</v>
      </c>
    </row>
    <row r="16" spans="2:10">
      <c r="B16" s="37" t="s">
        <v>225</v>
      </c>
      <c r="D16" s="134">
        <v>180</v>
      </c>
      <c r="E16" s="13"/>
      <c r="H16" s="275"/>
    </row>
    <row r="17" spans="2:18">
      <c r="B17" s="83" t="s">
        <v>199</v>
      </c>
      <c r="D17" s="307">
        <v>7.3</v>
      </c>
      <c r="E17" s="13"/>
      <c r="F17" s="4" t="s">
        <v>70</v>
      </c>
      <c r="H17" s="277">
        <f>H12+SUM(H14:H15)</f>
        <v>6741.9262500000004</v>
      </c>
      <c r="I17" s="250">
        <f>I12+SUM(I14:I15)</f>
        <v>7337.5000000000018</v>
      </c>
      <c r="J17" s="250">
        <f>J18*J20</f>
        <v>6741.9262500000004</v>
      </c>
    </row>
    <row r="18" spans="2:18">
      <c r="C18" s="178"/>
      <c r="F18" s="10" t="s">
        <v>18</v>
      </c>
      <c r="H18" s="278">
        <f>Shares!$E$14</f>
        <v>145.77137837837839</v>
      </c>
      <c r="I18" s="196">
        <f>Shares!$E$14</f>
        <v>145.77137837837839</v>
      </c>
      <c r="J18" s="196">
        <f>Shares!$E$14</f>
        <v>145.77137837837839</v>
      </c>
      <c r="K18" s="197"/>
      <c r="L18" s="197"/>
    </row>
    <row r="19" spans="2:18">
      <c r="B19" s="97" t="s">
        <v>159</v>
      </c>
      <c r="C19" s="17"/>
      <c r="D19" s="17"/>
      <c r="H19" s="275"/>
      <c r="K19" s="197"/>
      <c r="L19" s="197"/>
    </row>
    <row r="20" spans="2:18">
      <c r="B20" s="35" t="s">
        <v>71</v>
      </c>
      <c r="D20" s="85">
        <f>H17</f>
        <v>6741.9262500000004</v>
      </c>
      <c r="F20" s="4" t="s">
        <v>120</v>
      </c>
      <c r="H20" s="281">
        <f>H17/H18</f>
        <v>46.25</v>
      </c>
      <c r="I20" s="218">
        <f>I17/I18</f>
        <v>50.335670017155714</v>
      </c>
      <c r="J20" s="282">
        <v>46.25</v>
      </c>
      <c r="K20" s="197"/>
      <c r="L20" s="197"/>
    </row>
    <row r="21" spans="2:18">
      <c r="B21" s="35" t="s">
        <v>73</v>
      </c>
      <c r="D21" s="85">
        <f>-(D14)</f>
        <v>1306</v>
      </c>
      <c r="F21" s="102" t="s">
        <v>121</v>
      </c>
      <c r="H21" s="280">
        <f>H20/$D$8-1</f>
        <v>1.8273888154997753E-2</v>
      </c>
      <c r="I21" s="197">
        <f>I20/$D$8-1</f>
        <v>0.10822699289202364</v>
      </c>
      <c r="J21" s="197">
        <f>J20/$D$8-1</f>
        <v>1.8273888154997753E-2</v>
      </c>
      <c r="K21" s="197"/>
      <c r="L21" s="197"/>
    </row>
    <row r="22" spans="2:18">
      <c r="B22" s="35" t="s">
        <v>231</v>
      </c>
      <c r="D22" s="283">
        <f>H36+H33</f>
        <v>204.52769000000004</v>
      </c>
      <c r="H22" s="102"/>
      <c r="J22" s="193"/>
      <c r="K22" s="197"/>
      <c r="L22" s="197"/>
    </row>
    <row r="23" spans="2:18">
      <c r="B23" s="26" t="s">
        <v>75</v>
      </c>
      <c r="D23" s="108">
        <f>SUM(D20:D22)</f>
        <v>8252.4539400000012</v>
      </c>
      <c r="H23" s="102"/>
      <c r="J23" s="193"/>
      <c r="K23" s="197"/>
      <c r="L23" s="197"/>
    </row>
    <row r="24" spans="2:18">
      <c r="C24" s="178"/>
      <c r="H24" s="102"/>
      <c r="J24" s="193"/>
      <c r="K24" s="197"/>
      <c r="L24" s="197"/>
    </row>
    <row r="25" spans="2:18">
      <c r="B25" s="97" t="s">
        <v>158</v>
      </c>
      <c r="C25" s="17"/>
      <c r="D25" s="17"/>
      <c r="E25" s="13"/>
      <c r="F25" s="15" t="s">
        <v>227</v>
      </c>
      <c r="G25" s="17"/>
      <c r="H25" s="17"/>
      <c r="I25" s="17"/>
      <c r="J25" s="17"/>
    </row>
    <row r="26" spans="2:18" ht="16.5">
      <c r="C26" s="104" t="s">
        <v>130</v>
      </c>
      <c r="D26" s="105" t="s">
        <v>131</v>
      </c>
      <c r="G26" s="229" t="s">
        <v>211</v>
      </c>
      <c r="H26" s="229" t="s">
        <v>229</v>
      </c>
      <c r="I26" s="229" t="s">
        <v>210</v>
      </c>
      <c r="J26" s="229" t="s">
        <v>214</v>
      </c>
    </row>
    <row r="27" spans="2:18">
      <c r="B27" s="83" t="s">
        <v>72</v>
      </c>
      <c r="C27" s="256">
        <f>D27/$D$13</f>
        <v>1.5881953098447941</v>
      </c>
      <c r="D27" s="82">
        <f>MAX(0,D15-D16)</f>
        <v>1401.9</v>
      </c>
      <c r="F27" s="66" t="s">
        <v>209</v>
      </c>
    </row>
    <row r="28" spans="2:18">
      <c r="B28" s="83" t="s">
        <v>29</v>
      </c>
      <c r="C28" s="257">
        <v>0</v>
      </c>
      <c r="D28" s="85">
        <f t="shared" ref="D28:D34" si="0">$D$13*C28</f>
        <v>0</v>
      </c>
      <c r="F28" s="37" t="str">
        <f>B28</f>
        <v>Revolver</v>
      </c>
      <c r="G28" s="175">
        <v>0.01</v>
      </c>
      <c r="H28" s="82">
        <f>D28*G28</f>
        <v>0</v>
      </c>
      <c r="I28" s="255">
        <v>5</v>
      </c>
      <c r="J28" s="227">
        <f>IFERROR(G28*D28/I28, "NM")</f>
        <v>0</v>
      </c>
    </row>
    <row r="29" spans="2:18">
      <c r="B29" s="32" t="s">
        <v>86</v>
      </c>
      <c r="C29" s="258">
        <v>3.27</v>
      </c>
      <c r="D29" s="85">
        <f t="shared" si="0"/>
        <v>2886.429000000001</v>
      </c>
      <c r="F29" s="37" t="str">
        <f>B29</f>
        <v>Term Loan A</v>
      </c>
      <c r="G29" s="175">
        <v>1.4999999999999999E-2</v>
      </c>
      <c r="H29" s="82">
        <f>D29*G29</f>
        <v>43.296435000000017</v>
      </c>
      <c r="I29" s="255">
        <v>7</v>
      </c>
      <c r="J29" s="227">
        <f>IFERROR(G29*D29/I29, "NM")</f>
        <v>6.1852050000000025</v>
      </c>
    </row>
    <row r="30" spans="2:18">
      <c r="B30" s="32" t="s">
        <v>87</v>
      </c>
      <c r="C30" s="258">
        <v>0.76</v>
      </c>
      <c r="D30" s="85">
        <f t="shared" si="0"/>
        <v>670.8520000000002</v>
      </c>
      <c r="F30" s="37" t="str">
        <f>B30</f>
        <v>Term Loan B</v>
      </c>
      <c r="G30" s="175">
        <v>1.4999999999999999E-2</v>
      </c>
      <c r="H30" s="82">
        <f>D30*G30</f>
        <v>10.062780000000002</v>
      </c>
      <c r="I30" s="255">
        <v>7</v>
      </c>
      <c r="J30" s="227">
        <f>IFERROR(G30*D30/I30, "NM")</f>
        <v>1.4375400000000003</v>
      </c>
      <c r="P30" s="26"/>
      <c r="R30" s="108"/>
    </row>
    <row r="31" spans="2:18">
      <c r="B31" s="32" t="s">
        <v>88</v>
      </c>
      <c r="C31" s="258">
        <v>1.85</v>
      </c>
      <c r="D31" s="85">
        <f t="shared" si="0"/>
        <v>1632.9950000000006</v>
      </c>
      <c r="F31" s="37" t="str">
        <f>B31</f>
        <v>Senior Note</v>
      </c>
      <c r="G31" s="175">
        <v>0.01</v>
      </c>
      <c r="H31" s="82">
        <f>D31*G31</f>
        <v>16.329950000000007</v>
      </c>
      <c r="I31" s="255">
        <v>8</v>
      </c>
      <c r="J31" s="227">
        <f>IFERROR(G31*D31/I31, "NM")</f>
        <v>2.0412437500000009</v>
      </c>
      <c r="P31" s="26"/>
      <c r="R31" s="108"/>
    </row>
    <row r="32" spans="2:18">
      <c r="B32" s="32" t="s">
        <v>89</v>
      </c>
      <c r="C32" s="258">
        <v>0</v>
      </c>
      <c r="D32" s="85">
        <f t="shared" si="0"/>
        <v>0</v>
      </c>
      <c r="F32" s="37" t="str">
        <f>B32</f>
        <v>Sub Note</v>
      </c>
      <c r="G32" s="175">
        <v>0</v>
      </c>
      <c r="H32" s="191">
        <f>D32*G32</f>
        <v>0</v>
      </c>
      <c r="I32" s="255">
        <v>0</v>
      </c>
      <c r="J32" s="261" t="str">
        <f>IFERROR(G32*D32/I32, "NM")</f>
        <v>NM</v>
      </c>
      <c r="P32" s="26"/>
      <c r="R32" s="108"/>
    </row>
    <row r="33" spans="1:18">
      <c r="B33" s="32" t="s">
        <v>114</v>
      </c>
      <c r="C33" s="258">
        <v>0</v>
      </c>
      <c r="D33" s="85">
        <f t="shared" si="0"/>
        <v>0</v>
      </c>
      <c r="F33" s="262" t="s">
        <v>209</v>
      </c>
      <c r="H33" s="172">
        <f>SUM(H28:H32)</f>
        <v>69.689165000000031</v>
      </c>
      <c r="I33" s="69"/>
      <c r="J33" s="82">
        <f>SUM(J28:J32)</f>
        <v>9.6639887500000032</v>
      </c>
      <c r="P33" s="26"/>
      <c r="R33" s="108"/>
    </row>
    <row r="34" spans="1:18">
      <c r="B34" s="35" t="s">
        <v>161</v>
      </c>
      <c r="C34" s="259">
        <v>0</v>
      </c>
      <c r="D34" s="206">
        <f t="shared" si="0"/>
        <v>0</v>
      </c>
      <c r="H34" s="172"/>
      <c r="P34" s="26"/>
      <c r="R34" s="108"/>
    </row>
    <row r="35" spans="1:18" ht="16.5">
      <c r="B35" s="32" t="s">
        <v>74</v>
      </c>
      <c r="C35" s="256">
        <f>D35/$D$13</f>
        <v>1.8809085079868568</v>
      </c>
      <c r="D35" s="191">
        <f>D23-SUM(D27:D34)</f>
        <v>1660.277939999999</v>
      </c>
      <c r="F35" s="37"/>
      <c r="G35" s="229" t="s">
        <v>228</v>
      </c>
      <c r="H35" s="229" t="s">
        <v>229</v>
      </c>
      <c r="P35" s="26"/>
      <c r="R35" s="108"/>
    </row>
    <row r="36" spans="1:18">
      <c r="B36" s="47" t="s">
        <v>132</v>
      </c>
      <c r="C36" s="260">
        <f>SUM(C27:C35)</f>
        <v>9.3491038178316508</v>
      </c>
      <c r="D36" s="211">
        <f>SUM(D27:D35)</f>
        <v>8252.4539400000012</v>
      </c>
      <c r="F36" s="262" t="s">
        <v>230</v>
      </c>
      <c r="G36" s="263">
        <v>0.02</v>
      </c>
      <c r="H36" s="172">
        <f>G36*H17</f>
        <v>134.838525</v>
      </c>
    </row>
    <row r="37" spans="1:18">
      <c r="E37" s="13"/>
      <c r="K37" s="13"/>
    </row>
    <row r="38" spans="1:18">
      <c r="A38" s="10" t="s">
        <v>55</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66">
        <v>2065.3000000000002</v>
      </c>
      <c r="D42" s="166">
        <v>2172</v>
      </c>
      <c r="E42" s="166">
        <v>2201.4</v>
      </c>
      <c r="F42" s="167">
        <f>E42*(1+F63)</f>
        <v>2278.4490000000001</v>
      </c>
      <c r="G42" s="167">
        <f>F42*(1+G63)</f>
        <v>2403.7636950000001</v>
      </c>
      <c r="H42" s="167">
        <f>G42*(1+H63)</f>
        <v>2547.9895167000004</v>
      </c>
      <c r="I42" s="167">
        <f>H42*(1+I63)</f>
        <v>2675.3889925350004</v>
      </c>
      <c r="J42" s="167">
        <f>I42*(1+J63)</f>
        <v>2803.8076641766806</v>
      </c>
    </row>
    <row r="43" spans="1:18">
      <c r="B43" s="13" t="s">
        <v>8</v>
      </c>
      <c r="C43" s="166">
        <f>-(129.8+169.4+186)</f>
        <v>-485.20000000000005</v>
      </c>
      <c r="D43" s="166">
        <f>-(158.4+198.5+212)</f>
        <v>-568.9</v>
      </c>
      <c r="E43" s="166">
        <f>-(159.6+208.4+224)</f>
        <v>-592</v>
      </c>
      <c r="F43" s="167">
        <f>F44-F42</f>
        <v>-581.59219970234994</v>
      </c>
      <c r="G43" s="167">
        <f>G44-G42</f>
        <v>-601.56095221097917</v>
      </c>
      <c r="H43" s="167">
        <f>H44-H42</f>
        <v>-624.91466176013796</v>
      </c>
      <c r="I43" s="167">
        <f>I44-I42</f>
        <v>-642.78344988546974</v>
      </c>
      <c r="J43" s="167">
        <f>J44-J42</f>
        <v>-659.61801715908905</v>
      </c>
    </row>
    <row r="44" spans="1:18">
      <c r="B44" s="26" t="s">
        <v>9</v>
      </c>
      <c r="C44" s="165">
        <f>SUM(C42:C43)</f>
        <v>1580.1000000000001</v>
      </c>
      <c r="D44" s="165">
        <f>SUM(D42:D43)</f>
        <v>1603.1</v>
      </c>
      <c r="E44" s="165">
        <f>SUM(E42:E43)</f>
        <v>1609.4</v>
      </c>
      <c r="F44" s="165">
        <f>F42*F64</f>
        <v>1696.8568002976501</v>
      </c>
      <c r="G44" s="165">
        <f>G42*G64</f>
        <v>1802.2027427890209</v>
      </c>
      <c r="H44" s="165">
        <f>H42*H64</f>
        <v>1923.0748549398625</v>
      </c>
      <c r="I44" s="165">
        <f>I42*I64</f>
        <v>2032.6055426495307</v>
      </c>
      <c r="J44" s="165">
        <f>J42*J64</f>
        <v>2144.1896470175916</v>
      </c>
    </row>
    <row r="45" spans="1:18">
      <c r="B45" s="27" t="s">
        <v>10</v>
      </c>
      <c r="C45" s="166">
        <v>-181.6</v>
      </c>
      <c r="D45" s="166">
        <v>-165.2</v>
      </c>
      <c r="E45" s="166">
        <v>-174.6</v>
      </c>
      <c r="F45" s="167">
        <f>-(F65*F42)</f>
        <v>-184.78313334862591</v>
      </c>
      <c r="G45" s="167">
        <f>-(G65*G42)</f>
        <v>-194.94620568280035</v>
      </c>
      <c r="H45" s="167">
        <f>-(H65*H42)</f>
        <v>-206.64297802376839</v>
      </c>
      <c r="I45" s="167">
        <f>-(I65*I42)</f>
        <v>-216.97512692495681</v>
      </c>
      <c r="J45" s="167">
        <f>-(J65*J42)</f>
        <v>-227.38993301735476</v>
      </c>
    </row>
    <row r="46" spans="1:18">
      <c r="B46" s="27" t="s">
        <v>11</v>
      </c>
      <c r="C46" s="166">
        <f>-(611.4+220.7+33.6)</f>
        <v>-865.69999999999993</v>
      </c>
      <c r="D46" s="166">
        <f>-(634+217.9+42.1)</f>
        <v>-894</v>
      </c>
      <c r="E46" s="166">
        <f>-(686.9+238.7+43.8)</f>
        <v>-969.39999999999986</v>
      </c>
      <c r="F46" s="167">
        <f>-F66*F42</f>
        <v>-965.39603068528015</v>
      </c>
      <c r="G46" s="167">
        <f>-G66*G42</f>
        <v>-994.45517542297057</v>
      </c>
      <c r="H46" s="167">
        <f>-H66*H42</f>
        <v>-1028.6425907813489</v>
      </c>
      <c r="I46" s="167">
        <f>-I66*I42</f>
        <v>-1053.3208303950664</v>
      </c>
      <c r="J46" s="167">
        <f>-J66*J42</f>
        <v>-1075.8421536122628</v>
      </c>
    </row>
    <row r="47" spans="1:18">
      <c r="B47" s="26" t="s">
        <v>12</v>
      </c>
      <c r="C47" s="165">
        <f t="shared" ref="C47:J47" si="1">SUM(C44:C46)</f>
        <v>532.8000000000003</v>
      </c>
      <c r="D47" s="165">
        <f t="shared" si="1"/>
        <v>543.89999999999986</v>
      </c>
      <c r="E47" s="165">
        <f t="shared" si="1"/>
        <v>465.40000000000032</v>
      </c>
      <c r="F47" s="165">
        <f t="shared" si="1"/>
        <v>546.67763626374415</v>
      </c>
      <c r="G47" s="165">
        <f t="shared" si="1"/>
        <v>612.80136168324998</v>
      </c>
      <c r="H47" s="165">
        <f t="shared" si="1"/>
        <v>687.78928613474523</v>
      </c>
      <c r="I47" s="165">
        <f t="shared" si="1"/>
        <v>762.3095853295074</v>
      </c>
      <c r="J47" s="165">
        <f t="shared" si="1"/>
        <v>840.95756038797413</v>
      </c>
      <c r="K47" s="43"/>
    </row>
    <row r="48" spans="1:18">
      <c r="B48" s="13" t="s">
        <v>13</v>
      </c>
      <c r="C48" s="166">
        <v>15</v>
      </c>
      <c r="D48" s="166">
        <v>10.6</v>
      </c>
      <c r="E48" s="166">
        <v>8.3000000000000007</v>
      </c>
      <c r="F48" s="85">
        <f ca="1">F142</f>
        <v>0.9286713286713294</v>
      </c>
      <c r="G48" s="85">
        <f ca="1">G142</f>
        <v>0.92867132867131241</v>
      </c>
      <c r="H48" s="85">
        <f ca="1">H142</f>
        <v>0.92867132867014812</v>
      </c>
      <c r="I48" s="85">
        <f ca="1">I142</f>
        <v>0.92867133007062908</v>
      </c>
      <c r="J48" s="85">
        <f ca="1">J142</f>
        <v>0.9286710387854783</v>
      </c>
    </row>
    <row r="49" spans="2:11">
      <c r="B49" s="13" t="s">
        <v>14</v>
      </c>
      <c r="C49" s="166">
        <v>-19.8</v>
      </c>
      <c r="D49" s="166">
        <v>-23.3</v>
      </c>
      <c r="E49" s="166">
        <v>-47.8</v>
      </c>
      <c r="F49" s="85">
        <f ca="1">-(SUM(F203:F208))</f>
        <v>-296.99705111580545</v>
      </c>
      <c r="G49" s="85">
        <f t="shared" ref="G49" ca="1" si="2">-(SUM(G203:G208))</f>
        <v>-276.12445625249649</v>
      </c>
      <c r="H49" s="85">
        <f ca="1">-(SUM(H203:H208))</f>
        <v>-257.21593531159823</v>
      </c>
      <c r="I49" s="85">
        <f ca="1">-(SUM(I203:I208))</f>
        <v>-231.45326321947994</v>
      </c>
      <c r="J49" s="85">
        <f ca="1">-(SUM(J203:J208))</f>
        <v>-193.18317654154185</v>
      </c>
    </row>
    <row r="50" spans="2:11">
      <c r="B50" s="27" t="s">
        <v>172</v>
      </c>
      <c r="C50" s="166">
        <v>3.3</v>
      </c>
      <c r="D50" s="166">
        <v>-1.2</v>
      </c>
      <c r="E50" s="166">
        <v>2</v>
      </c>
      <c r="F50" s="85">
        <v>0</v>
      </c>
      <c r="G50" s="85">
        <v>0</v>
      </c>
      <c r="H50" s="85">
        <v>0</v>
      </c>
      <c r="I50" s="85">
        <v>0</v>
      </c>
      <c r="J50" s="85">
        <v>0</v>
      </c>
    </row>
    <row r="51" spans="2:11">
      <c r="B51" s="26" t="s">
        <v>15</v>
      </c>
      <c r="C51" s="165">
        <f t="shared" ref="C51:J51" si="3">SUM(C47:C50)</f>
        <v>531.3000000000003</v>
      </c>
      <c r="D51" s="165">
        <f t="shared" si="3"/>
        <v>529.99999999999989</v>
      </c>
      <c r="E51" s="165">
        <f t="shared" si="3"/>
        <v>427.90000000000032</v>
      </c>
      <c r="F51" s="165">
        <f ca="1">SUM(F47:F50)</f>
        <v>250.60925647661008</v>
      </c>
      <c r="G51" s="165">
        <f t="shared" ca="1" si="3"/>
        <v>337.60557675942476</v>
      </c>
      <c r="H51" s="165">
        <f t="shared" ca="1" si="3"/>
        <v>431.50202215181713</v>
      </c>
      <c r="I51" s="165">
        <f t="shared" ca="1" si="3"/>
        <v>531.78499344009811</v>
      </c>
      <c r="J51" s="165">
        <f t="shared" ca="1" si="3"/>
        <v>648.70305488521785</v>
      </c>
    </row>
    <row r="52" spans="2:11">
      <c r="B52" s="13" t="s">
        <v>16</v>
      </c>
      <c r="C52" s="166">
        <v>-75.099999999999994</v>
      </c>
      <c r="D52" s="166">
        <v>-129</v>
      </c>
      <c r="E52" s="166">
        <v>-96.9</v>
      </c>
      <c r="F52" s="167">
        <f ca="1">-F67*F51</f>
        <v>-56.751663829360837</v>
      </c>
      <c r="G52" s="167">
        <f ca="1">-G67*G51</f>
        <v>-76.45239632621697</v>
      </c>
      <c r="H52" s="167">
        <f ca="1">-H67*H51</f>
        <v>-97.715695130897529</v>
      </c>
      <c r="I52" s="167">
        <f ca="1">-I67*I51</f>
        <v>-120.42525324689291</v>
      </c>
      <c r="J52" s="167">
        <f ca="1">-J67*J51</f>
        <v>-146.9019070305622</v>
      </c>
    </row>
    <row r="53" spans="2:11">
      <c r="B53" s="26" t="s">
        <v>17</v>
      </c>
      <c r="C53" s="168">
        <f t="shared" ref="C53:J53" si="4">SUM(C51:C52)</f>
        <v>456.20000000000027</v>
      </c>
      <c r="D53" s="168">
        <f t="shared" si="4"/>
        <v>400.99999999999989</v>
      </c>
      <c r="E53" s="168">
        <f t="shared" si="4"/>
        <v>331.00000000000034</v>
      </c>
      <c r="F53" s="168">
        <f t="shared" ca="1" si="4"/>
        <v>193.85759264724925</v>
      </c>
      <c r="G53" s="168">
        <f t="shared" ca="1" si="4"/>
        <v>261.15318043320781</v>
      </c>
      <c r="H53" s="168">
        <f t="shared" ca="1" si="4"/>
        <v>333.7863270209196</v>
      </c>
      <c r="I53" s="168">
        <f t="shared" ca="1" si="4"/>
        <v>411.3597401932052</v>
      </c>
      <c r="J53" s="168">
        <f t="shared" ca="1" si="4"/>
        <v>501.80114785465565</v>
      </c>
    </row>
    <row r="54" spans="2:11">
      <c r="C54" s="43"/>
      <c r="D54" s="43"/>
      <c r="E54" s="43"/>
      <c r="F54" s="43"/>
      <c r="G54" s="43"/>
      <c r="H54" s="43"/>
      <c r="I54" s="43"/>
      <c r="J54" s="43"/>
    </row>
    <row r="55" spans="2:11">
      <c r="B55" s="36" t="s">
        <v>177</v>
      </c>
      <c r="C55" s="43"/>
      <c r="D55" s="43"/>
      <c r="E55" s="43"/>
      <c r="F55" s="43"/>
      <c r="G55" s="43"/>
      <c r="H55" s="43"/>
      <c r="I55" s="43"/>
      <c r="J55" s="43"/>
    </row>
    <row r="56" spans="2:11">
      <c r="B56" s="56" t="s">
        <v>176</v>
      </c>
      <c r="C56" s="82">
        <f t="shared" ref="C56:J56" si="5">C47</f>
        <v>532.8000000000003</v>
      </c>
      <c r="D56" s="82">
        <f t="shared" si="5"/>
        <v>543.89999999999986</v>
      </c>
      <c r="E56" s="82">
        <f t="shared" si="5"/>
        <v>465.40000000000032</v>
      </c>
      <c r="F56" s="82">
        <f t="shared" si="5"/>
        <v>546.67763626374415</v>
      </c>
      <c r="G56" s="82">
        <f t="shared" si="5"/>
        <v>612.80136168324998</v>
      </c>
      <c r="H56" s="82">
        <f t="shared" si="5"/>
        <v>687.78928613474523</v>
      </c>
      <c r="I56" s="82">
        <f t="shared" si="5"/>
        <v>762.3095853295074</v>
      </c>
      <c r="J56" s="82">
        <f t="shared" si="5"/>
        <v>840.95756038797413</v>
      </c>
    </row>
    <row r="57" spans="2:11">
      <c r="B57" s="37" t="s">
        <v>37</v>
      </c>
      <c r="C57" s="171">
        <v>190</v>
      </c>
      <c r="D57" s="171">
        <f>224.6</f>
        <v>224.6</v>
      </c>
      <c r="E57" s="171">
        <f>229</f>
        <v>229</v>
      </c>
      <c r="F57" s="82">
        <f>-(F97+F91+F103)</f>
        <v>223.94686822877298</v>
      </c>
      <c r="G57" s="82">
        <f>-(G97+G91+G103)</f>
        <v>220.60103174603177</v>
      </c>
      <c r="H57" s="82">
        <f>-(H97+H91+H103)</f>
        <v>222.40078105316201</v>
      </c>
      <c r="I57" s="82">
        <f>-(I97+I91+I103)</f>
        <v>224.19373141849334</v>
      </c>
      <c r="J57" s="82">
        <f>-(J97+J91+J103)</f>
        <v>223.00000000000003</v>
      </c>
    </row>
    <row r="58" spans="2:11">
      <c r="B58" s="37" t="s">
        <v>26</v>
      </c>
      <c r="C58" s="169">
        <v>106.5</v>
      </c>
      <c r="D58" s="169">
        <v>127.2</v>
      </c>
      <c r="E58" s="169">
        <v>147.4</v>
      </c>
      <c r="F58" s="82">
        <f>-(F68*SUM(F43,F45,F46))</f>
        <v>161.0547368274718</v>
      </c>
      <c r="G58" s="82">
        <f>-(G68*SUM(G43,G45,G46))</f>
        <v>162.08209116516588</v>
      </c>
      <c r="H58" s="82">
        <f>-(H68*SUM(H43,H45,H46))</f>
        <v>163.69762028974245</v>
      </c>
      <c r="I58" s="82">
        <f>-(I68*SUM(I43,I45,I46))</f>
        <v>163.56828931606964</v>
      </c>
      <c r="J58" s="82">
        <f>-(J68*SUM(J43,J45,J46))</f>
        <v>162.91655861446264</v>
      </c>
    </row>
    <row r="59" spans="2:11">
      <c r="B59" s="37" t="s">
        <v>173</v>
      </c>
      <c r="C59" s="169">
        <v>14.3</v>
      </c>
      <c r="D59" s="169">
        <v>10.8</v>
      </c>
      <c r="E59" s="169">
        <f>36+4.9</f>
        <v>40.9</v>
      </c>
      <c r="F59" s="169">
        <v>16</v>
      </c>
      <c r="G59" s="169">
        <v>5</v>
      </c>
      <c r="H59" s="169">
        <v>5</v>
      </c>
      <c r="I59" s="169">
        <v>0</v>
      </c>
      <c r="J59" s="169">
        <v>0</v>
      </c>
    </row>
    <row r="60" spans="2:11">
      <c r="B60" s="91" t="s">
        <v>27</v>
      </c>
      <c r="C60" s="170">
        <f t="shared" ref="C60:J60" si="6">SUM(C56:C59)</f>
        <v>843.60000000000025</v>
      </c>
      <c r="D60" s="170">
        <f t="shared" si="6"/>
        <v>906.49999999999989</v>
      </c>
      <c r="E60" s="170">
        <f t="shared" si="6"/>
        <v>882.70000000000027</v>
      </c>
      <c r="F60" s="170">
        <f t="shared" si="6"/>
        <v>947.67924131998893</v>
      </c>
      <c r="G60" s="170">
        <f t="shared" si="6"/>
        <v>1000.4844845944476</v>
      </c>
      <c r="H60" s="170">
        <f t="shared" si="6"/>
        <v>1078.8876874776497</v>
      </c>
      <c r="I60" s="170">
        <f t="shared" si="6"/>
        <v>1150.0716060640705</v>
      </c>
      <c r="J60" s="170">
        <f t="shared" si="6"/>
        <v>1226.8741190024368</v>
      </c>
    </row>
    <row r="61" spans="2:11">
      <c r="B61" s="38"/>
      <c r="C61" s="39"/>
      <c r="D61" s="39"/>
      <c r="E61" s="39"/>
      <c r="F61" s="39"/>
      <c r="G61" s="39"/>
      <c r="H61" s="39"/>
      <c r="I61" s="39"/>
      <c r="J61" s="39"/>
    </row>
    <row r="62" spans="2:11">
      <c r="B62" s="31" t="s">
        <v>19</v>
      </c>
      <c r="F62" s="82" t="s">
        <v>196</v>
      </c>
      <c r="K62" s="76" t="s">
        <v>135</v>
      </c>
    </row>
    <row r="63" spans="2:11">
      <c r="B63" s="48" t="s">
        <v>20</v>
      </c>
      <c r="C63" s="33" t="s">
        <v>21</v>
      </c>
      <c r="D63" s="34">
        <f>D42/C42-1</f>
        <v>5.1663196630029384E-2</v>
      </c>
      <c r="E63" s="34">
        <f>E42/D42-1</f>
        <v>1.3535911602210016E-2</v>
      </c>
      <c r="F63" s="80">
        <v>3.5000000000000003E-2</v>
      </c>
      <c r="G63" s="80">
        <v>5.5E-2</v>
      </c>
      <c r="H63" s="80">
        <v>0.06</v>
      </c>
      <c r="I63" s="80">
        <v>0.05</v>
      </c>
      <c r="J63" s="80">
        <v>4.8000000000000001E-2</v>
      </c>
      <c r="K63" s="44"/>
    </row>
    <row r="64" spans="2:11">
      <c r="B64" s="48" t="s">
        <v>22</v>
      </c>
      <c r="C64" s="34">
        <f>C44/C42</f>
        <v>0.76507044981358641</v>
      </c>
      <c r="D64" s="34">
        <f>D44/D42</f>
        <v>0.7380755064456721</v>
      </c>
      <c r="E64" s="34">
        <f>E44/E42</f>
        <v>0.73108022167711462</v>
      </c>
      <c r="F64" s="162">
        <f>AVERAGE(C64:E64)</f>
        <v>0.74474205931212423</v>
      </c>
      <c r="G64" s="162">
        <f t="shared" ref="G64:J68" si="7">F64+$K64</f>
        <v>0.74974205931212423</v>
      </c>
      <c r="H64" s="162">
        <f t="shared" si="7"/>
        <v>0.75474205931212424</v>
      </c>
      <c r="I64" s="162">
        <f t="shared" si="7"/>
        <v>0.75974205931212424</v>
      </c>
      <c r="J64" s="162">
        <f t="shared" si="7"/>
        <v>0.76474205931212424</v>
      </c>
      <c r="K64" s="44">
        <v>5.0000000000000001E-3</v>
      </c>
    </row>
    <row r="65" spans="2:11">
      <c r="B65" s="46" t="s">
        <v>23</v>
      </c>
      <c r="C65" s="34">
        <f t="shared" ref="C65:E66" si="8">-C45/C$42</f>
        <v>8.7929114414370776E-2</v>
      </c>
      <c r="D65" s="34">
        <f t="shared" si="8"/>
        <v>7.605893186003683E-2</v>
      </c>
      <c r="E65" s="34">
        <f t="shared" si="8"/>
        <v>7.9313164349959109E-2</v>
      </c>
      <c r="F65" s="162">
        <f>AVERAGE(C65:E65)</f>
        <v>8.1100403541455576E-2</v>
      </c>
      <c r="G65" s="162">
        <f t="shared" si="7"/>
        <v>8.1100403541455576E-2</v>
      </c>
      <c r="H65" s="162">
        <f t="shared" si="7"/>
        <v>8.1100403541455576E-2</v>
      </c>
      <c r="I65" s="162">
        <f t="shared" si="7"/>
        <v>8.1100403541455576E-2</v>
      </c>
      <c r="J65" s="162">
        <f t="shared" si="7"/>
        <v>8.1100403541455576E-2</v>
      </c>
      <c r="K65" s="44">
        <v>0</v>
      </c>
    </row>
    <row r="66" spans="2:11">
      <c r="B66" s="48" t="s">
        <v>24</v>
      </c>
      <c r="C66" s="34">
        <f t="shared" si="8"/>
        <v>0.41916428606013645</v>
      </c>
      <c r="D66" s="34">
        <f t="shared" si="8"/>
        <v>0.41160220994475138</v>
      </c>
      <c r="E66" s="34">
        <f t="shared" si="8"/>
        <v>0.44035613700372483</v>
      </c>
      <c r="F66" s="162">
        <f>AVERAGE(C66:E66)</f>
        <v>0.42370754433620422</v>
      </c>
      <c r="G66" s="162">
        <f t="shared" si="7"/>
        <v>0.41370754433620421</v>
      </c>
      <c r="H66" s="162">
        <f t="shared" si="7"/>
        <v>0.4037075443362042</v>
      </c>
      <c r="I66" s="162">
        <f t="shared" si="7"/>
        <v>0.3937075443362042</v>
      </c>
      <c r="J66" s="162">
        <f t="shared" si="7"/>
        <v>0.38370754433620419</v>
      </c>
      <c r="K66" s="44">
        <v>-0.01</v>
      </c>
    </row>
    <row r="67" spans="2:11">
      <c r="B67" s="48" t="s">
        <v>25</v>
      </c>
      <c r="C67" s="34">
        <f>-C52/C51</f>
        <v>0.14135140222096734</v>
      </c>
      <c r="D67" s="34">
        <f>-D52/D51</f>
        <v>0.2433962264150944</v>
      </c>
      <c r="E67" s="34">
        <f>-E52/E51</f>
        <v>0.2264547791540078</v>
      </c>
      <c r="F67" s="80">
        <f>E67</f>
        <v>0.2264547791540078</v>
      </c>
      <c r="G67" s="162">
        <f t="shared" si="7"/>
        <v>0.2264547791540078</v>
      </c>
      <c r="H67" s="162">
        <f t="shared" si="7"/>
        <v>0.2264547791540078</v>
      </c>
      <c r="I67" s="162">
        <f t="shared" si="7"/>
        <v>0.2264547791540078</v>
      </c>
      <c r="J67" s="162">
        <f t="shared" si="7"/>
        <v>0.2264547791540078</v>
      </c>
      <c r="K67" s="44">
        <v>0</v>
      </c>
    </row>
    <row r="68" spans="2:11">
      <c r="B68" s="48" t="s">
        <v>35</v>
      </c>
      <c r="C68" s="8">
        <f>-(C58/SUM(C43,C45,C46))</f>
        <v>6.949429037520391E-2</v>
      </c>
      <c r="D68" s="8">
        <f>-(D58/SUM(D43,D45,D46))</f>
        <v>7.8127879122904004E-2</v>
      </c>
      <c r="E68" s="8">
        <f>-(E58/SUM(E43,E45,E46))</f>
        <v>8.4907834101382487E-2</v>
      </c>
      <c r="F68" s="80">
        <v>9.2999999999999999E-2</v>
      </c>
      <c r="G68" s="162">
        <f t="shared" si="7"/>
        <v>9.0499999999999997E-2</v>
      </c>
      <c r="H68" s="162">
        <f t="shared" si="7"/>
        <v>8.7999999999999995E-2</v>
      </c>
      <c r="I68" s="162">
        <f t="shared" si="7"/>
        <v>8.5499999999999993E-2</v>
      </c>
      <c r="J68" s="162">
        <f t="shared" si="7"/>
        <v>8.299999999999999E-2</v>
      </c>
      <c r="K68" s="44">
        <v>-2.5000000000000001E-3</v>
      </c>
    </row>
    <row r="69" spans="2:11">
      <c r="B69" s="38"/>
      <c r="C69" s="39"/>
      <c r="D69" s="39"/>
      <c r="E69" s="39"/>
      <c r="F69" s="39"/>
      <c r="G69" s="39"/>
      <c r="H69" s="39"/>
      <c r="I69" s="39"/>
      <c r="J69" s="39"/>
    </row>
    <row r="70" spans="2:11">
      <c r="B70" s="95" t="s">
        <v>30</v>
      </c>
      <c r="C70" s="240"/>
      <c r="D70" s="240"/>
      <c r="E70" s="240"/>
      <c r="F70" s="240"/>
      <c r="G70" s="240"/>
      <c r="H70" s="240"/>
      <c r="I70" s="240"/>
      <c r="J70" s="240"/>
    </row>
    <row r="71" spans="2:11">
      <c r="B71" s="13" t="s">
        <v>5</v>
      </c>
      <c r="C71" s="39"/>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240"/>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9"/>
      <c r="D73" s="39"/>
      <c r="E73" s="39"/>
      <c r="F73" s="39"/>
      <c r="G73" s="39"/>
      <c r="H73" s="39"/>
      <c r="I73" s="39"/>
      <c r="J73" s="39"/>
    </row>
    <row r="74" spans="2:11">
      <c r="B74" s="60" t="s">
        <v>78</v>
      </c>
      <c r="C74" s="50"/>
      <c r="D74" s="163">
        <f>296.7+108+80.1</f>
        <v>484.79999999999995</v>
      </c>
      <c r="E74" s="163">
        <f>265.5+110.4+67.8</f>
        <v>443.7</v>
      </c>
      <c r="F74" s="172">
        <f>IF(F75,F75*F42,E74*(1+F63))</f>
        <v>459.22949999999997</v>
      </c>
      <c r="G74" s="172">
        <f>IF(G75,G75*G42,F74*(1+G63))</f>
        <v>484.4871225</v>
      </c>
      <c r="H74" s="172">
        <f>IF(H75,H75*H42,G74*(1+H63))</f>
        <v>513.55634985000006</v>
      </c>
      <c r="I74" s="172">
        <f>IF(I75,I75*I42,H74*(1+I63))</f>
        <v>539.23416734250009</v>
      </c>
      <c r="J74" s="172">
        <f>IF(J75,J75*J42,I74*(1+J63))</f>
        <v>565.11740737494006</v>
      </c>
    </row>
    <row r="75" spans="2:11">
      <c r="B75" s="64" t="s">
        <v>32</v>
      </c>
      <c r="C75" s="52"/>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60" t="s">
        <v>174</v>
      </c>
      <c r="C76" s="50"/>
      <c r="D76" s="163">
        <v>195.1</v>
      </c>
      <c r="E76" s="163">
        <v>213.1</v>
      </c>
      <c r="F76" s="172">
        <f>IF(F77,F77*F42,E76*(1+F63))</f>
        <v>220.55850000000001</v>
      </c>
      <c r="G76" s="172">
        <f>IF(G77,G77*G42,F76*(1+G63))</f>
        <v>232.68921750000001</v>
      </c>
      <c r="H76" s="172">
        <f>IF(H77,H77*H42,G76*(1+H63))</f>
        <v>246.65057055000003</v>
      </c>
      <c r="I76" s="172">
        <f>IF(I77,I77*I42,H76*(1+I63))</f>
        <v>258.98309907750001</v>
      </c>
      <c r="J76" s="172">
        <f>IF(J77,J77*J42,I76*(1+J63))</f>
        <v>271.41428783322004</v>
      </c>
    </row>
    <row r="77" spans="2:11">
      <c r="B77" s="64" t="s">
        <v>175</v>
      </c>
      <c r="C77" s="52"/>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60" t="s">
        <v>77</v>
      </c>
      <c r="C78" s="50"/>
      <c r="D78" s="163">
        <f>31.5+1.2</f>
        <v>32.700000000000003</v>
      </c>
      <c r="E78" s="163">
        <f>31.6+10.5</f>
        <v>42.1</v>
      </c>
      <c r="F78" s="172">
        <f>IF(F79,-(F79*F43),E78*F43/E43)</f>
        <v>41.35985068829212</v>
      </c>
      <c r="G78" s="172">
        <f>IF(G79,-(G79*G43),F78*G43/F43)</f>
        <v>42.77992582446322</v>
      </c>
      <c r="H78" s="172">
        <f>IF(H79,-(H79*H43),G78*H43/G43)</f>
        <v>44.440721723144954</v>
      </c>
      <c r="I78" s="172">
        <f>IF(I79,-(I79*I43),H78*I43/H43)</f>
        <v>45.711458175976823</v>
      </c>
      <c r="J78" s="172">
        <f>IF(J79,-(J79*J43),I78*J43/I43)</f>
        <v>46.908646152698736</v>
      </c>
    </row>
    <row r="79" spans="2:11">
      <c r="B79" s="64" t="s">
        <v>33</v>
      </c>
      <c r="C79" s="52"/>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60" t="s">
        <v>76</v>
      </c>
      <c r="C80" s="88"/>
      <c r="D80" s="163">
        <f>319.4+1059.5+934.4</f>
        <v>2313.3000000000002</v>
      </c>
      <c r="E80" s="163">
        <f>326.4+1038.6+936.7</f>
        <v>2301.6999999999998</v>
      </c>
      <c r="F80" s="172">
        <f>IF(F81,F81*F42,E80*(1+F63))</f>
        <v>2382.2594999999997</v>
      </c>
      <c r="G80" s="172">
        <f>IF(G81,G81*G42,F80*(1+G63))</f>
        <v>2513.2837724999995</v>
      </c>
      <c r="H80" s="172">
        <f>IF(H81,H81*H42,G80*(1+H63))</f>
        <v>2664.0807988500001</v>
      </c>
      <c r="I80" s="172">
        <f>IF(I81,I81*I42,H80*(1+I63))</f>
        <v>2797.2848387925001</v>
      </c>
      <c r="J80" s="172">
        <f>IF(J81,J81*J42,I80*(1+J63))</f>
        <v>2931.5545110545399</v>
      </c>
    </row>
    <row r="81" spans="2:11">
      <c r="B81" s="64" t="s">
        <v>84</v>
      </c>
      <c r="C81" s="52"/>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4"/>
      <c r="C82" s="52"/>
      <c r="D82" s="8"/>
      <c r="E82" s="9"/>
      <c r="F82" s="44"/>
      <c r="G82" s="44"/>
      <c r="H82" s="44"/>
      <c r="I82" s="44"/>
      <c r="J82" s="44"/>
    </row>
    <row r="83" spans="2:11">
      <c r="B83" s="148" t="s">
        <v>127</v>
      </c>
      <c r="C83" s="23"/>
      <c r="D83" s="242">
        <f t="shared" ref="D83:J83" si="11">D74+D76+-D78-D80</f>
        <v>-1666.1000000000004</v>
      </c>
      <c r="E83" s="242">
        <f t="shared" si="11"/>
        <v>-1687</v>
      </c>
      <c r="F83" s="242">
        <f t="shared" si="11"/>
        <v>-1743.8313506882919</v>
      </c>
      <c r="G83" s="242">
        <f t="shared" si="11"/>
        <v>-1838.8873583244626</v>
      </c>
      <c r="H83" s="242">
        <f t="shared" si="11"/>
        <v>-1948.314600173145</v>
      </c>
      <c r="I83" s="242">
        <f t="shared" si="11"/>
        <v>-2044.7790305484768</v>
      </c>
      <c r="J83" s="242">
        <f t="shared" si="11"/>
        <v>-2141.9314619990787</v>
      </c>
    </row>
    <row r="84" spans="2:11">
      <c r="B84" s="27"/>
      <c r="D84" s="53"/>
      <c r="E84" s="53"/>
      <c r="F84" s="43"/>
      <c r="G84" s="43"/>
      <c r="H84" s="43"/>
      <c r="I84" s="43"/>
      <c r="J84" s="43"/>
    </row>
    <row r="85" spans="2:11">
      <c r="B85" s="241" t="s">
        <v>183</v>
      </c>
      <c r="C85" s="96"/>
      <c r="D85" s="96"/>
      <c r="E85" s="96"/>
      <c r="F85" s="86"/>
      <c r="G85" s="86"/>
      <c r="H85" s="86"/>
      <c r="I85" s="86"/>
      <c r="J85" s="86"/>
    </row>
    <row r="86" spans="2:11">
      <c r="B86" s="13" t="s">
        <v>5</v>
      </c>
      <c r="C86" s="39"/>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240"/>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9"/>
    </row>
    <row r="89" spans="2:11">
      <c r="B89" s="60" t="s">
        <v>81</v>
      </c>
      <c r="C89" s="30"/>
      <c r="D89" s="163">
        <v>87.8</v>
      </c>
      <c r="E89" s="163">
        <v>85.2</v>
      </c>
      <c r="F89" s="172">
        <f>E89+SUM(F90:F91)</f>
        <v>73.144489795918361</v>
      </c>
      <c r="G89" s="172">
        <f>F89+SUM(G90:G91)</f>
        <v>63.407346938775504</v>
      </c>
      <c r="H89" s="172">
        <f>G89+SUM(H90:H91)</f>
        <v>56.452244897959183</v>
      </c>
      <c r="I89" s="172">
        <f>H89+SUM(I90:I91)</f>
        <v>53.090612244897962</v>
      </c>
      <c r="J89" s="172">
        <f>I89+SUM(J90:J91)</f>
        <v>53.090612244897962</v>
      </c>
      <c r="K89" s="76"/>
    </row>
    <row r="90" spans="2:11">
      <c r="B90" s="87" t="s">
        <v>39</v>
      </c>
      <c r="C90" s="169">
        <v>22</v>
      </c>
      <c r="D90" s="169">
        <v>26.5</v>
      </c>
      <c r="E90" s="169">
        <v>24.5</v>
      </c>
      <c r="F90" s="169">
        <v>26</v>
      </c>
      <c r="G90" s="169">
        <v>28</v>
      </c>
      <c r="H90" s="169">
        <v>30</v>
      </c>
      <c r="I90" s="169">
        <v>29</v>
      </c>
      <c r="J90" s="169">
        <v>31</v>
      </c>
      <c r="K90"/>
    </row>
    <row r="91" spans="2:11">
      <c r="B91" s="87" t="s">
        <v>80</v>
      </c>
      <c r="C91" s="169">
        <v>-39.1</v>
      </c>
      <c r="D91" s="169">
        <v>-37.799999999999997</v>
      </c>
      <c r="E91" s="169">
        <v>-38.700000000000003</v>
      </c>
      <c r="F91" s="173">
        <f>-(F93*F90)</f>
        <v>-38.055510204081635</v>
      </c>
      <c r="G91" s="173">
        <f>-(G93*G90)</f>
        <v>-37.737142857142857</v>
      </c>
      <c r="H91" s="173">
        <f>-(H93*H90)</f>
        <v>-36.955102040816321</v>
      </c>
      <c r="I91" s="173">
        <f>-(I93*I90)</f>
        <v>-32.361632653061221</v>
      </c>
      <c r="J91" s="173">
        <f>-(J93*J90)</f>
        <v>-30.999999999999993</v>
      </c>
      <c r="K91" s="76" t="s">
        <v>181</v>
      </c>
    </row>
    <row r="92" spans="2:11">
      <c r="B92" s="89" t="s">
        <v>184</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82" t="s">
        <v>162</v>
      </c>
    </row>
    <row r="93" spans="2:11">
      <c r="B93" s="89" t="s">
        <v>160</v>
      </c>
      <c r="C93" s="71">
        <f>-(C91/C90)</f>
        <v>1.7772727272727273</v>
      </c>
      <c r="D93" s="71">
        <f>-(D91/D90)</f>
        <v>1.4264150943396225</v>
      </c>
      <c r="E93" s="71">
        <f>-(E91/E90)</f>
        <v>1.5795918367346939</v>
      </c>
      <c r="F93" s="71">
        <f>E93+$K$93</f>
        <v>1.4636734693877551</v>
      </c>
      <c r="G93" s="71">
        <f>F93+$K$93</f>
        <v>1.3477551020408163</v>
      </c>
      <c r="H93" s="71">
        <f>G93+$K$93</f>
        <v>1.2318367346938774</v>
      </c>
      <c r="I93" s="71">
        <f>H93+$K$93</f>
        <v>1.1159183673469386</v>
      </c>
      <c r="J93" s="71">
        <f>I93+$K$93</f>
        <v>0.99999999999999978</v>
      </c>
      <c r="K93" s="150">
        <f>IF(K92="Yes",(1-E93)/COLUMNS(F93:J93),0)</f>
        <v>-0.11591836734693879</v>
      </c>
    </row>
    <row r="94" spans="2:11">
      <c r="B94" s="89"/>
      <c r="C94" s="71"/>
      <c r="D94" s="71"/>
      <c r="E94" s="71"/>
      <c r="F94" s="81"/>
      <c r="G94" s="81"/>
      <c r="H94" s="81"/>
      <c r="I94" s="81"/>
      <c r="J94" s="81"/>
    </row>
    <row r="95" spans="2:11">
      <c r="B95" s="60" t="s">
        <v>202</v>
      </c>
      <c r="C95" s="59"/>
      <c r="D95" s="163">
        <v>244.7</v>
      </c>
      <c r="E95" s="163">
        <v>271.39999999999998</v>
      </c>
      <c r="F95" s="172">
        <f>E95+SUM(F96:F97)</f>
        <v>286.50864197530859</v>
      </c>
      <c r="G95" s="172">
        <f>F95+SUM(G96:G97)</f>
        <v>297.64475308641971</v>
      </c>
      <c r="H95" s="172">
        <f>G95+SUM(H96:H97)</f>
        <v>305.19907407407402</v>
      </c>
      <c r="I95" s="172">
        <f>H95+SUM(I96:I97)</f>
        <v>309.36697530864188</v>
      </c>
      <c r="J95" s="172">
        <f>I95+SUM(J96:J97)</f>
        <v>309.36697530864188</v>
      </c>
    </row>
    <row r="96" spans="2:11">
      <c r="B96" s="87" t="s">
        <v>178</v>
      </c>
      <c r="C96" s="169">
        <v>115.8</v>
      </c>
      <c r="D96" s="169">
        <f>132.5</f>
        <v>132.5</v>
      </c>
      <c r="E96" s="169">
        <f>129.6</f>
        <v>129.6</v>
      </c>
      <c r="F96" s="169">
        <v>116</v>
      </c>
      <c r="G96" s="169">
        <v>114</v>
      </c>
      <c r="H96" s="169">
        <v>116</v>
      </c>
      <c r="I96" s="169">
        <v>128</v>
      </c>
      <c r="J96" s="169">
        <v>135</v>
      </c>
    </row>
    <row r="97" spans="2:11">
      <c r="B97" s="87" t="s">
        <v>79</v>
      </c>
      <c r="C97" s="171">
        <v>-75.7</v>
      </c>
      <c r="D97" s="169">
        <v>-93.6</v>
      </c>
      <c r="E97" s="169">
        <v>-108.5</v>
      </c>
      <c r="F97" s="173">
        <f>-(F99*F96)</f>
        <v>-100.89135802469136</v>
      </c>
      <c r="G97" s="173">
        <f t="shared" ref="G97:J97" si="15">-(G99*G96)</f>
        <v>-102.86388888888889</v>
      </c>
      <c r="H97" s="173">
        <f t="shared" si="15"/>
        <v>-108.44567901234569</v>
      </c>
      <c r="I97" s="173">
        <f t="shared" si="15"/>
        <v>-123.83209876543212</v>
      </c>
      <c r="J97" s="173">
        <f t="shared" si="15"/>
        <v>-135.00000000000003</v>
      </c>
      <c r="K97" s="76" t="s">
        <v>181</v>
      </c>
    </row>
    <row r="98" spans="2:11">
      <c r="B98" s="89" t="s">
        <v>179</v>
      </c>
      <c r="C98" s="176">
        <f t="shared" ref="C98:J98" si="16">C96/C42</f>
        <v>5.6069336173921458E-2</v>
      </c>
      <c r="D98" s="176">
        <f t="shared" si="16"/>
        <v>6.1003683241252299E-2</v>
      </c>
      <c r="E98" s="176">
        <f t="shared" si="16"/>
        <v>5.8871627146361398E-2</v>
      </c>
      <c r="F98" s="176">
        <f t="shared" si="16"/>
        <v>5.0911826422272342E-2</v>
      </c>
      <c r="G98" s="176">
        <f t="shared" si="16"/>
        <v>4.7425626835586265E-2</v>
      </c>
      <c r="H98" s="176">
        <f t="shared" si="16"/>
        <v>4.5526089977888165E-2</v>
      </c>
      <c r="I98" s="176">
        <f t="shared" si="16"/>
        <v>4.7843509993182966E-2</v>
      </c>
      <c r="J98" s="176">
        <f t="shared" si="16"/>
        <v>4.8148809108716752E-2</v>
      </c>
      <c r="K98" s="182" t="s">
        <v>162</v>
      </c>
    </row>
    <row r="99" spans="2:11">
      <c r="B99" s="89" t="s">
        <v>180</v>
      </c>
      <c r="C99" s="71">
        <f>-(C97/C96)</f>
        <v>0.65371329879101903</v>
      </c>
      <c r="D99" s="71">
        <f>-(D97/D96)</f>
        <v>0.70641509433962257</v>
      </c>
      <c r="E99" s="71">
        <f>-(E97/E96)</f>
        <v>0.83719135802469136</v>
      </c>
      <c r="F99" s="71">
        <f>E99+$K$99</f>
        <v>0.86975308641975313</v>
      </c>
      <c r="G99" s="71">
        <f>F99+$K$99</f>
        <v>0.9023148148148149</v>
      </c>
      <c r="H99" s="71">
        <f>G99+$K$99</f>
        <v>0.93487654320987668</v>
      </c>
      <c r="I99" s="71">
        <f>H99+$K$99</f>
        <v>0.96743827160493845</v>
      </c>
      <c r="J99" s="71">
        <f>I99+$K$99</f>
        <v>1.0000000000000002</v>
      </c>
      <c r="K99" s="150">
        <f>IF(K98="Yes",(1-E99)/COLUMNS(F99:J99),0)</f>
        <v>3.2561728395061731E-2</v>
      </c>
    </row>
    <row r="100" spans="2:11">
      <c r="B100" s="89"/>
      <c r="C100" s="71"/>
      <c r="D100" s="71"/>
      <c r="E100" s="71"/>
      <c r="F100" s="81"/>
      <c r="G100" s="81"/>
      <c r="H100" s="81"/>
      <c r="I100" s="81"/>
      <c r="J100" s="81"/>
    </row>
    <row r="101" spans="2:11">
      <c r="B101" s="60" t="s">
        <v>182</v>
      </c>
      <c r="D101" s="163">
        <v>257.5</v>
      </c>
      <c r="E101" s="163">
        <v>189.8</v>
      </c>
      <c r="F101" s="172">
        <f>E101+SUM(F102:F103)</f>
        <v>189.8</v>
      </c>
      <c r="G101" s="172">
        <f>F101+SUM(G102:G103)</f>
        <v>189.8</v>
      </c>
      <c r="H101" s="172">
        <f>G101+SUM(H102:H103)</f>
        <v>189.8</v>
      </c>
      <c r="I101" s="172">
        <f>H101+SUM(I102:I103)</f>
        <v>189.8</v>
      </c>
      <c r="J101" s="172">
        <f>I101+SUM(J102:J103)</f>
        <v>189.8</v>
      </c>
    </row>
    <row r="102" spans="2:11">
      <c r="B102" s="87" t="s">
        <v>178</v>
      </c>
      <c r="C102" s="204">
        <v>0</v>
      </c>
      <c r="D102" s="169">
        <v>0</v>
      </c>
      <c r="E102" s="169">
        <v>0</v>
      </c>
      <c r="F102" s="169">
        <f>-F103</f>
        <v>85</v>
      </c>
      <c r="G102" s="169">
        <f t="shared" ref="G102:J102" si="17">-G103</f>
        <v>80</v>
      </c>
      <c r="H102" s="169">
        <f t="shared" si="17"/>
        <v>77</v>
      </c>
      <c r="I102" s="169">
        <f t="shared" si="17"/>
        <v>68</v>
      </c>
      <c r="J102" s="169">
        <f t="shared" si="17"/>
        <v>57</v>
      </c>
    </row>
    <row r="103" spans="2:11">
      <c r="B103" s="87" t="s">
        <v>79</v>
      </c>
      <c r="C103" s="169">
        <v>-79.099999999999994</v>
      </c>
      <c r="D103" s="169">
        <v>-97.7</v>
      </c>
      <c r="E103" s="169">
        <v>-86.9</v>
      </c>
      <c r="F103" s="169">
        <v>-85</v>
      </c>
      <c r="G103" s="169">
        <v>-80</v>
      </c>
      <c r="H103" s="169">
        <v>-77</v>
      </c>
      <c r="I103" s="169">
        <v>-68</v>
      </c>
      <c r="J103" s="169">
        <v>-57</v>
      </c>
    </row>
    <row r="104" spans="2:11">
      <c r="B104" s="37"/>
      <c r="C104" s="85"/>
      <c r="D104" s="85"/>
      <c r="E104" s="85"/>
      <c r="F104" s="65"/>
      <c r="G104" s="65"/>
      <c r="H104" s="65"/>
      <c r="I104" s="65"/>
      <c r="J104" s="65"/>
    </row>
    <row r="105" spans="2:11">
      <c r="B105" s="138" t="s">
        <v>204</v>
      </c>
      <c r="D105" s="163">
        <f>240.2+1700.1</f>
        <v>1940.3</v>
      </c>
      <c r="E105" s="163">
        <f>229.3+1705.9</f>
        <v>1935.2</v>
      </c>
      <c r="F105" s="172">
        <f>E105</f>
        <v>1935.2</v>
      </c>
      <c r="G105" s="172">
        <f>F105</f>
        <v>1935.2</v>
      </c>
      <c r="H105" s="172">
        <f>G105</f>
        <v>1935.2</v>
      </c>
      <c r="I105" s="172">
        <f>H105</f>
        <v>1935.2</v>
      </c>
      <c r="J105" s="172">
        <f>I105</f>
        <v>1935.2</v>
      </c>
    </row>
    <row r="106" spans="2:11">
      <c r="B106" s="138"/>
      <c r="D106" s="163"/>
      <c r="E106" s="163"/>
      <c r="F106" s="172"/>
      <c r="G106" s="172"/>
      <c r="H106" s="172"/>
      <c r="I106" s="172"/>
      <c r="J106" s="172"/>
    </row>
    <row r="107" spans="2:11">
      <c r="B107" s="60" t="s">
        <v>83</v>
      </c>
      <c r="D107" s="163">
        <v>232.4</v>
      </c>
      <c r="E107" s="163">
        <v>252</v>
      </c>
      <c r="F107" s="172">
        <f>E107</f>
        <v>252</v>
      </c>
      <c r="G107" s="172">
        <f>F107</f>
        <v>252</v>
      </c>
      <c r="H107" s="172">
        <f t="shared" ref="H107" si="18">G107</f>
        <v>252</v>
      </c>
      <c r="I107" s="172">
        <f t="shared" ref="I107" si="19">H107</f>
        <v>252</v>
      </c>
      <c r="J107" s="172">
        <f t="shared" ref="J107" si="20">I107</f>
        <v>252</v>
      </c>
    </row>
    <row r="108" spans="2:11">
      <c r="B108" s="32"/>
      <c r="C108" s="53"/>
      <c r="D108" s="53"/>
      <c r="E108" s="53"/>
      <c r="F108" s="43"/>
      <c r="G108" s="43"/>
      <c r="H108" s="43"/>
      <c r="I108" s="43"/>
      <c r="J108" s="43"/>
    </row>
    <row r="109" spans="2:11">
      <c r="B109" s="15" t="s">
        <v>36</v>
      </c>
      <c r="C109" s="22"/>
      <c r="D109" s="22"/>
      <c r="E109" s="22"/>
      <c r="F109" s="22"/>
      <c r="G109" s="22"/>
      <c r="H109" s="22"/>
      <c r="I109" s="22"/>
      <c r="J109" s="22"/>
    </row>
    <row r="110" spans="2:11">
      <c r="B110" s="45" t="str">
        <f>B39</f>
        <v xml:space="preserve">Fiscal year  </v>
      </c>
      <c r="C110" s="40"/>
      <c r="D110" s="40"/>
      <c r="E110" s="40"/>
      <c r="F110" s="41">
        <f t="shared" ref="F110:J111" si="21">F39</f>
        <v>2014</v>
      </c>
      <c r="G110" s="41">
        <f t="shared" si="21"/>
        <v>2015</v>
      </c>
      <c r="H110" s="41">
        <f t="shared" si="21"/>
        <v>2016</v>
      </c>
      <c r="I110" s="41">
        <f t="shared" si="21"/>
        <v>2017</v>
      </c>
      <c r="J110" s="41">
        <f t="shared" si="21"/>
        <v>2018</v>
      </c>
    </row>
    <row r="111" spans="2:11">
      <c r="B111" s="17" t="str">
        <f>B40</f>
        <v>Fiscal year end date</v>
      </c>
      <c r="C111" s="42"/>
      <c r="D111" s="42"/>
      <c r="E111" s="42"/>
      <c r="F111" s="42">
        <f t="shared" si="21"/>
        <v>41729</v>
      </c>
      <c r="G111" s="42">
        <f t="shared" si="21"/>
        <v>42094</v>
      </c>
      <c r="H111" s="42">
        <f t="shared" si="21"/>
        <v>42460</v>
      </c>
      <c r="I111" s="42">
        <f t="shared" si="21"/>
        <v>42825</v>
      </c>
      <c r="J111" s="42">
        <f t="shared" si="21"/>
        <v>43190</v>
      </c>
    </row>
    <row r="113" spans="2:10">
      <c r="B113" s="13" t="s">
        <v>17</v>
      </c>
      <c r="C113" s="57"/>
      <c r="D113" s="57"/>
      <c r="E113" s="57"/>
      <c r="F113" s="85">
        <f ca="1">F53</f>
        <v>193.85759264724925</v>
      </c>
      <c r="G113" s="85">
        <f ca="1">G53</f>
        <v>261.15318043320781</v>
      </c>
      <c r="H113" s="85">
        <f ca="1">H53</f>
        <v>333.7863270209196</v>
      </c>
      <c r="I113" s="85">
        <f ca="1">I53</f>
        <v>411.3597401932052</v>
      </c>
      <c r="J113" s="85">
        <f ca="1">J53</f>
        <v>501.80114785465565</v>
      </c>
    </row>
    <row r="114" spans="2:10">
      <c r="B114" s="13" t="s">
        <v>37</v>
      </c>
      <c r="C114" s="57"/>
      <c r="D114" s="57"/>
      <c r="E114" s="57"/>
      <c r="F114" s="51">
        <f t="shared" ref="F114:J115" si="22">F57</f>
        <v>223.94686822877298</v>
      </c>
      <c r="G114" s="51">
        <f t="shared" si="22"/>
        <v>220.60103174603177</v>
      </c>
      <c r="H114" s="51">
        <f t="shared" si="22"/>
        <v>222.40078105316201</v>
      </c>
      <c r="I114" s="51">
        <f t="shared" si="22"/>
        <v>224.19373141849334</v>
      </c>
      <c r="J114" s="51">
        <f t="shared" si="22"/>
        <v>223.00000000000003</v>
      </c>
    </row>
    <row r="115" spans="2:10">
      <c r="B115" s="13" t="s">
        <v>26</v>
      </c>
      <c r="C115" s="57"/>
      <c r="D115" s="57"/>
      <c r="E115" s="57"/>
      <c r="F115" s="85">
        <f t="shared" si="22"/>
        <v>161.0547368274718</v>
      </c>
      <c r="G115" s="85">
        <f t="shared" si="22"/>
        <v>162.08209116516588</v>
      </c>
      <c r="H115" s="85">
        <f t="shared" si="22"/>
        <v>163.69762028974245</v>
      </c>
      <c r="I115" s="85">
        <f t="shared" si="22"/>
        <v>163.56828931606964</v>
      </c>
      <c r="J115" s="85">
        <f t="shared" si="22"/>
        <v>162.91655861446264</v>
      </c>
    </row>
    <row r="116" spans="2:10">
      <c r="B116" s="13" t="s">
        <v>82</v>
      </c>
      <c r="C116" s="28"/>
      <c r="D116" s="28"/>
      <c r="E116" s="28"/>
      <c r="F116" s="85">
        <f>E83-F83</f>
        <v>56.831350688291877</v>
      </c>
      <c r="G116" s="85">
        <f>F83-G83</f>
        <v>95.056007636170762</v>
      </c>
      <c r="H116" s="85">
        <f>G83-H83</f>
        <v>109.42724184868234</v>
      </c>
      <c r="I116" s="85">
        <f>H83-I83</f>
        <v>96.464430375331858</v>
      </c>
      <c r="J116" s="85">
        <f>I83-J83</f>
        <v>97.152431450601853</v>
      </c>
    </row>
    <row r="117" spans="2:10">
      <c r="B117" s="27" t="s">
        <v>128</v>
      </c>
      <c r="C117" s="28"/>
      <c r="D117" s="28"/>
      <c r="E117" s="28"/>
      <c r="F117" s="85">
        <f>E105-F105+F107-E107</f>
        <v>0</v>
      </c>
      <c r="G117" s="85">
        <f>F105-G105+G107-F107</f>
        <v>0</v>
      </c>
      <c r="H117" s="85">
        <f>G105-H105+H107-G107</f>
        <v>0</v>
      </c>
      <c r="I117" s="85">
        <f>H105-I105+I107-H107</f>
        <v>0</v>
      </c>
      <c r="J117" s="85">
        <f>I105-J105+J107-I107</f>
        <v>0</v>
      </c>
    </row>
    <row r="118" spans="2:10">
      <c r="B118" s="27" t="s">
        <v>150</v>
      </c>
      <c r="C118" s="28"/>
      <c r="D118" s="28"/>
      <c r="E118" s="28"/>
      <c r="F118" s="206">
        <f>F208</f>
        <v>0</v>
      </c>
      <c r="G118" s="206">
        <f t="shared" ref="G118:J118" si="23">G208</f>
        <v>0</v>
      </c>
      <c r="H118" s="206">
        <f t="shared" si="23"/>
        <v>0</v>
      </c>
      <c r="I118" s="206">
        <f t="shared" si="23"/>
        <v>0</v>
      </c>
      <c r="J118" s="206">
        <f t="shared" si="23"/>
        <v>0</v>
      </c>
    </row>
    <row r="119" spans="2:10">
      <c r="B119" s="26" t="s">
        <v>38</v>
      </c>
      <c r="F119" s="108">
        <f ca="1">SUM(F113:F118)</f>
        <v>635.69054839178591</v>
      </c>
      <c r="G119" s="108">
        <f ca="1">SUM(G113:G118)</f>
        <v>738.89231098057621</v>
      </c>
      <c r="H119" s="108">
        <f ca="1">SUM(H113:H118)</f>
        <v>829.31197021250637</v>
      </c>
      <c r="I119" s="108">
        <f ca="1">SUM(I113:I118)</f>
        <v>895.58619130310012</v>
      </c>
      <c r="J119" s="108">
        <f ca="1">SUM(J113:J118)</f>
        <v>984.87013791972026</v>
      </c>
    </row>
    <row r="120" spans="2:10">
      <c r="B120" s="13"/>
    </row>
    <row r="121" spans="2:10">
      <c r="B121" s="13" t="s">
        <v>39</v>
      </c>
      <c r="F121" s="82">
        <f>-(F90)</f>
        <v>-26</v>
      </c>
      <c r="G121" s="82">
        <f>-(G90)</f>
        <v>-28</v>
      </c>
      <c r="H121" s="82">
        <f>-(H90)</f>
        <v>-30</v>
      </c>
      <c r="I121" s="82">
        <f>-(I90)</f>
        <v>-29</v>
      </c>
      <c r="J121" s="82">
        <f>-(J90)</f>
        <v>-31</v>
      </c>
    </row>
    <row r="122" spans="2:10">
      <c r="B122" s="13" t="s">
        <v>205</v>
      </c>
      <c r="F122" s="82">
        <f>-(F96+F102)</f>
        <v>-201</v>
      </c>
      <c r="G122" s="82">
        <f>-(G96+G102)</f>
        <v>-194</v>
      </c>
      <c r="H122" s="82">
        <f>-(H96+H102)</f>
        <v>-193</v>
      </c>
      <c r="I122" s="82">
        <f>-(I96+I102)</f>
        <v>-196</v>
      </c>
      <c r="J122" s="82">
        <f>-(J96+J102)</f>
        <v>-192</v>
      </c>
    </row>
    <row r="123" spans="2:10">
      <c r="B123" s="26" t="s">
        <v>40</v>
      </c>
      <c r="F123" s="172">
        <f>SUM(F121:F122)</f>
        <v>-227</v>
      </c>
      <c r="G123" s="172">
        <f>SUM(G121:G122)</f>
        <v>-222</v>
      </c>
      <c r="H123" s="172">
        <f>SUM(H121:H122)</f>
        <v>-223</v>
      </c>
      <c r="I123" s="172">
        <f>SUM(I121:I122)</f>
        <v>-225</v>
      </c>
      <c r="J123" s="172">
        <f>SUM(J121:J122)</f>
        <v>-223</v>
      </c>
    </row>
    <row r="124" spans="2:10">
      <c r="B124" s="13"/>
    </row>
    <row r="125" spans="2:10">
      <c r="B125" s="13" t="s">
        <v>98</v>
      </c>
      <c r="F125" s="82">
        <f>-(F159+F167+F175+F181)</f>
        <v>-322.1855000000001</v>
      </c>
      <c r="G125" s="82">
        <f ca="1">-(G159+G167+G175+G181)</f>
        <v>-177.86405000000008</v>
      </c>
      <c r="H125" s="82">
        <f ca="1">-(H159+H167+H175+H181)</f>
        <v>-177.86405000000008</v>
      </c>
      <c r="I125" s="82">
        <f ca="1">-(I159+I167+I175+I181)</f>
        <v>-177.86405000000008</v>
      </c>
      <c r="J125" s="82">
        <f ca="1">-(J159+J167+J175+J181)</f>
        <v>-177.86405000000008</v>
      </c>
    </row>
    <row r="126" spans="2:10">
      <c r="B126" s="27" t="s">
        <v>163</v>
      </c>
      <c r="F126" s="306">
        <f>-F190</f>
        <v>0</v>
      </c>
      <c r="G126" s="306">
        <f t="shared" ref="G126:J126" si="24">-G190</f>
        <v>0</v>
      </c>
      <c r="H126" s="306">
        <f t="shared" si="24"/>
        <v>0</v>
      </c>
      <c r="I126" s="306">
        <f t="shared" si="24"/>
        <v>0</v>
      </c>
      <c r="J126" s="306">
        <f t="shared" si="24"/>
        <v>0</v>
      </c>
    </row>
    <row r="127" spans="2:10">
      <c r="B127" s="149" t="s">
        <v>103</v>
      </c>
      <c r="C127" s="30"/>
      <c r="D127" s="30"/>
      <c r="E127" s="30"/>
      <c r="F127" s="172">
        <f ca="1">F119+F123+SUM(F125:F126)</f>
        <v>86.505048391785806</v>
      </c>
      <c r="G127" s="172">
        <f ca="1">G119+G123+SUM(G125:G126)</f>
        <v>339.02826098057614</v>
      </c>
      <c r="H127" s="172">
        <f ca="1">H119+H123+SUM(H125:H126)</f>
        <v>428.44792021250629</v>
      </c>
      <c r="I127" s="172">
        <f ca="1">I119+I123+SUM(I125:I126)</f>
        <v>492.72214130310005</v>
      </c>
      <c r="J127" s="172">
        <f ca="1">J119+J123+SUM(J125:J126)</f>
        <v>584.00608791972013</v>
      </c>
    </row>
    <row r="128" spans="2:10">
      <c r="B128" s="13" t="s">
        <v>29</v>
      </c>
      <c r="F128" s="85">
        <f ca="1">F152</f>
        <v>0</v>
      </c>
      <c r="G128" s="85">
        <f ca="1">G152</f>
        <v>0</v>
      </c>
      <c r="H128" s="85">
        <f ca="1">H152</f>
        <v>0</v>
      </c>
      <c r="I128" s="85">
        <f ca="1">I152</f>
        <v>0</v>
      </c>
      <c r="J128" s="85">
        <f ca="1">J152</f>
        <v>0</v>
      </c>
    </row>
    <row r="129" spans="2:10">
      <c r="B129" s="149" t="s">
        <v>100</v>
      </c>
      <c r="C129" s="30"/>
      <c r="D129" s="30"/>
      <c r="E129" s="30"/>
      <c r="F129" s="108">
        <f ca="1">SUM(F127:F128)</f>
        <v>86.505048391785806</v>
      </c>
      <c r="G129" s="108">
        <f ca="1">SUM(G127:G128)</f>
        <v>339.02826098057614</v>
      </c>
      <c r="H129" s="108">
        <f ca="1">SUM(H127:H128)</f>
        <v>428.44792021250629</v>
      </c>
      <c r="I129" s="108">
        <f ca="1">SUM(I127:I128)</f>
        <v>492.72214130310005</v>
      </c>
      <c r="J129" s="108">
        <f ca="1">SUM(J127:J128)</f>
        <v>584.00608791972013</v>
      </c>
    </row>
    <row r="130" spans="2:10">
      <c r="B130" s="46" t="s">
        <v>102</v>
      </c>
      <c r="F130" s="85">
        <f ca="1">-(F160)</f>
        <v>-86.505048391785806</v>
      </c>
      <c r="G130" s="85">
        <f ca="1">-(G160)</f>
        <v>-339.02826098057568</v>
      </c>
      <c r="H130" s="85">
        <f ca="1">-(H160)</f>
        <v>-428.44792021248412</v>
      </c>
      <c r="I130" s="85">
        <f ca="1">-(I160)</f>
        <v>-492.72214134095583</v>
      </c>
      <c r="J130" s="85">
        <f ca="1">-(J160)</f>
        <v>-584.00607936391089</v>
      </c>
    </row>
    <row r="131" spans="2:10">
      <c r="B131" s="46" t="s">
        <v>104</v>
      </c>
      <c r="F131" s="85">
        <f ca="1">-(F168)</f>
        <v>-1.1368683772161603E-13</v>
      </c>
      <c r="G131" s="85">
        <f ca="1">-(G168)</f>
        <v>1.8189894035458565E-12</v>
      </c>
      <c r="H131" s="85">
        <f ca="1">-(H168)</f>
        <v>1.1766587704187259E-10</v>
      </c>
      <c r="I131" s="85">
        <f ca="1">-(I168)</f>
        <v>-1.6147794212884037E-7</v>
      </c>
      <c r="J131" s="85">
        <f ca="1">-(J168)</f>
        <v>3.4856071465583227E-5</v>
      </c>
    </row>
    <row r="132" spans="2:10">
      <c r="B132" s="30" t="s">
        <v>41</v>
      </c>
      <c r="F132" s="172">
        <f ca="1">SUM(F129:F131)</f>
        <v>-1.1368683772161603E-13</v>
      </c>
      <c r="G132" s="172">
        <f ca="1">SUM(G129:G131)</f>
        <v>2.2737367544323206E-12</v>
      </c>
      <c r="H132" s="172">
        <f ca="1">SUM(H129:H131)</f>
        <v>1.3983481039758772E-10</v>
      </c>
      <c r="I132" s="172">
        <f ca="1">SUM(I129:I131)</f>
        <v>-1.9933372641389724E-7</v>
      </c>
      <c r="J132" s="172">
        <f ca="1">SUM(J129:J131)</f>
        <v>4.3411880710664263E-5</v>
      </c>
    </row>
    <row r="133" spans="2:10">
      <c r="B133" s="30"/>
      <c r="F133" s="59"/>
      <c r="G133" s="59"/>
      <c r="H133" s="59"/>
      <c r="I133" s="59"/>
      <c r="J133" s="59"/>
    </row>
    <row r="134" spans="2:10">
      <c r="B134" s="95" t="s">
        <v>107</v>
      </c>
      <c r="C134" s="17"/>
      <c r="D134" s="17"/>
      <c r="E134" s="17"/>
      <c r="F134" s="17"/>
      <c r="G134" s="17"/>
      <c r="H134" s="17"/>
      <c r="I134" s="17"/>
      <c r="J134" s="17"/>
    </row>
    <row r="135" spans="2:10">
      <c r="B135" s="45" t="str">
        <f t="shared" ref="B135:J135" si="25">B39</f>
        <v xml:space="preserve">Fiscal year  </v>
      </c>
      <c r="C135" s="40">
        <f t="shared" si="25"/>
        <v>2011</v>
      </c>
      <c r="D135" s="40">
        <f t="shared" si="25"/>
        <v>2012</v>
      </c>
      <c r="E135" s="40">
        <f t="shared" si="25"/>
        <v>2013</v>
      </c>
      <c r="F135" s="41">
        <f t="shared" si="25"/>
        <v>2014</v>
      </c>
      <c r="G135" s="41">
        <f t="shared" si="25"/>
        <v>2015</v>
      </c>
      <c r="H135" s="41">
        <f t="shared" si="25"/>
        <v>2016</v>
      </c>
      <c r="I135" s="41">
        <f t="shared" si="25"/>
        <v>2017</v>
      </c>
      <c r="J135" s="41">
        <f t="shared" si="25"/>
        <v>2018</v>
      </c>
    </row>
    <row r="136" spans="2:10">
      <c r="B136" s="17" t="str">
        <f t="shared" ref="B136:J136" si="26">B40</f>
        <v>Fiscal year end date</v>
      </c>
      <c r="C136" s="42">
        <f t="shared" si="26"/>
        <v>40633</v>
      </c>
      <c r="D136" s="42">
        <f t="shared" si="26"/>
        <v>40999</v>
      </c>
      <c r="E136" s="42">
        <f t="shared" si="26"/>
        <v>41364</v>
      </c>
      <c r="F136" s="42">
        <f t="shared" si="26"/>
        <v>41729</v>
      </c>
      <c r="G136" s="42">
        <f t="shared" si="26"/>
        <v>42094</v>
      </c>
      <c r="H136" s="42">
        <f t="shared" si="26"/>
        <v>42460</v>
      </c>
      <c r="I136" s="42">
        <f t="shared" si="26"/>
        <v>42825</v>
      </c>
      <c r="J136" s="42">
        <f t="shared" si="26"/>
        <v>43190</v>
      </c>
    </row>
    <row r="137" spans="2:10">
      <c r="B137" s="47"/>
      <c r="C137" s="13"/>
      <c r="D137" s="13"/>
      <c r="E137" s="13"/>
      <c r="F137" s="13"/>
      <c r="G137" s="13"/>
      <c r="H137" s="13"/>
      <c r="I137" s="13"/>
      <c r="J137" s="13"/>
    </row>
    <row r="138" spans="2:10">
      <c r="B138" s="32" t="s">
        <v>105</v>
      </c>
      <c r="F138" s="205">
        <f>D16</f>
        <v>180</v>
      </c>
      <c r="G138" s="82">
        <f ca="1">F140</f>
        <v>180.00000000000023</v>
      </c>
      <c r="H138" s="82">
        <f ca="1">G140</f>
        <v>179.99999999999375</v>
      </c>
      <c r="I138" s="82">
        <f ca="1">H140</f>
        <v>179.99999999952513</v>
      </c>
      <c r="J138" s="82">
        <f ca="1">I140</f>
        <v>180.00000054083762</v>
      </c>
    </row>
    <row r="139" spans="2:10">
      <c r="B139" s="49" t="s">
        <v>31</v>
      </c>
      <c r="F139" s="82">
        <f ca="1">F132</f>
        <v>-1.1368683772161603E-13</v>
      </c>
      <c r="G139" s="82">
        <f ca="1">G132</f>
        <v>2.2737367544323206E-12</v>
      </c>
      <c r="H139" s="82">
        <f ca="1">H132</f>
        <v>1.3983481039758772E-10</v>
      </c>
      <c r="I139" s="82">
        <f ca="1">I132</f>
        <v>-1.9933372641389724E-7</v>
      </c>
      <c r="J139" s="82">
        <f ca="1">J132</f>
        <v>4.3411880710664263E-5</v>
      </c>
    </row>
    <row r="140" spans="2:10">
      <c r="B140" s="60" t="s">
        <v>106</v>
      </c>
      <c r="C140" s="30"/>
      <c r="D140" s="164">
        <f>1496.9+86.1+52.6</f>
        <v>1635.6</v>
      </c>
      <c r="E140" s="164">
        <f>1379.2+131.2+71.5</f>
        <v>1581.9</v>
      </c>
      <c r="F140" s="172">
        <f ca="1">SUM(F138:F139)</f>
        <v>179.99999999999989</v>
      </c>
      <c r="G140" s="172">
        <f ca="1">SUM(G138:G139)</f>
        <v>180.0000000000025</v>
      </c>
      <c r="H140" s="172">
        <f ca="1">SUM(H138:H139)</f>
        <v>180.00000000013358</v>
      </c>
      <c r="I140" s="172">
        <f ca="1">SUM(I138:I139)</f>
        <v>179.9999998001914</v>
      </c>
      <c r="J140" s="172">
        <f ca="1">SUM(J138:J139)</f>
        <v>180.00004395271833</v>
      </c>
    </row>
    <row r="141" spans="2:10">
      <c r="B141" s="32" t="s">
        <v>48</v>
      </c>
      <c r="D141" s="159">
        <f>D142/AVERAGE(C140:D140)</f>
        <v>6.4808021521154321E-3</v>
      </c>
      <c r="E141" s="159">
        <f>E142/AVERAGE(D140:E140)</f>
        <v>5.1592851592851601E-3</v>
      </c>
      <c r="F141" s="61">
        <f>E141</f>
        <v>5.1592851592851601E-3</v>
      </c>
      <c r="G141" s="61">
        <f>F141</f>
        <v>5.1592851592851601E-3</v>
      </c>
      <c r="H141" s="61">
        <f>G141</f>
        <v>5.1592851592851601E-3</v>
      </c>
      <c r="I141" s="61">
        <f>H141</f>
        <v>5.1592851592851601E-3</v>
      </c>
      <c r="J141" s="61">
        <f>I141</f>
        <v>5.1592851592851601E-3</v>
      </c>
    </row>
    <row r="142" spans="2:10">
      <c r="B142" s="32" t="s">
        <v>13</v>
      </c>
      <c r="C142" s="43"/>
      <c r="D142" s="82">
        <f>D48</f>
        <v>10.6</v>
      </c>
      <c r="E142" s="82">
        <f>E48</f>
        <v>8.3000000000000007</v>
      </c>
      <c r="F142" s="306">
        <f ca="1">IF($D$10="OFF",AVERAGE(F138,F140)*F141,0)</f>
        <v>0.92867132867132851</v>
      </c>
      <c r="G142" s="306">
        <f ca="1">IF($D$10="OFF",AVERAGE(G138,G140)*G141,0)</f>
        <v>0.92867132867133584</v>
      </c>
      <c r="H142" s="306">
        <f ca="1">IF($D$10="OFF",AVERAGE(H138,H140)*H141,0)</f>
        <v>0.92867132867165725</v>
      </c>
      <c r="I142" s="306">
        <f ca="1">IF($D$10="OFF",AVERAGE(I138,I140)*I141,0)</f>
        <v>0.92867132815466902</v>
      </c>
      <c r="J142" s="306">
        <f ca="1">IF($D$10="OFF",AVERAGE(J138,J140)*J141,0)</f>
        <v>0.92867144344880026</v>
      </c>
    </row>
    <row r="143" spans="2:10">
      <c r="B143" s="32"/>
      <c r="C143" s="43"/>
      <c r="D143" s="43"/>
      <c r="E143" s="43"/>
      <c r="F143" s="62"/>
      <c r="G143" s="62"/>
      <c r="H143" s="62"/>
      <c r="I143" s="62"/>
      <c r="J143" s="62"/>
    </row>
    <row r="144" spans="2:10">
      <c r="B144" s="31" t="s">
        <v>29</v>
      </c>
      <c r="C144" s="27"/>
      <c r="D144" s="141"/>
      <c r="E144" s="141"/>
      <c r="F144" s="84"/>
      <c r="G144" s="84"/>
      <c r="H144" s="84"/>
      <c r="I144" s="84"/>
      <c r="J144" s="84"/>
    </row>
    <row r="145" spans="2:10">
      <c r="B145" s="68" t="s">
        <v>110</v>
      </c>
      <c r="C145" s="27"/>
      <c r="D145" s="27"/>
      <c r="E145" s="27"/>
      <c r="F145" s="206">
        <f>F138</f>
        <v>180</v>
      </c>
      <c r="G145" s="206">
        <f ca="1">F140</f>
        <v>179.99999999999989</v>
      </c>
      <c r="H145" s="206">
        <f ca="1">G140</f>
        <v>180.0000000000025</v>
      </c>
      <c r="I145" s="206">
        <f ca="1">H140</f>
        <v>180.00000000013358</v>
      </c>
      <c r="J145" s="206">
        <f ca="1">I140</f>
        <v>179.9999998001914</v>
      </c>
    </row>
    <row r="146" spans="2:10">
      <c r="B146" s="68" t="s">
        <v>44</v>
      </c>
      <c r="C146" s="27"/>
      <c r="D146" s="27"/>
      <c r="E146" s="27"/>
      <c r="F146" s="207">
        <f>D16</f>
        <v>180</v>
      </c>
      <c r="G146" s="207">
        <f>F146</f>
        <v>180</v>
      </c>
      <c r="H146" s="207">
        <f t="shared" ref="H146:J146" si="27">G146</f>
        <v>180</v>
      </c>
      <c r="I146" s="207">
        <f t="shared" si="27"/>
        <v>180</v>
      </c>
      <c r="J146" s="207">
        <f t="shared" si="27"/>
        <v>180</v>
      </c>
    </row>
    <row r="147" spans="2:10">
      <c r="B147" s="68" t="s">
        <v>45</v>
      </c>
      <c r="C147" s="27"/>
      <c r="D147" s="27"/>
      <c r="E147" s="27"/>
      <c r="F147" s="206">
        <f>F145-F146</f>
        <v>0</v>
      </c>
      <c r="G147" s="206">
        <f ca="1">G145-G146</f>
        <v>0</v>
      </c>
      <c r="H147" s="206">
        <f ca="1">H145-H146</f>
        <v>2.5011104298755527E-12</v>
      </c>
      <c r="I147" s="206">
        <f ca="1">I145-I146</f>
        <v>1.3358203432289883E-10</v>
      </c>
      <c r="J147" s="206">
        <f ca="1">J145-J146</f>
        <v>-1.9980859633506043E-7</v>
      </c>
    </row>
    <row r="148" spans="2:10">
      <c r="B148" s="143" t="s">
        <v>46</v>
      </c>
      <c r="C148" s="36"/>
      <c r="D148" s="36"/>
      <c r="E148" s="36"/>
      <c r="F148" s="208">
        <f ca="1">F127</f>
        <v>86.505048391785806</v>
      </c>
      <c r="G148" s="208">
        <f ca="1">G127</f>
        <v>339.02826098057614</v>
      </c>
      <c r="H148" s="208">
        <f ca="1">H127</f>
        <v>428.44792021250629</v>
      </c>
      <c r="I148" s="208">
        <f ca="1">I127</f>
        <v>492.72214130310005</v>
      </c>
      <c r="J148" s="208">
        <f ca="1">J127</f>
        <v>584.00608791972013</v>
      </c>
    </row>
    <row r="149" spans="2:10">
      <c r="B149" s="135" t="s">
        <v>111</v>
      </c>
      <c r="C149" s="73"/>
      <c r="D149" s="73"/>
      <c r="E149" s="73"/>
      <c r="F149" s="209">
        <f ca="1">SUM(F147:F148)</f>
        <v>86.505048391785806</v>
      </c>
      <c r="G149" s="209">
        <f ca="1">SUM(G147:G148)</f>
        <v>339.02826098057614</v>
      </c>
      <c r="H149" s="209">
        <f ca="1">SUM(H147:H148)</f>
        <v>428.44792021250879</v>
      </c>
      <c r="I149" s="209">
        <f ca="1">SUM(I147:I148)</f>
        <v>492.72214130323363</v>
      </c>
      <c r="J149" s="209">
        <f ca="1">SUM(J147:J148)</f>
        <v>584.00608771991153</v>
      </c>
    </row>
    <row r="150" spans="2:10">
      <c r="B150" s="27"/>
      <c r="C150" s="27"/>
      <c r="D150" s="27"/>
      <c r="E150" s="27"/>
      <c r="F150" s="27"/>
      <c r="G150" s="27"/>
      <c r="H150" s="27"/>
      <c r="I150" s="27"/>
      <c r="J150" s="27"/>
    </row>
    <row r="151" spans="2:10">
      <c r="B151" s="35" t="s">
        <v>108</v>
      </c>
      <c r="C151" s="27"/>
      <c r="D151" s="27"/>
      <c r="E151" s="27"/>
      <c r="F151" s="210">
        <f>D28</f>
        <v>0</v>
      </c>
      <c r="G151" s="206">
        <f ca="1">F153</f>
        <v>0</v>
      </c>
      <c r="H151" s="206">
        <f ca="1">G153</f>
        <v>0</v>
      </c>
      <c r="I151" s="206">
        <f ca="1">H153</f>
        <v>0</v>
      </c>
      <c r="J151" s="206">
        <f ca="1">I153</f>
        <v>0</v>
      </c>
    </row>
    <row r="152" spans="2:10">
      <c r="B152" s="137" t="s">
        <v>31</v>
      </c>
      <c r="C152" s="27"/>
      <c r="D152" s="27"/>
      <c r="E152" s="27"/>
      <c r="F152" s="206">
        <f ca="1">-MIN(F149,F151)</f>
        <v>0</v>
      </c>
      <c r="G152" s="206">
        <f ca="1">-MIN(G149,G151)</f>
        <v>0</v>
      </c>
      <c r="H152" s="206">
        <f ca="1">-MIN(H149,H151)</f>
        <v>0</v>
      </c>
      <c r="I152" s="206">
        <f ca="1">-MIN(I149,I151)</f>
        <v>0</v>
      </c>
      <c r="J152" s="206">
        <f ca="1">-MIN(J149,J151)</f>
        <v>0</v>
      </c>
    </row>
    <row r="153" spans="2:10">
      <c r="B153" s="138" t="s">
        <v>109</v>
      </c>
      <c r="C153" s="27"/>
      <c r="D153" s="27"/>
      <c r="E153" s="27"/>
      <c r="F153" s="211">
        <f ca="1">SUM(F151:F152)</f>
        <v>0</v>
      </c>
      <c r="G153" s="211">
        <f ca="1">SUM(G151:G152)</f>
        <v>0</v>
      </c>
      <c r="H153" s="211">
        <f ca="1">SUM(H151:H152)</f>
        <v>0</v>
      </c>
      <c r="I153" s="211">
        <f ca="1">SUM(I151:I152)</f>
        <v>0</v>
      </c>
      <c r="J153" s="211">
        <f ca="1">SUM(J151:J152)</f>
        <v>0</v>
      </c>
    </row>
    <row r="154" spans="2:10">
      <c r="B154" s="135" t="s">
        <v>42</v>
      </c>
      <c r="C154" s="27"/>
      <c r="D154" s="139" t="s">
        <v>147</v>
      </c>
      <c r="E154" s="139" t="s">
        <v>148</v>
      </c>
      <c r="F154" s="209">
        <f>$D$155*F74+$E$155*F76</f>
        <v>510.74662499999999</v>
      </c>
      <c r="G154" s="209">
        <f t="shared" ref="G154:J154" si="28">$D$155*G74+$E$155*G76</f>
        <v>538.83768937500008</v>
      </c>
      <c r="H154" s="209">
        <f t="shared" si="28"/>
        <v>571.16795073750006</v>
      </c>
      <c r="I154" s="209">
        <f t="shared" si="28"/>
        <v>599.72634827437514</v>
      </c>
      <c r="J154" s="209">
        <f t="shared" si="28"/>
        <v>628.51321299154506</v>
      </c>
    </row>
    <row r="155" spans="2:10">
      <c r="B155" s="135" t="s">
        <v>43</v>
      </c>
      <c r="C155" s="27"/>
      <c r="D155" s="140">
        <v>0.8</v>
      </c>
      <c r="E155" s="140">
        <v>0.65</v>
      </c>
      <c r="F155" s="144" t="str">
        <f ca="1">IF(F153&gt;F154,"OVERDRAWN","OK")</f>
        <v>OK</v>
      </c>
      <c r="G155" s="144" t="str">
        <f t="shared" ref="G155:J155" ca="1" si="29">IF(G153&gt;G154,"OVERDRAWN","OK")</f>
        <v>OK</v>
      </c>
      <c r="H155" s="144" t="str">
        <f t="shared" ca="1" si="29"/>
        <v>OK</v>
      </c>
      <c r="I155" s="144" t="str">
        <f t="shared" ca="1" si="29"/>
        <v>OK</v>
      </c>
      <c r="J155" s="144" t="str">
        <f t="shared" ca="1" si="29"/>
        <v>OK</v>
      </c>
    </row>
    <row r="156" spans="2:10">
      <c r="B156" s="27"/>
      <c r="C156" s="27"/>
      <c r="D156" s="27"/>
      <c r="E156" s="27"/>
      <c r="F156" s="27"/>
      <c r="G156" s="27"/>
      <c r="H156" s="27"/>
      <c r="I156" s="27"/>
      <c r="J156" s="27"/>
    </row>
    <row r="157" spans="2:10">
      <c r="B157" s="31" t="s">
        <v>86</v>
      </c>
      <c r="C157" s="27"/>
      <c r="D157" s="27"/>
      <c r="E157" s="27"/>
      <c r="F157" s="27"/>
      <c r="G157" s="27"/>
      <c r="H157" s="27"/>
      <c r="I157" s="27"/>
      <c r="J157" s="27"/>
    </row>
    <row r="158" spans="2:10">
      <c r="B158" s="35" t="s">
        <v>90</v>
      </c>
      <c r="C158" s="27"/>
      <c r="D158" s="27"/>
      <c r="E158" s="27"/>
      <c r="F158" s="210">
        <f>D29</f>
        <v>2886.429000000001</v>
      </c>
      <c r="G158" s="206">
        <f ca="1">F161</f>
        <v>2511.281051608215</v>
      </c>
      <c r="H158" s="206">
        <f ca="1">G161</f>
        <v>2027.9313406276394</v>
      </c>
      <c r="I158" s="206">
        <f ca="1">H161</f>
        <v>1455.1619704151533</v>
      </c>
      <c r="J158" s="206">
        <f ca="1">I161</f>
        <v>818.11837907408471</v>
      </c>
    </row>
    <row r="159" spans="2:10">
      <c r="B159" s="35" t="s">
        <v>99</v>
      </c>
      <c r="C159" s="27"/>
      <c r="D159" s="27"/>
      <c r="E159" s="27"/>
      <c r="F159" s="207">
        <f>MIN(F162*$F$158,F158)</f>
        <v>288.64290000000011</v>
      </c>
      <c r="G159" s="207">
        <f ca="1">MIN(G162*$F$158,G158)</f>
        <v>144.32145000000006</v>
      </c>
      <c r="H159" s="207">
        <f ca="1">MIN(H162*$F$158,H158)</f>
        <v>144.32145000000006</v>
      </c>
      <c r="I159" s="207">
        <f ca="1">MIN(I162*$F$158,I158)</f>
        <v>144.32145000000006</v>
      </c>
      <c r="J159" s="207">
        <f ca="1">MIN(J162*$F$158,J158)</f>
        <v>144.32145000000006</v>
      </c>
    </row>
    <row r="160" spans="2:10">
      <c r="B160" s="35" t="s">
        <v>101</v>
      </c>
      <c r="C160" s="27"/>
      <c r="D160" s="27"/>
      <c r="E160" s="27"/>
      <c r="F160" s="207">
        <f ca="1">MIN(F158-F159,F163)</f>
        <v>86.505048391785806</v>
      </c>
      <c r="G160" s="207">
        <f ca="1">MIN(G158-G159,G163)</f>
        <v>339.02826098057659</v>
      </c>
      <c r="H160" s="207">
        <f ca="1">MIN(H158-H159,H163)</f>
        <v>428.44792021251652</v>
      </c>
      <c r="I160" s="207">
        <f ca="1">MIN(I158-I159,I163)</f>
        <v>492.72214128134209</v>
      </c>
      <c r="J160" s="207">
        <f ca="1">MIN(J158-J159,J163)</f>
        <v>584.00609313376913</v>
      </c>
    </row>
    <row r="161" spans="2:10">
      <c r="B161" s="138" t="s">
        <v>93</v>
      </c>
      <c r="C161" s="54"/>
      <c r="D161" s="145"/>
      <c r="E161" s="54"/>
      <c r="F161" s="165">
        <f ca="1">F158-F159-F160</f>
        <v>2511.281051608215</v>
      </c>
      <c r="G161" s="165">
        <f ca="1">G158-G159-G160</f>
        <v>2027.9313406276385</v>
      </c>
      <c r="H161" s="165">
        <f ca="1">H158-H159-H160</f>
        <v>1455.1619704151228</v>
      </c>
      <c r="I161" s="165">
        <f ca="1">I158-I159-I160</f>
        <v>818.118379133811</v>
      </c>
      <c r="J161" s="165">
        <f ca="1">J158-J159-J160</f>
        <v>89.79083594031556</v>
      </c>
    </row>
    <row r="162" spans="2:10">
      <c r="B162" s="135" t="s">
        <v>116</v>
      </c>
      <c r="C162" s="73"/>
      <c r="E162" s="141" t="s">
        <v>165</v>
      </c>
      <c r="F162" s="146">
        <v>0.1</v>
      </c>
      <c r="G162" s="146">
        <v>0.05</v>
      </c>
      <c r="H162" s="146">
        <v>0.05</v>
      </c>
      <c r="I162" s="146">
        <v>0.05</v>
      </c>
      <c r="J162" s="146">
        <v>0.05</v>
      </c>
    </row>
    <row r="163" spans="2:10">
      <c r="B163" s="135" t="s">
        <v>164</v>
      </c>
      <c r="C163" s="73"/>
      <c r="E163" s="147">
        <v>1</v>
      </c>
      <c r="F163" s="212">
        <f ca="1">$E$163*(F149+F152)</f>
        <v>86.505048391785806</v>
      </c>
      <c r="G163" s="212">
        <f ca="1">$E$163*(G149+G152)</f>
        <v>339.02826098057614</v>
      </c>
      <c r="H163" s="212">
        <f ca="1">$E$163*(H149+H152)</f>
        <v>428.44792021250879</v>
      </c>
      <c r="I163" s="212">
        <f ca="1">$E$163*(I149+I152)</f>
        <v>492.72214130323363</v>
      </c>
      <c r="J163" s="212">
        <f ca="1">$E$163*(J149+J152)</f>
        <v>584.00608771991153</v>
      </c>
    </row>
    <row r="164" spans="2:10">
      <c r="B164" s="35"/>
      <c r="C164" s="27"/>
      <c r="F164" s="142"/>
      <c r="G164" s="142"/>
      <c r="H164" s="142"/>
      <c r="I164" s="142"/>
      <c r="J164" s="142"/>
    </row>
    <row r="165" spans="2:10">
      <c r="B165" s="31" t="s">
        <v>87</v>
      </c>
      <c r="C165" s="27"/>
      <c r="F165" s="84"/>
      <c r="G165" s="27"/>
      <c r="H165" s="27"/>
      <c r="I165" s="27"/>
      <c r="J165" s="27"/>
    </row>
    <row r="166" spans="2:10">
      <c r="B166" s="35" t="s">
        <v>91</v>
      </c>
      <c r="C166" s="27"/>
      <c r="F166" s="210">
        <f>D30</f>
        <v>670.8520000000002</v>
      </c>
      <c r="G166" s="206">
        <f ca="1">F169</f>
        <v>637.3094000000001</v>
      </c>
      <c r="H166" s="206">
        <f ca="1">G169</f>
        <v>603.76680000000215</v>
      </c>
      <c r="I166" s="206">
        <f ca="1">H169</f>
        <v>570.22420000011277</v>
      </c>
      <c r="J166" s="206">
        <f ca="1">I169</f>
        <v>536.68159983812325</v>
      </c>
    </row>
    <row r="167" spans="2:10">
      <c r="B167" s="35" t="s">
        <v>85</v>
      </c>
      <c r="C167" s="27"/>
      <c r="F167" s="207">
        <f>MIN(F170*$F$166,F166)</f>
        <v>33.542600000000014</v>
      </c>
      <c r="G167" s="207">
        <f ca="1">MIN(G170*$F$166,G166)</f>
        <v>33.542600000000014</v>
      </c>
      <c r="H167" s="207">
        <f ca="1">MIN(H170*$F$166,H166)</f>
        <v>33.542600000000014</v>
      </c>
      <c r="I167" s="207">
        <f ca="1">MIN(I170*$F$166,I166)</f>
        <v>33.542600000000014</v>
      </c>
      <c r="J167" s="207">
        <f ca="1">MIN(J170*$F$166,J166)</f>
        <v>33.542600000000014</v>
      </c>
    </row>
    <row r="168" spans="2:10">
      <c r="B168" s="35" t="s">
        <v>101</v>
      </c>
      <c r="C168" s="27"/>
      <c r="F168" s="207">
        <f ca="1">MIN(F166-F167,F171)</f>
        <v>0</v>
      </c>
      <c r="G168" s="207">
        <f ca="1">MIN(G166-G167,G171)</f>
        <v>9.0949470177292824E-13</v>
      </c>
      <c r="H168" s="207">
        <f ca="1">MIN(H166-H167,H171)</f>
        <v>3.2400748750660568E-11</v>
      </c>
      <c r="I168" s="207">
        <f ca="1">MIN(I166-I167,I171)</f>
        <v>-5.9613739722408354E-8</v>
      </c>
      <c r="J168" s="207">
        <f ca="1">MIN(J166-J167,J171)</f>
        <v>1.376985824208532E-5</v>
      </c>
    </row>
    <row r="169" spans="2:10">
      <c r="B169" s="138" t="s">
        <v>92</v>
      </c>
      <c r="C169" s="54"/>
      <c r="F169" s="165">
        <f ca="1">F166-F167-F168</f>
        <v>637.30940000000021</v>
      </c>
      <c r="G169" s="165">
        <f ca="1">G166-G167-G168</f>
        <v>603.76679999999919</v>
      </c>
      <c r="H169" s="165">
        <f ca="1">H166-H167-H168</f>
        <v>570.22419999996976</v>
      </c>
      <c r="I169" s="165">
        <f ca="1">I166-I167-I168</f>
        <v>536.68160005972652</v>
      </c>
      <c r="J169" s="165">
        <f ca="1">J166-J167-J168</f>
        <v>503.13898606826501</v>
      </c>
    </row>
    <row r="170" spans="2:10">
      <c r="B170" s="135" t="s">
        <v>116</v>
      </c>
      <c r="C170" s="73"/>
      <c r="E170" s="141" t="s">
        <v>165</v>
      </c>
      <c r="F170" s="146">
        <v>0.05</v>
      </c>
      <c r="G170" s="146">
        <v>0.05</v>
      </c>
      <c r="H170" s="146">
        <v>0.05</v>
      </c>
      <c r="I170" s="146">
        <v>0.05</v>
      </c>
      <c r="J170" s="146">
        <v>0.05</v>
      </c>
    </row>
    <row r="171" spans="2:10">
      <c r="B171" s="135" t="s">
        <v>133</v>
      </c>
      <c r="C171" s="73"/>
      <c r="E171" s="147">
        <v>1</v>
      </c>
      <c r="F171" s="213">
        <f ca="1">$E$171*(F149+F152-F160)</f>
        <v>0</v>
      </c>
      <c r="G171" s="213">
        <f ca="1">$E$171*(G149+G152-G160)</f>
        <v>-4.5474735088646412E-13</v>
      </c>
      <c r="H171" s="213">
        <f ca="1">$E$171*(H149+H152-H160)</f>
        <v>-7.73070496506989E-12</v>
      </c>
      <c r="I171" s="213">
        <f ca="1">$E$171*(I149+I152-I160)</f>
        <v>2.1891537471674383E-8</v>
      </c>
      <c r="J171" s="213">
        <f ca="1">$E$171*(J149+J152-J160)</f>
        <v>-5.413857593339344E-6</v>
      </c>
    </row>
    <row r="172" spans="2:10">
      <c r="B172" s="90"/>
      <c r="C172" s="66"/>
      <c r="D172" s="66"/>
      <c r="E172" s="66"/>
      <c r="F172" s="98"/>
      <c r="G172" s="98"/>
      <c r="H172" s="98"/>
      <c r="I172" s="98"/>
      <c r="J172" s="98"/>
    </row>
    <row r="173" spans="2:10">
      <c r="B173" s="31" t="s">
        <v>88</v>
      </c>
      <c r="F173" s="43"/>
    </row>
    <row r="174" spans="2:10">
      <c r="B174" s="32" t="s">
        <v>95</v>
      </c>
      <c r="F174" s="205">
        <f>D31</f>
        <v>1632.9950000000006</v>
      </c>
      <c r="G174" s="82">
        <f>F176</f>
        <v>1632.9950000000006</v>
      </c>
      <c r="H174" s="82">
        <f t="shared" ref="H174:J174" si="30">G176</f>
        <v>1632.9950000000006</v>
      </c>
      <c r="I174" s="82">
        <f t="shared" si="30"/>
        <v>1632.9950000000006</v>
      </c>
      <c r="J174" s="82">
        <f t="shared" si="30"/>
        <v>1632.9950000000006</v>
      </c>
    </row>
    <row r="175" spans="2:10">
      <c r="B175" s="32" t="s">
        <v>85</v>
      </c>
      <c r="F175" s="173">
        <f>MIN(F177*$F$174,F174)</f>
        <v>0</v>
      </c>
      <c r="G175" s="173">
        <f>MIN(G177*$F$174,G174)</f>
        <v>0</v>
      </c>
      <c r="H175" s="173">
        <f>MIN(H177*$F$174,H174)</f>
        <v>0</v>
      </c>
      <c r="I175" s="173">
        <f>MIN(I177*$F$174,I174)</f>
        <v>0</v>
      </c>
      <c r="J175" s="173">
        <f>MIN(J177*$F$174,J174)</f>
        <v>0</v>
      </c>
    </row>
    <row r="176" spans="2:10">
      <c r="B176" s="60" t="s">
        <v>94</v>
      </c>
      <c r="C176" s="30"/>
      <c r="D176" s="30"/>
      <c r="E176" s="30"/>
      <c r="F176" s="170">
        <f>F174-F175</f>
        <v>1632.9950000000006</v>
      </c>
      <c r="G176" s="170">
        <f>G174-G175</f>
        <v>1632.9950000000006</v>
      </c>
      <c r="H176" s="170">
        <f>H174-H175</f>
        <v>1632.9950000000006</v>
      </c>
      <c r="I176" s="170">
        <f>I174-I175</f>
        <v>1632.9950000000006</v>
      </c>
      <c r="J176" s="170">
        <f>J174-J175</f>
        <v>1632.9950000000006</v>
      </c>
    </row>
    <row r="177" spans="2:10">
      <c r="B177" s="90" t="s">
        <v>116</v>
      </c>
      <c r="F177" s="94">
        <v>0</v>
      </c>
      <c r="G177" s="94">
        <v>0</v>
      </c>
      <c r="H177" s="94">
        <v>0</v>
      </c>
      <c r="I177" s="94">
        <v>0</v>
      </c>
      <c r="J177" s="94">
        <v>0</v>
      </c>
    </row>
    <row r="178" spans="2:10">
      <c r="B178" s="90"/>
      <c r="F178" s="94"/>
      <c r="G178" s="94"/>
      <c r="H178" s="94"/>
      <c r="I178" s="94"/>
      <c r="J178" s="94"/>
    </row>
    <row r="179" spans="2:10">
      <c r="B179" s="31" t="s">
        <v>89</v>
      </c>
      <c r="F179" s="43"/>
    </row>
    <row r="180" spans="2:10">
      <c r="B180" s="32" t="s">
        <v>97</v>
      </c>
      <c r="F180" s="205">
        <f>D32</f>
        <v>0</v>
      </c>
      <c r="G180" s="82">
        <f>F183</f>
        <v>0</v>
      </c>
      <c r="H180" s="82">
        <f t="shared" ref="H180:J180" si="31">G183</f>
        <v>0</v>
      </c>
      <c r="I180" s="82">
        <f t="shared" si="31"/>
        <v>0</v>
      </c>
      <c r="J180" s="82">
        <f t="shared" si="31"/>
        <v>0</v>
      </c>
    </row>
    <row r="181" spans="2:10">
      <c r="B181" s="32" t="s">
        <v>85</v>
      </c>
      <c r="D181" s="76"/>
      <c r="F181" s="173">
        <f>F184*$F$180</f>
        <v>0</v>
      </c>
      <c r="G181" s="173">
        <f>G184*$F$180</f>
        <v>0</v>
      </c>
      <c r="H181" s="173">
        <f>H184*$F$180</f>
        <v>0</v>
      </c>
      <c r="I181" s="173">
        <f>I184*$F$180</f>
        <v>0</v>
      </c>
      <c r="J181" s="173">
        <f>J184*$F$180</f>
        <v>0</v>
      </c>
    </row>
    <row r="182" spans="2:10">
      <c r="B182" s="93" t="s">
        <v>144</v>
      </c>
      <c r="F182" s="173">
        <f>$E$208*F180</f>
        <v>0</v>
      </c>
      <c r="G182" s="173">
        <f>$E$208*G180</f>
        <v>0</v>
      </c>
      <c r="H182" s="173">
        <f>$E$208*H180</f>
        <v>0</v>
      </c>
      <c r="I182" s="173">
        <f>$E$208*I180</f>
        <v>0</v>
      </c>
      <c r="J182" s="173">
        <f>$E$208*J180</f>
        <v>0</v>
      </c>
    </row>
    <row r="183" spans="2:10">
      <c r="B183" s="60" t="s">
        <v>96</v>
      </c>
      <c r="C183" s="30"/>
      <c r="D183" s="55"/>
      <c r="E183" s="30"/>
      <c r="F183" s="170">
        <f>F180-F181+F182</f>
        <v>0</v>
      </c>
      <c r="G183" s="170">
        <f t="shared" ref="G183:J183" si="32">G180-G181+G182</f>
        <v>0</v>
      </c>
      <c r="H183" s="170">
        <f t="shared" si="32"/>
        <v>0</v>
      </c>
      <c r="I183" s="170">
        <f t="shared" si="32"/>
        <v>0</v>
      </c>
      <c r="J183" s="170">
        <f t="shared" si="32"/>
        <v>0</v>
      </c>
    </row>
    <row r="184" spans="2:10">
      <c r="B184" s="90" t="s">
        <v>116</v>
      </c>
      <c r="F184" s="94">
        <v>0</v>
      </c>
      <c r="G184" s="94">
        <v>0</v>
      </c>
      <c r="H184" s="94">
        <v>0</v>
      </c>
      <c r="I184" s="94">
        <v>0</v>
      </c>
      <c r="J184" s="94">
        <v>0</v>
      </c>
    </row>
    <row r="185" spans="2:10">
      <c r="B185" s="90"/>
      <c r="F185" s="94"/>
      <c r="G185" s="94"/>
      <c r="H185" s="94"/>
      <c r="I185" s="94"/>
      <c r="J185" s="94"/>
    </row>
    <row r="186" spans="2:10">
      <c r="B186" s="31" t="s">
        <v>114</v>
      </c>
      <c r="D186" s="107"/>
      <c r="E186" s="76"/>
      <c r="F186" s="94"/>
      <c r="G186" s="94"/>
      <c r="H186" s="94"/>
      <c r="I186" s="94"/>
      <c r="J186" s="94"/>
    </row>
    <row r="187" spans="2:10">
      <c r="B187" s="32" t="s">
        <v>115</v>
      </c>
      <c r="F187" s="214">
        <f>D33</f>
        <v>0</v>
      </c>
      <c r="G187" s="82">
        <f>F189</f>
        <v>0</v>
      </c>
      <c r="H187" s="82">
        <f t="shared" ref="H187:J187" si="33">G189</f>
        <v>0</v>
      </c>
      <c r="I187" s="82">
        <f t="shared" si="33"/>
        <v>0</v>
      </c>
      <c r="J187" s="82">
        <f t="shared" si="33"/>
        <v>0</v>
      </c>
    </row>
    <row r="188" spans="2:10">
      <c r="B188" s="93" t="s">
        <v>34</v>
      </c>
      <c r="F188" s="173">
        <f>$C$190*F187</f>
        <v>0</v>
      </c>
      <c r="G188" s="173">
        <f>$C$190*G187</f>
        <v>0</v>
      </c>
      <c r="H188" s="173">
        <f>$C$190*H187</f>
        <v>0</v>
      </c>
      <c r="I188" s="173">
        <f>$C$190*I187</f>
        <v>0</v>
      </c>
      <c r="J188" s="173">
        <f>$C$190*J187</f>
        <v>0</v>
      </c>
    </row>
    <row r="189" spans="2:10">
      <c r="B189" s="30" t="s">
        <v>117</v>
      </c>
      <c r="C189" s="76" t="s">
        <v>142</v>
      </c>
      <c r="D189" s="76" t="s">
        <v>143</v>
      </c>
      <c r="E189" s="30"/>
      <c r="F189" s="170">
        <f>F187+F188</f>
        <v>0</v>
      </c>
      <c r="G189" s="170">
        <f>G187+G188</f>
        <v>0</v>
      </c>
      <c r="H189" s="170">
        <f>H187+H188</f>
        <v>0</v>
      </c>
      <c r="I189" s="170">
        <f>I187+I188</f>
        <v>0</v>
      </c>
      <c r="J189" s="170">
        <f>J187+J188</f>
        <v>0</v>
      </c>
    </row>
    <row r="190" spans="2:10">
      <c r="B190" s="93" t="s">
        <v>149</v>
      </c>
      <c r="C190" s="92">
        <v>0.04</v>
      </c>
      <c r="D190" s="55">
        <v>0.08</v>
      </c>
      <c r="F190" s="82">
        <f>$D$190*F189</f>
        <v>0</v>
      </c>
      <c r="G190" s="82">
        <f>$D$190*G189</f>
        <v>0</v>
      </c>
      <c r="H190" s="82">
        <f>$D$190*H189</f>
        <v>0</v>
      </c>
      <c r="I190" s="82">
        <f>$D$190*I189</f>
        <v>0</v>
      </c>
      <c r="J190" s="82">
        <f>$D$190*J189</f>
        <v>0</v>
      </c>
    </row>
    <row r="191" spans="2:10">
      <c r="B191" s="93"/>
      <c r="F191" s="43"/>
    </row>
    <row r="192" spans="2:10">
      <c r="B192" s="186" t="s">
        <v>213</v>
      </c>
      <c r="F192" s="43"/>
    </row>
    <row r="193" spans="2:10">
      <c r="B193" s="32" t="s">
        <v>215</v>
      </c>
      <c r="C193" s="85"/>
      <c r="D193" s="228"/>
      <c r="E193" s="228"/>
      <c r="F193" s="205">
        <f>H33</f>
        <v>69.689165000000031</v>
      </c>
      <c r="G193" s="82">
        <f>F195</f>
        <v>60.02517625000003</v>
      </c>
      <c r="H193" s="82">
        <f t="shared" ref="H193:J193" si="34">G195</f>
        <v>50.361187500000028</v>
      </c>
      <c r="I193" s="82">
        <f t="shared" si="34"/>
        <v>40.697198750000027</v>
      </c>
      <c r="J193" s="82">
        <f t="shared" si="34"/>
        <v>31.033210000000025</v>
      </c>
    </row>
    <row r="194" spans="2:10">
      <c r="B194" s="32" t="s">
        <v>79</v>
      </c>
      <c r="C194" s="85"/>
      <c r="D194" s="85"/>
      <c r="E194" s="85"/>
      <c r="F194" s="82">
        <f>-(SUM($J$28:$J$32))</f>
        <v>-9.6639887500000032</v>
      </c>
      <c r="G194" s="82">
        <f>-(SUM($J$28:$J$32))</f>
        <v>-9.6639887500000032</v>
      </c>
      <c r="H194" s="82">
        <f>-(SUM($J$28:$J$32))</f>
        <v>-9.6639887500000032</v>
      </c>
      <c r="I194" s="82">
        <f>-(SUM($J$28:$J$32))</f>
        <v>-9.6639887500000032</v>
      </c>
      <c r="J194" s="82">
        <f>-(SUM($J$28:$J$32))</f>
        <v>-9.6639887500000032</v>
      </c>
    </row>
    <row r="195" spans="2:10">
      <c r="B195" s="30" t="s">
        <v>216</v>
      </c>
      <c r="C195" s="85"/>
      <c r="D195" s="85"/>
      <c r="E195" s="85"/>
      <c r="F195" s="172">
        <f>F193+F194</f>
        <v>60.02517625000003</v>
      </c>
      <c r="G195" s="172">
        <f t="shared" ref="G195:J195" si="35">G193+G194</f>
        <v>50.361187500000028</v>
      </c>
      <c r="H195" s="172">
        <f t="shared" si="35"/>
        <v>40.697198750000027</v>
      </c>
      <c r="I195" s="172">
        <f t="shared" si="35"/>
        <v>31.033210000000025</v>
      </c>
      <c r="J195" s="172">
        <f t="shared" si="35"/>
        <v>21.369221250000024</v>
      </c>
    </row>
    <row r="196" spans="2:10">
      <c r="B196" s="93"/>
      <c r="F196" s="43"/>
    </row>
    <row r="197" spans="2:10">
      <c r="B197" s="15" t="s">
        <v>189</v>
      </c>
      <c r="C197" s="17"/>
      <c r="D197" s="17"/>
      <c r="E197" s="17"/>
      <c r="F197" s="17"/>
      <c r="G197" s="17"/>
      <c r="H197" s="17"/>
      <c r="I197" s="17"/>
      <c r="J197" s="17"/>
    </row>
    <row r="198" spans="2:10">
      <c r="B198" s="13" t="s">
        <v>5</v>
      </c>
      <c r="C198" s="18">
        <f>C$39</f>
        <v>2011</v>
      </c>
      <c r="D198" s="18">
        <f>D$39</f>
        <v>2012</v>
      </c>
      <c r="E198" s="18">
        <f t="shared" ref="E198:J198" si="36">E$39</f>
        <v>2013</v>
      </c>
      <c r="F198" s="19">
        <f t="shared" si="36"/>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93" t="s">
        <v>185</v>
      </c>
      <c r="C201" s="179"/>
      <c r="D201" s="23"/>
      <c r="E201" s="13"/>
      <c r="F201" s="180">
        <v>49.08</v>
      </c>
      <c r="G201" s="180">
        <v>82.86</v>
      </c>
      <c r="H201" s="180">
        <v>134.82</v>
      </c>
      <c r="I201" s="180">
        <v>184.42</v>
      </c>
      <c r="J201" s="180">
        <v>221.26</v>
      </c>
    </row>
    <row r="202" spans="2:10">
      <c r="B202" s="32"/>
      <c r="C202" s="76" t="s">
        <v>186</v>
      </c>
      <c r="D202" s="76" t="s">
        <v>187</v>
      </c>
      <c r="E202" s="76" t="s">
        <v>188</v>
      </c>
      <c r="F202" s="177"/>
      <c r="G202" s="177"/>
      <c r="H202" s="177"/>
      <c r="I202" s="177"/>
      <c r="J202" s="177"/>
    </row>
    <row r="203" spans="2:10">
      <c r="B203" s="37" t="s">
        <v>29</v>
      </c>
      <c r="C203" s="181">
        <v>0.04</v>
      </c>
      <c r="D203" s="67">
        <v>0</v>
      </c>
      <c r="E203" s="136"/>
      <c r="F203" s="188">
        <f ca="1">IF($D$10="OFF",($C$203+MAX(F201/10000,$D$203))*AVERAGE(F151,F153),0)</f>
        <v>0</v>
      </c>
      <c r="G203" s="188">
        <f t="shared" ref="G203:J203" ca="1" si="38">IF($D$10="OFF",($C$203+MAX(G201/10000,$D$203))*AVERAGE(G151,G153),0)</f>
        <v>0</v>
      </c>
      <c r="H203" s="188">
        <f t="shared" ca="1" si="38"/>
        <v>0</v>
      </c>
      <c r="I203" s="188">
        <f t="shared" ca="1" si="38"/>
        <v>0</v>
      </c>
      <c r="J203" s="188">
        <f t="shared" ca="1" si="38"/>
        <v>0</v>
      </c>
    </row>
    <row r="204" spans="2:10">
      <c r="B204" s="32" t="s">
        <v>86</v>
      </c>
      <c r="C204" s="181">
        <v>0.04</v>
      </c>
      <c r="D204" s="67">
        <v>0.01</v>
      </c>
      <c r="E204" s="136"/>
      <c r="F204" s="188">
        <f ca="1">IF($D$10="OFF",($C$204+MAX(F201/10000,$D$204))*AVERAGE(F158,F161),0)</f>
        <v>134.94275129020539</v>
      </c>
      <c r="G204" s="188">
        <f t="shared" ref="G204:J204" ca="1" si="39">IF($D$10="OFF",($C$204+MAX(G201/10000,$D$204))*AVERAGE(G158,G161),0)</f>
        <v>113.48030980589634</v>
      </c>
      <c r="H204" s="188">
        <f t="shared" ca="1" si="39"/>
        <v>93.141398230594504</v>
      </c>
      <c r="I204" s="188">
        <f t="shared" ca="1" si="39"/>
        <v>66.427525094170292</v>
      </c>
      <c r="J204" s="188">
        <f t="shared" ca="1" si="39"/>
        <v>28.202383945992317</v>
      </c>
    </row>
    <row r="205" spans="2:10">
      <c r="B205" s="32" t="s">
        <v>87</v>
      </c>
      <c r="C205" s="181">
        <v>0.04</v>
      </c>
      <c r="D205" s="67">
        <v>0</v>
      </c>
      <c r="E205" s="136"/>
      <c r="F205" s="188">
        <f ca="1">IF($D$10="OFF",($C$205+MAX(F201/10000,$D$205))*AVERAGE(F166,F169),0)</f>
        <v>29.373456075600011</v>
      </c>
      <c r="G205" s="188">
        <f t="shared" ref="G205:J205" ca="1" si="40">IF($D$10="OFF",($C$205+MAX(G201/10000,$D$205))*AVERAGE(G166,G169),0)</f>
        <v>29.963302696599985</v>
      </c>
      <c r="H205" s="188">
        <f t="shared" ca="1" si="40"/>
        <v>31.393693330999248</v>
      </c>
      <c r="I205" s="188">
        <f t="shared" ca="1" si="40"/>
        <v>32.344894383548564</v>
      </c>
      <c r="J205" s="188">
        <f t="shared" ca="1" si="40"/>
        <v>32.299946860010138</v>
      </c>
    </row>
    <row r="206" spans="2:10">
      <c r="B206" s="32" t="s">
        <v>88</v>
      </c>
      <c r="C206" s="136"/>
      <c r="D206" s="136"/>
      <c r="E206" s="184">
        <v>8.1250000000000003E-2</v>
      </c>
      <c r="F206" s="82">
        <f>$E$206*AVERAGE(F174,F176)</f>
        <v>132.68084375000007</v>
      </c>
      <c r="G206" s="82">
        <f t="shared" ref="G206:J206" si="41">$E$206*AVERAGE(G174,G176)</f>
        <v>132.68084375000007</v>
      </c>
      <c r="H206" s="82">
        <f t="shared" si="41"/>
        <v>132.68084375000007</v>
      </c>
      <c r="I206" s="82">
        <f t="shared" si="41"/>
        <v>132.68084375000007</v>
      </c>
      <c r="J206" s="82">
        <f t="shared" si="41"/>
        <v>132.68084375000007</v>
      </c>
    </row>
    <row r="207" spans="2:10">
      <c r="B207" s="32" t="s">
        <v>146</v>
      </c>
      <c r="C207" s="136"/>
      <c r="D207" s="136"/>
      <c r="E207" s="184">
        <v>0.08</v>
      </c>
      <c r="F207" s="82">
        <f>$E$207*(F180-F181)</f>
        <v>0</v>
      </c>
      <c r="G207" s="82">
        <f t="shared" ref="G207:J207" si="42">$E$207*(G180-G181)</f>
        <v>0</v>
      </c>
      <c r="H207" s="82">
        <f t="shared" si="42"/>
        <v>0</v>
      </c>
      <c r="I207" s="82">
        <f t="shared" si="42"/>
        <v>0</v>
      </c>
      <c r="J207" s="82">
        <f t="shared" si="42"/>
        <v>0</v>
      </c>
    </row>
    <row r="208" spans="2:10">
      <c r="B208" s="32" t="s">
        <v>145</v>
      </c>
      <c r="C208" s="174"/>
      <c r="D208" s="136"/>
      <c r="E208" s="185">
        <v>0.04</v>
      </c>
      <c r="F208" s="82">
        <f>F182</f>
        <v>0</v>
      </c>
      <c r="G208" s="82">
        <f t="shared" ref="G208:J208" si="43">G182</f>
        <v>0</v>
      </c>
      <c r="H208" s="82">
        <f t="shared" si="43"/>
        <v>0</v>
      </c>
      <c r="I208" s="82">
        <f t="shared" si="43"/>
        <v>0</v>
      </c>
      <c r="J208" s="82">
        <f t="shared" si="43"/>
        <v>0</v>
      </c>
    </row>
    <row r="209" spans="2:10">
      <c r="B209" s="32"/>
      <c r="C209" s="30"/>
      <c r="D209" s="30"/>
      <c r="E209" s="26"/>
      <c r="F209" s="101"/>
      <c r="G209" s="101"/>
      <c r="H209" s="101"/>
      <c r="I209" s="101"/>
      <c r="J209" s="59"/>
    </row>
    <row r="210" spans="2:10">
      <c r="B210" s="15" t="s">
        <v>126</v>
      </c>
      <c r="C210" s="17"/>
      <c r="D210" s="17"/>
      <c r="E210" s="17"/>
      <c r="F210" s="17"/>
      <c r="G210" s="17"/>
      <c r="H210" s="17"/>
      <c r="I210" s="17"/>
      <c r="J210" s="17"/>
    </row>
    <row r="212" spans="2:10">
      <c r="F212" s="284">
        <f>J199</f>
        <v>43190</v>
      </c>
      <c r="G212" s="284"/>
      <c r="H212" s="284"/>
      <c r="I212" s="284"/>
      <c r="J212" s="284"/>
    </row>
    <row r="214" spans="2:10">
      <c r="B214" s="4" t="s">
        <v>136</v>
      </c>
      <c r="C214" s="26"/>
      <c r="D214" s="13"/>
      <c r="E214" s="76" t="s">
        <v>135</v>
      </c>
      <c r="F214" s="133">
        <f>D17-1</f>
        <v>6.3</v>
      </c>
      <c r="G214" s="113">
        <f>F214+$E$215</f>
        <v>6.8</v>
      </c>
      <c r="H214" s="113">
        <f t="shared" ref="H214:J214" si="44">G214+$E$215</f>
        <v>7.3</v>
      </c>
      <c r="I214" s="113">
        <f t="shared" si="44"/>
        <v>7.8</v>
      </c>
      <c r="J214" s="113">
        <f t="shared" si="44"/>
        <v>8.3000000000000007</v>
      </c>
    </row>
    <row r="215" spans="2:10">
      <c r="B215" s="6" t="s">
        <v>69</v>
      </c>
      <c r="E215" s="183">
        <v>0.5</v>
      </c>
      <c r="F215" s="82">
        <f>$J$60</f>
        <v>1226.8741190024368</v>
      </c>
      <c r="G215" s="82">
        <f>F215</f>
        <v>1226.8741190024368</v>
      </c>
      <c r="H215" s="82">
        <f t="shared" ref="H215:J215" si="45">G215</f>
        <v>1226.8741190024368</v>
      </c>
      <c r="I215" s="82">
        <f t="shared" si="45"/>
        <v>1226.8741190024368</v>
      </c>
      <c r="J215" s="82">
        <f t="shared" si="45"/>
        <v>1226.8741190024368</v>
      </c>
    </row>
    <row r="216" spans="2:10">
      <c r="B216" s="30" t="s">
        <v>56</v>
      </c>
      <c r="F216" s="172">
        <f>F214*F215</f>
        <v>7729.3069497153519</v>
      </c>
      <c r="G216" s="172">
        <f>G214*G215</f>
        <v>8342.7440092165707</v>
      </c>
      <c r="H216" s="172">
        <f>H214*H215</f>
        <v>8956.1810687177895</v>
      </c>
      <c r="I216" s="172">
        <f>I214*I215</f>
        <v>9569.6181282190064</v>
      </c>
      <c r="J216" s="172">
        <f>J214*J215</f>
        <v>10183.055187720227</v>
      </c>
    </row>
    <row r="217" spans="2:10">
      <c r="B217" s="99" t="s">
        <v>118</v>
      </c>
      <c r="F217" s="43"/>
    </row>
    <row r="218" spans="2:10">
      <c r="B218" s="100" t="s">
        <v>29</v>
      </c>
      <c r="F218" s="82">
        <f ca="1">J153</f>
        <v>0</v>
      </c>
      <c r="G218" s="82">
        <f t="shared" ref="G218:J220" ca="1" si="46">F218</f>
        <v>0</v>
      </c>
      <c r="H218" s="82">
        <f t="shared" ca="1" si="46"/>
        <v>0</v>
      </c>
      <c r="I218" s="82">
        <f t="shared" ca="1" si="46"/>
        <v>0</v>
      </c>
      <c r="J218" s="82">
        <f t="shared" ca="1" si="46"/>
        <v>0</v>
      </c>
    </row>
    <row r="219" spans="2:10">
      <c r="B219" s="64" t="s">
        <v>86</v>
      </c>
      <c r="F219" s="82">
        <f ca="1">+J161</f>
        <v>89.79083594031556</v>
      </c>
      <c r="G219" s="82">
        <f t="shared" ca="1" si="46"/>
        <v>89.79083594031556</v>
      </c>
      <c r="H219" s="82">
        <f t="shared" ca="1" si="46"/>
        <v>89.79083594031556</v>
      </c>
      <c r="I219" s="82">
        <f t="shared" ca="1" si="46"/>
        <v>89.79083594031556</v>
      </c>
      <c r="J219" s="82">
        <f t="shared" ca="1" si="46"/>
        <v>89.79083594031556</v>
      </c>
    </row>
    <row r="220" spans="2:10">
      <c r="B220" s="64" t="s">
        <v>87</v>
      </c>
      <c r="E220" s="136"/>
      <c r="F220" s="82">
        <f ca="1">J169</f>
        <v>503.13898606826501</v>
      </c>
      <c r="G220" s="82">
        <f t="shared" ca="1" si="46"/>
        <v>503.13898606826501</v>
      </c>
      <c r="H220" s="82">
        <f t="shared" ca="1" si="46"/>
        <v>503.13898606826501</v>
      </c>
      <c r="I220" s="82">
        <f t="shared" ca="1" si="46"/>
        <v>503.13898606826501</v>
      </c>
      <c r="J220" s="82">
        <f t="shared" ca="1" si="46"/>
        <v>503.13898606826501</v>
      </c>
    </row>
    <row r="221" spans="2:10">
      <c r="B221" s="64" t="s">
        <v>88</v>
      </c>
      <c r="E221" s="251"/>
      <c r="F221" s="82">
        <f>J176</f>
        <v>1632.9950000000006</v>
      </c>
      <c r="G221" s="82">
        <f t="shared" ref="G221:J223" si="47">F221</f>
        <v>1632.9950000000006</v>
      </c>
      <c r="H221" s="82">
        <f t="shared" si="47"/>
        <v>1632.9950000000006</v>
      </c>
      <c r="I221" s="82">
        <f t="shared" si="47"/>
        <v>1632.9950000000006</v>
      </c>
      <c r="J221" s="82">
        <f t="shared" si="47"/>
        <v>1632.9950000000006</v>
      </c>
    </row>
    <row r="222" spans="2:10">
      <c r="B222" s="64" t="s">
        <v>89</v>
      </c>
      <c r="E222" s="252"/>
      <c r="F222" s="82">
        <f>J183</f>
        <v>0</v>
      </c>
      <c r="G222" s="82">
        <f t="shared" si="47"/>
        <v>0</v>
      </c>
      <c r="H222" s="82">
        <f t="shared" si="47"/>
        <v>0</v>
      </c>
      <c r="I222" s="82">
        <f t="shared" si="47"/>
        <v>0</v>
      </c>
      <c r="J222" s="82">
        <f t="shared" si="47"/>
        <v>0</v>
      </c>
    </row>
    <row r="223" spans="2:10">
      <c r="B223" s="64" t="s">
        <v>134</v>
      </c>
      <c r="E223" s="252"/>
      <c r="F223" s="82">
        <f>J189</f>
        <v>0</v>
      </c>
      <c r="G223" s="82">
        <f t="shared" si="47"/>
        <v>0</v>
      </c>
      <c r="H223" s="82">
        <f t="shared" si="47"/>
        <v>0</v>
      </c>
      <c r="I223" s="82">
        <f t="shared" si="47"/>
        <v>0</v>
      </c>
      <c r="J223" s="82">
        <f t="shared" si="47"/>
        <v>0</v>
      </c>
    </row>
    <row r="224" spans="2:10">
      <c r="B224" s="68" t="s">
        <v>47</v>
      </c>
      <c r="F224" s="82">
        <f ca="1">-(J140)</f>
        <v>-180.00004395271833</v>
      </c>
      <c r="G224" s="82">
        <f ca="1">F224</f>
        <v>-180.00004395271833</v>
      </c>
      <c r="H224" s="82">
        <f ca="1">G224</f>
        <v>-180.00004395271833</v>
      </c>
      <c r="I224" s="82">
        <f ca="1">H224</f>
        <v>-180.00004395271833</v>
      </c>
      <c r="J224" s="82">
        <f ca="1">I224</f>
        <v>-180.00004395271833</v>
      </c>
    </row>
    <row r="225" spans="2:10">
      <c r="B225" s="56" t="s">
        <v>49</v>
      </c>
      <c r="C225" s="125" t="s">
        <v>232</v>
      </c>
      <c r="D225" s="126" t="s">
        <v>156</v>
      </c>
      <c r="E225" s="127" t="s">
        <v>203</v>
      </c>
      <c r="F225" s="172">
        <f ca="1">F216-SUM(F218:F224)</f>
        <v>5683.3821716594894</v>
      </c>
      <c r="G225" s="172">
        <f ca="1">G216-SUM(G218:G224)</f>
        <v>6296.8192311607081</v>
      </c>
      <c r="H225" s="172">
        <f ca="1">H216-SUM(H218:H224)</f>
        <v>6910.2562906619269</v>
      </c>
      <c r="I225" s="172">
        <f ca="1">I216-SUM(I218:I224)</f>
        <v>7523.6933501631438</v>
      </c>
      <c r="J225" s="172">
        <f ca="1">J216-SUM(J218:J224)</f>
        <v>8137.1304096643644</v>
      </c>
    </row>
    <row r="226" spans="2:10">
      <c r="B226" s="32" t="s">
        <v>74</v>
      </c>
      <c r="C226" s="128">
        <f>D35</f>
        <v>1660.277939999999</v>
      </c>
      <c r="D226" s="124">
        <f>C226/SUM($C$226:$C$229)</f>
        <v>1</v>
      </c>
      <c r="E226" s="129">
        <f>(1-$E$229-$E$228)*(D226/SUM($D$226:$D$227))</f>
        <v>0.97</v>
      </c>
      <c r="F226" s="82">
        <f t="shared" ref="F226:J229" ca="1" si="48">F$225*$E226</f>
        <v>5512.8807065097044</v>
      </c>
      <c r="G226" s="82">
        <f t="shared" ca="1" si="48"/>
        <v>6107.9146542258868</v>
      </c>
      <c r="H226" s="82">
        <f t="shared" ca="1" si="48"/>
        <v>6702.9486019420692</v>
      </c>
      <c r="I226" s="82">
        <f t="shared" ca="1" si="48"/>
        <v>7297.9825496582489</v>
      </c>
      <c r="J226" s="82">
        <f t="shared" ca="1" si="48"/>
        <v>7893.0164973744331</v>
      </c>
    </row>
    <row r="227" spans="2:10">
      <c r="B227" s="35" t="s">
        <v>141</v>
      </c>
      <c r="C227" s="128">
        <f>D34</f>
        <v>0</v>
      </c>
      <c r="D227" s="124">
        <f>C227/SUM($C$226:$C$229)</f>
        <v>0</v>
      </c>
      <c r="E227" s="129">
        <f>(1-$E$229-$E$228)*(D227/SUM($D$226:$D$227))</f>
        <v>0</v>
      </c>
      <c r="F227" s="82">
        <f t="shared" ca="1" si="48"/>
        <v>0</v>
      </c>
      <c r="G227" s="82">
        <f t="shared" ca="1" si="48"/>
        <v>0</v>
      </c>
      <c r="H227" s="82">
        <f t="shared" ca="1" si="48"/>
        <v>0</v>
      </c>
      <c r="I227" s="82">
        <f t="shared" ca="1" si="48"/>
        <v>0</v>
      </c>
      <c r="J227" s="82">
        <f t="shared" ca="1" si="48"/>
        <v>0</v>
      </c>
    </row>
    <row r="228" spans="2:10">
      <c r="B228" s="35" t="s">
        <v>134</v>
      </c>
      <c r="C228" s="130"/>
      <c r="D228" s="124">
        <f>C228/SUM($C$226:$C$229)</f>
        <v>0</v>
      </c>
      <c r="E228" s="253">
        <v>0.02</v>
      </c>
      <c r="F228" s="82">
        <f t="shared" ca="1" si="48"/>
        <v>113.6676434331898</v>
      </c>
      <c r="G228" s="82">
        <f t="shared" ca="1" si="48"/>
        <v>125.93638462321417</v>
      </c>
      <c r="H228" s="82">
        <f t="shared" ca="1" si="48"/>
        <v>138.20512581323854</v>
      </c>
      <c r="I228" s="82">
        <f t="shared" ca="1" si="48"/>
        <v>150.47386700326288</v>
      </c>
      <c r="J228" s="82">
        <f t="shared" ca="1" si="48"/>
        <v>162.74260819328728</v>
      </c>
    </row>
    <row r="229" spans="2:10">
      <c r="B229" s="35" t="s">
        <v>140</v>
      </c>
      <c r="C229" s="131"/>
      <c r="D229" s="132">
        <f>C229/SUM($C$226:$C$229)</f>
        <v>0</v>
      </c>
      <c r="E229" s="254">
        <v>0.01</v>
      </c>
      <c r="F229" s="82">
        <f t="shared" ca="1" si="48"/>
        <v>56.833821716594898</v>
      </c>
      <c r="G229" s="82">
        <f t="shared" ca="1" si="48"/>
        <v>62.968192311607083</v>
      </c>
      <c r="H229" s="82">
        <f t="shared" ca="1" si="48"/>
        <v>69.102562906619269</v>
      </c>
      <c r="I229" s="82">
        <f t="shared" ca="1" si="48"/>
        <v>75.236933501631441</v>
      </c>
      <c r="J229" s="82">
        <f t="shared" ca="1" si="48"/>
        <v>81.371304096643641</v>
      </c>
    </row>
    <row r="230" spans="2:10">
      <c r="B230" s="56"/>
      <c r="C230" s="56"/>
      <c r="D230" s="56"/>
      <c r="E230" s="56"/>
      <c r="F230" s="58"/>
      <c r="G230" s="58"/>
      <c r="H230" s="58"/>
      <c r="I230" s="58"/>
      <c r="J230" s="13"/>
    </row>
    <row r="231" spans="2:10">
      <c r="B231" s="241" t="s">
        <v>112</v>
      </c>
      <c r="C231" s="56"/>
      <c r="D231" s="56"/>
      <c r="E231" s="56"/>
      <c r="F231" s="58"/>
      <c r="G231" s="58"/>
      <c r="H231" s="58"/>
      <c r="I231" s="58"/>
      <c r="J231" s="13"/>
    </row>
    <row r="232" spans="2:10">
      <c r="B232" s="13"/>
      <c r="C232" s="243" t="s">
        <v>151</v>
      </c>
      <c r="D232" s="243" t="s">
        <v>113</v>
      </c>
      <c r="E232" s="244" t="s">
        <v>129</v>
      </c>
      <c r="F232" s="245">
        <f>F39</f>
        <v>2014</v>
      </c>
      <c r="G232" s="245">
        <f>G39</f>
        <v>2015</v>
      </c>
      <c r="H232" s="245">
        <f>H39</f>
        <v>2016</v>
      </c>
      <c r="I232" s="245">
        <f>I39</f>
        <v>2017</v>
      </c>
      <c r="J232" s="245">
        <f>J39</f>
        <v>2018</v>
      </c>
    </row>
    <row r="233" spans="2:10">
      <c r="B233" s="6" t="s">
        <v>29</v>
      </c>
      <c r="C233" s="121" t="str">
        <f ca="1">IFERROR(SUM(F233:J233)/-E233, "NM")</f>
        <v>NM</v>
      </c>
      <c r="D233" s="110">
        <f ca="1">IFERROR(IRR(E233:J233),0)</f>
        <v>0</v>
      </c>
      <c r="E233" s="85">
        <f>-D28</f>
        <v>0</v>
      </c>
      <c r="F233" s="85">
        <f ca="1">-F152+F203</f>
        <v>0</v>
      </c>
      <c r="G233" s="85">
        <f ca="1">-G152+G203</f>
        <v>0</v>
      </c>
      <c r="H233" s="85">
        <f ca="1">-H152+H203</f>
        <v>0</v>
      </c>
      <c r="I233" s="85">
        <f ca="1">-I152+I203</f>
        <v>0</v>
      </c>
      <c r="J233" s="215">
        <f ca="1">-J152+J203+F218</f>
        <v>0</v>
      </c>
    </row>
    <row r="234" spans="2:10">
      <c r="B234" s="13" t="s">
        <v>86</v>
      </c>
      <c r="C234" s="121">
        <f ca="1">IFERROR(SUM(F234:J234)/-E234, "NM")</f>
        <v>1.1511190363472179</v>
      </c>
      <c r="D234" s="110">
        <f ca="1">IFERROR(IRR(E234:J234),0)</f>
        <v>4.5092157327094817E-2</v>
      </c>
      <c r="E234" s="85">
        <f>-D29</f>
        <v>-2886.429000000001</v>
      </c>
      <c r="F234" s="85">
        <f ca="1">F159+F160+F204</f>
        <v>510.09069968199128</v>
      </c>
      <c r="G234" s="85">
        <f ca="1">G159+G160+G204</f>
        <v>596.83002078647303</v>
      </c>
      <c r="H234" s="85">
        <f ca="1">H159+H160+H204</f>
        <v>665.91076844311112</v>
      </c>
      <c r="I234" s="85">
        <f ca="1">I159+I160+I204</f>
        <v>703.47111637551245</v>
      </c>
      <c r="J234" s="215">
        <f ca="1">J159+J160+J204+F219</f>
        <v>846.32076302007704</v>
      </c>
    </row>
    <row r="235" spans="2:10">
      <c r="B235" s="13" t="s">
        <v>87</v>
      </c>
      <c r="C235" s="121">
        <f ca="1">IFERROR(SUM(F235:J235)/-E235, "NM")</f>
        <v>1.2316089025412591</v>
      </c>
      <c r="D235" s="110">
        <f ca="1">IFERROR(IRR(E235:J235),0)</f>
        <v>5.1050158565035142E-2</v>
      </c>
      <c r="E235" s="85">
        <f>-D30</f>
        <v>-670.8520000000002</v>
      </c>
      <c r="F235" s="85">
        <f ca="1">F167+F168+F205</f>
        <v>62.916056075600025</v>
      </c>
      <c r="G235" s="85">
        <f ca="1">G167+G168+G205</f>
        <v>63.505902696600913</v>
      </c>
      <c r="H235" s="85">
        <f ca="1">H167+H168+H205</f>
        <v>64.936293331031663</v>
      </c>
      <c r="I235" s="85">
        <f ca="1">I167+I168+I205</f>
        <v>65.887494323934845</v>
      </c>
      <c r="J235" s="215">
        <f ca="1">J167+J168+J205+F220</f>
        <v>568.98154669813334</v>
      </c>
    </row>
    <row r="236" spans="2:10">
      <c r="B236" s="13" t="s">
        <v>88</v>
      </c>
      <c r="C236" s="121">
        <f>IFERROR(SUM(F236:J236)/-E236, "NM")</f>
        <v>1.40625</v>
      </c>
      <c r="D236" s="110">
        <f>IFERROR(IRR(E236:J236),0)</f>
        <v>8.1249999999138733E-2</v>
      </c>
      <c r="E236" s="85">
        <f>-D31</f>
        <v>-1632.9950000000006</v>
      </c>
      <c r="F236" s="85">
        <f>F175+F206</f>
        <v>132.68084375000007</v>
      </c>
      <c r="G236" s="85">
        <f>G175+G206</f>
        <v>132.68084375000007</v>
      </c>
      <c r="H236" s="85">
        <f>H175+H206</f>
        <v>132.68084375000007</v>
      </c>
      <c r="I236" s="85">
        <f>I175+I206</f>
        <v>132.68084375000007</v>
      </c>
      <c r="J236" s="215">
        <f>J175+J206+F221</f>
        <v>1765.6758437500007</v>
      </c>
    </row>
    <row r="237" spans="2:10">
      <c r="B237" s="48" t="s">
        <v>152</v>
      </c>
      <c r="C237" s="114"/>
      <c r="D237" s="110"/>
      <c r="E237" s="28"/>
      <c r="F237" s="28"/>
      <c r="G237" s="28"/>
      <c r="H237" s="28"/>
      <c r="I237" s="28"/>
      <c r="J237" s="106"/>
    </row>
    <row r="238" spans="2:10">
      <c r="B238" s="122">
        <f>$F$214</f>
        <v>6.3</v>
      </c>
      <c r="C238" s="121" t="str">
        <f ca="1">IFERROR(SUM(F238:J238)/-E238, "NM")</f>
        <v>NM</v>
      </c>
      <c r="D238" s="110">
        <f ca="1">IFERROR(IRR(E238:J238),0)</f>
        <v>0</v>
      </c>
      <c r="E238" s="85">
        <f>-D32</f>
        <v>0</v>
      </c>
      <c r="F238" s="85">
        <f>F181+F207</f>
        <v>0</v>
      </c>
      <c r="G238" s="85">
        <f>G181+G207</f>
        <v>0</v>
      </c>
      <c r="H238" s="85">
        <f>H181+H207</f>
        <v>0</v>
      </c>
      <c r="I238" s="85">
        <f>I181+I207</f>
        <v>0</v>
      </c>
      <c r="J238" s="215">
        <f ca="1">J181+J207+F222+F229</f>
        <v>56.833821716594898</v>
      </c>
    </row>
    <row r="239" spans="2:10">
      <c r="B239" s="122">
        <f>$G$214</f>
        <v>6.8</v>
      </c>
      <c r="C239" s="121" t="str">
        <f ca="1">IFERROR(SUM(F239:J239)/-E239, "NM")</f>
        <v>NM</v>
      </c>
      <c r="D239" s="110">
        <f ca="1">IFERROR(IRR(E239:J239),0)</f>
        <v>0</v>
      </c>
      <c r="E239" s="85">
        <f>E238</f>
        <v>0</v>
      </c>
      <c r="F239" s="85">
        <f t="shared" ref="F239:I242" si="49">F238</f>
        <v>0</v>
      </c>
      <c r="G239" s="85">
        <f t="shared" si="49"/>
        <v>0</v>
      </c>
      <c r="H239" s="85">
        <f t="shared" si="49"/>
        <v>0</v>
      </c>
      <c r="I239" s="85">
        <f t="shared" si="49"/>
        <v>0</v>
      </c>
      <c r="J239" s="215">
        <f ca="1">J181+J207+G222+G229</f>
        <v>62.968192311607083</v>
      </c>
    </row>
    <row r="240" spans="2:10">
      <c r="B240" s="122">
        <f>$H$214</f>
        <v>7.3</v>
      </c>
      <c r="C240" s="121" t="str">
        <f ca="1">IFERROR(SUM(F240:J240)/-E240, "NM")</f>
        <v>NM</v>
      </c>
      <c r="D240" s="110">
        <f ca="1">IFERROR(IRR(E240:J240),0)</f>
        <v>0</v>
      </c>
      <c r="E240" s="85">
        <f t="shared" ref="E240:E242" si="50">E239</f>
        <v>0</v>
      </c>
      <c r="F240" s="85">
        <f t="shared" si="49"/>
        <v>0</v>
      </c>
      <c r="G240" s="85">
        <f t="shared" si="49"/>
        <v>0</v>
      </c>
      <c r="H240" s="85">
        <f t="shared" si="49"/>
        <v>0</v>
      </c>
      <c r="I240" s="85">
        <f t="shared" si="49"/>
        <v>0</v>
      </c>
      <c r="J240" s="215">
        <f ca="1">J181+J207+H222+H229</f>
        <v>69.102562906619269</v>
      </c>
    </row>
    <row r="241" spans="2:10">
      <c r="B241" s="122">
        <f>$I$214</f>
        <v>7.8</v>
      </c>
      <c r="C241" s="121" t="str">
        <f ca="1">IFERROR(SUM(F241:J241)/-E241, "NM")</f>
        <v>NM</v>
      </c>
      <c r="D241" s="110">
        <f ca="1">IFERROR(IRR(E241:J241),0)</f>
        <v>0</v>
      </c>
      <c r="E241" s="85">
        <f t="shared" si="50"/>
        <v>0</v>
      </c>
      <c r="F241" s="85">
        <f t="shared" si="49"/>
        <v>0</v>
      </c>
      <c r="G241" s="85">
        <f t="shared" si="49"/>
        <v>0</v>
      </c>
      <c r="H241" s="85">
        <f t="shared" si="49"/>
        <v>0</v>
      </c>
      <c r="I241" s="85">
        <f t="shared" si="49"/>
        <v>0</v>
      </c>
      <c r="J241" s="215">
        <f ca="1">J181+J207+I222+I229</f>
        <v>75.236933501631441</v>
      </c>
    </row>
    <row r="242" spans="2:10">
      <c r="B242" s="122">
        <f>$J$214</f>
        <v>8.3000000000000007</v>
      </c>
      <c r="C242" s="121" t="str">
        <f ca="1">IFERROR(SUM(F242:J242)/-E242, "NM")</f>
        <v>NM</v>
      </c>
      <c r="D242" s="110">
        <f ca="1">IFERROR(IRR(E242:J242),0)</f>
        <v>0</v>
      </c>
      <c r="E242" s="85">
        <f t="shared" si="50"/>
        <v>0</v>
      </c>
      <c r="F242" s="85">
        <f t="shared" si="49"/>
        <v>0</v>
      </c>
      <c r="G242" s="85">
        <f t="shared" si="49"/>
        <v>0</v>
      </c>
      <c r="H242" s="85">
        <f t="shared" si="49"/>
        <v>0</v>
      </c>
      <c r="I242" s="85">
        <f t="shared" si="49"/>
        <v>0</v>
      </c>
      <c r="J242" s="215">
        <f ca="1">J181+J207+J222+J229</f>
        <v>81.371304096643641</v>
      </c>
    </row>
    <row r="243" spans="2:10">
      <c r="B243" s="48" t="s">
        <v>153</v>
      </c>
      <c r="C243" s="114"/>
      <c r="D243" s="110"/>
      <c r="E243" s="28"/>
      <c r="F243" s="28"/>
      <c r="G243" s="28"/>
      <c r="H243" s="28"/>
      <c r="I243" s="28"/>
      <c r="J243" s="106"/>
    </row>
    <row r="244" spans="2:10">
      <c r="B244" s="122">
        <f>$F$214</f>
        <v>6.3</v>
      </c>
      <c r="C244" s="121" t="str">
        <f ca="1">IFERROR(SUM(F244:J244)/-E244, "NM")</f>
        <v>NM</v>
      </c>
      <c r="D244" s="110">
        <f ca="1">IFERROR(IRR(E244:J244),0)</f>
        <v>0</v>
      </c>
      <c r="E244" s="85">
        <f>-D33</f>
        <v>0</v>
      </c>
      <c r="F244" s="167">
        <f>F190</f>
        <v>0</v>
      </c>
      <c r="G244" s="167">
        <f>G190</f>
        <v>0</v>
      </c>
      <c r="H244" s="167">
        <f>H190</f>
        <v>0</v>
      </c>
      <c r="I244" s="167">
        <f>I190</f>
        <v>0</v>
      </c>
      <c r="J244" s="215">
        <f ca="1">J189+J190+F228</f>
        <v>113.6676434331898</v>
      </c>
    </row>
    <row r="245" spans="2:10">
      <c r="B245" s="122">
        <f>$G$214</f>
        <v>6.8</v>
      </c>
      <c r="C245" s="121" t="str">
        <f ca="1">IFERROR(SUM(F245:J245)/-E245, "NM")</f>
        <v>NM</v>
      </c>
      <c r="D245" s="110">
        <f ca="1">IFERROR(IRR(E245:J245),0)</f>
        <v>0</v>
      </c>
      <c r="E245" s="85">
        <f>E244</f>
        <v>0</v>
      </c>
      <c r="F245" s="85">
        <f t="shared" ref="F245:I245" si="51">F244</f>
        <v>0</v>
      </c>
      <c r="G245" s="85">
        <f t="shared" si="51"/>
        <v>0</v>
      </c>
      <c r="H245" s="85">
        <f t="shared" si="51"/>
        <v>0</v>
      </c>
      <c r="I245" s="85">
        <f t="shared" si="51"/>
        <v>0</v>
      </c>
      <c r="J245" s="215">
        <f ca="1">J189+J190+G228</f>
        <v>125.93638462321417</v>
      </c>
    </row>
    <row r="246" spans="2:10">
      <c r="B246" s="122">
        <f>$H$214</f>
        <v>7.3</v>
      </c>
      <c r="C246" s="121" t="str">
        <f ca="1">IFERROR(SUM(F246:J246)/-E246, "NM")</f>
        <v>NM</v>
      </c>
      <c r="D246" s="110">
        <f ca="1">IFERROR(IRR(E246:J246),0)</f>
        <v>0</v>
      </c>
      <c r="E246" s="85">
        <f t="shared" ref="E246:E248" si="52">E245</f>
        <v>0</v>
      </c>
      <c r="F246" s="85">
        <f t="shared" ref="F246:F248" si="53">F245</f>
        <v>0</v>
      </c>
      <c r="G246" s="85">
        <f t="shared" ref="G246:G248" si="54">G245</f>
        <v>0</v>
      </c>
      <c r="H246" s="85">
        <f t="shared" ref="H246:H248" si="55">H245</f>
        <v>0</v>
      </c>
      <c r="I246" s="85">
        <f t="shared" ref="I246:I248" si="56">I245</f>
        <v>0</v>
      </c>
      <c r="J246" s="215">
        <f ca="1">J189+J190+H228</f>
        <v>138.20512581323854</v>
      </c>
    </row>
    <row r="247" spans="2:10">
      <c r="B247" s="122">
        <f>$I$214</f>
        <v>7.8</v>
      </c>
      <c r="C247" s="121" t="str">
        <f ca="1">IFERROR(SUM(F247:J247)/-E247, "NM")</f>
        <v>NM</v>
      </c>
      <c r="D247" s="110">
        <f ca="1">IFERROR(IRR(E247:J247),0)</f>
        <v>0</v>
      </c>
      <c r="E247" s="85">
        <f t="shared" si="52"/>
        <v>0</v>
      </c>
      <c r="F247" s="85">
        <f t="shared" si="53"/>
        <v>0</v>
      </c>
      <c r="G247" s="85">
        <f t="shared" si="54"/>
        <v>0</v>
      </c>
      <c r="H247" s="85">
        <f t="shared" si="55"/>
        <v>0</v>
      </c>
      <c r="I247" s="85">
        <f t="shared" si="56"/>
        <v>0</v>
      </c>
      <c r="J247" s="215">
        <f ca="1">J189+J190+I228</f>
        <v>150.47386700326288</v>
      </c>
    </row>
    <row r="248" spans="2:10">
      <c r="B248" s="122">
        <f>$J$214</f>
        <v>8.3000000000000007</v>
      </c>
      <c r="C248" s="121" t="str">
        <f ca="1">IFERROR(SUM(F248:J248)/-E248, "NM")</f>
        <v>NM</v>
      </c>
      <c r="D248" s="110">
        <f ca="1">IFERROR(IRR(E248:J248),0)</f>
        <v>0</v>
      </c>
      <c r="E248" s="85">
        <f t="shared" si="52"/>
        <v>0</v>
      </c>
      <c r="F248" s="85">
        <f t="shared" si="53"/>
        <v>0</v>
      </c>
      <c r="G248" s="85">
        <f t="shared" si="54"/>
        <v>0</v>
      </c>
      <c r="H248" s="85">
        <f t="shared" si="55"/>
        <v>0</v>
      </c>
      <c r="I248" s="85">
        <f t="shared" si="56"/>
        <v>0</v>
      </c>
      <c r="J248" s="215">
        <f ca="1">J189+J190+J228</f>
        <v>162.74260819328728</v>
      </c>
    </row>
    <row r="249" spans="2:10">
      <c r="B249" s="48" t="s">
        <v>154</v>
      </c>
      <c r="C249" s="115"/>
      <c r="D249" s="110"/>
      <c r="E249" s="28"/>
      <c r="F249" s="28"/>
      <c r="G249" s="28"/>
      <c r="H249" s="28"/>
      <c r="I249" s="28"/>
      <c r="J249" s="106"/>
    </row>
    <row r="250" spans="2:10">
      <c r="B250" s="122">
        <f>$F$214</f>
        <v>6.3</v>
      </c>
      <c r="C250" s="121" t="str">
        <f ca="1">IFERROR(SUM(F250:J250)/-E250, "NM")</f>
        <v>NM</v>
      </c>
      <c r="D250" s="110">
        <f ca="1">IFERROR(IRR(E250:J250),0)</f>
        <v>0</v>
      </c>
      <c r="E250" s="85">
        <f>-(D34)</f>
        <v>0</v>
      </c>
      <c r="F250" s="202">
        <v>0</v>
      </c>
      <c r="G250" s="202">
        <v>0</v>
      </c>
      <c r="H250" s="202">
        <v>0</v>
      </c>
      <c r="I250" s="202">
        <v>0</v>
      </c>
      <c r="J250" s="190">
        <f ca="1">F227</f>
        <v>0</v>
      </c>
    </row>
    <row r="251" spans="2:10">
      <c r="B251" s="122">
        <f>$G$214</f>
        <v>6.8</v>
      </c>
      <c r="C251" s="121" t="str">
        <f ca="1">IFERROR(SUM(F251:J251)/-E251, "NM")</f>
        <v>NM</v>
      </c>
      <c r="D251" s="110">
        <f ca="1">IFERROR(IRR(E251:J251),0)</f>
        <v>0</v>
      </c>
      <c r="E251" s="85">
        <f>E250</f>
        <v>0</v>
      </c>
      <c r="F251" s="85">
        <f t="shared" ref="F251:F254" si="57">F250</f>
        <v>0</v>
      </c>
      <c r="G251" s="85">
        <f t="shared" ref="G251:G254" si="58">G250</f>
        <v>0</v>
      </c>
      <c r="H251" s="85">
        <f t="shared" ref="H251:H254" si="59">H250</f>
        <v>0</v>
      </c>
      <c r="I251" s="85">
        <f t="shared" ref="I251:I254" si="60">I250</f>
        <v>0</v>
      </c>
      <c r="J251" s="190">
        <f ca="1">G227</f>
        <v>0</v>
      </c>
    </row>
    <row r="252" spans="2:10">
      <c r="B252" s="122">
        <f>$H$214</f>
        <v>7.3</v>
      </c>
      <c r="C252" s="121" t="str">
        <f ca="1">IFERROR(SUM(F252:J252)/-E252, "NM")</f>
        <v>NM</v>
      </c>
      <c r="D252" s="110">
        <f ca="1">IFERROR(IRR(E252:J252),0)</f>
        <v>0</v>
      </c>
      <c r="E252" s="85">
        <f t="shared" ref="E252:E254" si="61">E251</f>
        <v>0</v>
      </c>
      <c r="F252" s="85">
        <f t="shared" si="57"/>
        <v>0</v>
      </c>
      <c r="G252" s="85">
        <f t="shared" si="58"/>
        <v>0</v>
      </c>
      <c r="H252" s="85">
        <f t="shared" si="59"/>
        <v>0</v>
      </c>
      <c r="I252" s="85">
        <f t="shared" si="60"/>
        <v>0</v>
      </c>
      <c r="J252" s="190">
        <f ca="1">H227</f>
        <v>0</v>
      </c>
    </row>
    <row r="253" spans="2:10">
      <c r="B253" s="122">
        <f>$I$214</f>
        <v>7.8</v>
      </c>
      <c r="C253" s="121" t="str">
        <f ca="1">IFERROR(SUM(F253:J253)/-E253, "NM")</f>
        <v>NM</v>
      </c>
      <c r="D253" s="110">
        <f ca="1">IFERROR(IRR(E253:J253),0)</f>
        <v>0</v>
      </c>
      <c r="E253" s="85">
        <f t="shared" si="61"/>
        <v>0</v>
      </c>
      <c r="F253" s="85">
        <f t="shared" si="57"/>
        <v>0</v>
      </c>
      <c r="G253" s="85">
        <f t="shared" si="58"/>
        <v>0</v>
      </c>
      <c r="H253" s="85">
        <f t="shared" si="59"/>
        <v>0</v>
      </c>
      <c r="I253" s="85">
        <f t="shared" si="60"/>
        <v>0</v>
      </c>
      <c r="J253" s="190">
        <f ca="1">I227</f>
        <v>0</v>
      </c>
    </row>
    <row r="254" spans="2:10">
      <c r="B254" s="122">
        <f>$J$214</f>
        <v>8.3000000000000007</v>
      </c>
      <c r="C254" s="121" t="str">
        <f ca="1">IFERROR(SUM(F254:J254)/-E254, "NM")</f>
        <v>NM</v>
      </c>
      <c r="D254" s="110">
        <f ca="1">IFERROR(IRR(E254:J254),0)</f>
        <v>0</v>
      </c>
      <c r="E254" s="85">
        <f t="shared" si="61"/>
        <v>0</v>
      </c>
      <c r="F254" s="85">
        <f t="shared" si="57"/>
        <v>0</v>
      </c>
      <c r="G254" s="85">
        <f t="shared" si="58"/>
        <v>0</v>
      </c>
      <c r="H254" s="85">
        <f t="shared" si="59"/>
        <v>0</v>
      </c>
      <c r="I254" s="85">
        <f t="shared" si="60"/>
        <v>0</v>
      </c>
      <c r="J254" s="190">
        <f ca="1">J227</f>
        <v>0</v>
      </c>
    </row>
    <row r="255" spans="2:10">
      <c r="B255" s="48" t="s">
        <v>155</v>
      </c>
      <c r="C255" s="109"/>
      <c r="D255" s="111"/>
      <c r="E255" s="28"/>
      <c r="F255" s="29"/>
      <c r="G255" s="29"/>
      <c r="H255" s="29"/>
      <c r="I255" s="29"/>
      <c r="J255" s="112"/>
    </row>
    <row r="256" spans="2:10">
      <c r="B256" s="122">
        <f>$F$214</f>
        <v>6.3</v>
      </c>
      <c r="C256" s="121">
        <f ca="1">IFERROR(SUM(F256:J256)/-E256, "NM")</f>
        <v>3.3204563899873123</v>
      </c>
      <c r="D256" s="110">
        <f ca="1">IRR(E256:J256)</f>
        <v>0.27127514517677032</v>
      </c>
      <c r="E256" s="85">
        <f>-D35</f>
        <v>-1660.277939999999</v>
      </c>
      <c r="F256" s="202">
        <v>0</v>
      </c>
      <c r="G256" s="202">
        <v>0</v>
      </c>
      <c r="H256" s="202">
        <v>0</v>
      </c>
      <c r="I256" s="202">
        <v>0</v>
      </c>
      <c r="J256" s="190">
        <f ca="1">F226</f>
        <v>5512.8807065097044</v>
      </c>
    </row>
    <row r="257" spans="2:11">
      <c r="B257" s="122">
        <f>$G$214</f>
        <v>6.8</v>
      </c>
      <c r="C257" s="121">
        <f ca="1">IFERROR(SUM(F257:J257)/-E257, "NM")</f>
        <v>3.6788505680826877</v>
      </c>
      <c r="D257" s="110">
        <f ca="1">IRR(E257:J257)</f>
        <v>0.29760475852557966</v>
      </c>
      <c r="E257" s="85">
        <f>E256</f>
        <v>-1660.277939999999</v>
      </c>
      <c r="F257" s="85">
        <f t="shared" ref="F257:F260" si="62">F256</f>
        <v>0</v>
      </c>
      <c r="G257" s="85">
        <f t="shared" ref="G257:G260" si="63">G256</f>
        <v>0</v>
      </c>
      <c r="H257" s="85">
        <f t="shared" ref="H257:H260" si="64">H256</f>
        <v>0</v>
      </c>
      <c r="I257" s="85">
        <f t="shared" ref="I257:I260" si="65">I256</f>
        <v>0</v>
      </c>
      <c r="J257" s="190">
        <f ca="1">G226</f>
        <v>6107.9146542258868</v>
      </c>
    </row>
    <row r="258" spans="2:11">
      <c r="B258" s="122">
        <f>$H$214</f>
        <v>7.3</v>
      </c>
      <c r="C258" s="121">
        <f ca="1">IFERROR(SUM(F258:J258)/-E258, "NM")</f>
        <v>4.0372447461780627</v>
      </c>
      <c r="D258" s="110">
        <f ca="1">IRR(E258:J258)</f>
        <v>0.32195604651561993</v>
      </c>
      <c r="E258" s="85">
        <f t="shared" ref="E258:E260" si="66">E257</f>
        <v>-1660.277939999999</v>
      </c>
      <c r="F258" s="85">
        <f t="shared" si="62"/>
        <v>0</v>
      </c>
      <c r="G258" s="85">
        <f t="shared" si="63"/>
        <v>0</v>
      </c>
      <c r="H258" s="85">
        <f t="shared" si="64"/>
        <v>0</v>
      </c>
      <c r="I258" s="85">
        <f t="shared" si="65"/>
        <v>0</v>
      </c>
      <c r="J258" s="190">
        <f ca="1">H226</f>
        <v>6702.9486019420692</v>
      </c>
    </row>
    <row r="259" spans="2:11">
      <c r="B259" s="122">
        <f>$I$214</f>
        <v>7.8</v>
      </c>
      <c r="C259" s="121">
        <f ca="1">IFERROR(SUM(F259:J259)/-E259, "NM")</f>
        <v>4.3956389242734373</v>
      </c>
      <c r="D259" s="110">
        <f ca="1">IRR(E259:J259)</f>
        <v>0.34463497096444029</v>
      </c>
      <c r="E259" s="85">
        <f t="shared" si="66"/>
        <v>-1660.277939999999</v>
      </c>
      <c r="F259" s="85">
        <f t="shared" si="62"/>
        <v>0</v>
      </c>
      <c r="G259" s="85">
        <f t="shared" si="63"/>
        <v>0</v>
      </c>
      <c r="H259" s="85">
        <f t="shared" si="64"/>
        <v>0</v>
      </c>
      <c r="I259" s="85">
        <f t="shared" si="65"/>
        <v>0</v>
      </c>
      <c r="J259" s="190">
        <f ca="1">I226</f>
        <v>7297.9825496582489</v>
      </c>
    </row>
    <row r="260" spans="2:11">
      <c r="B260" s="122">
        <f>$J$214</f>
        <v>8.3000000000000007</v>
      </c>
      <c r="C260" s="121">
        <f ca="1">IFERROR(SUM(F260:J260)/-E260, "NM")</f>
        <v>4.7540331023688127</v>
      </c>
      <c r="D260" s="110">
        <f ca="1">IRR(E260:J260)</f>
        <v>0.36587966786557646</v>
      </c>
      <c r="E260" s="85">
        <f t="shared" si="66"/>
        <v>-1660.277939999999</v>
      </c>
      <c r="F260" s="85">
        <f t="shared" si="62"/>
        <v>0</v>
      </c>
      <c r="G260" s="85">
        <f t="shared" si="63"/>
        <v>0</v>
      </c>
      <c r="H260" s="85">
        <f t="shared" si="64"/>
        <v>0</v>
      </c>
      <c r="I260" s="85">
        <f t="shared" si="65"/>
        <v>0</v>
      </c>
      <c r="J260" s="190">
        <f ca="1">J226</f>
        <v>7893.0164973744331</v>
      </c>
    </row>
    <row r="262" spans="2:11">
      <c r="B262" s="246" t="str">
        <f>"SUMMARY AT "&amp;TEXT(H214,"0.0x")&amp;" EXIT EBITDA MULTIPLE"</f>
        <v>SUMMARY AT 7.3x EXIT EBITDA MULTIPLE</v>
      </c>
      <c r="C262" s="17"/>
      <c r="D262" s="17"/>
      <c r="E262" s="17"/>
      <c r="F262" s="13"/>
      <c r="G262" s="13"/>
      <c r="H262" s="13"/>
      <c r="I262" s="13"/>
      <c r="J262" s="13"/>
    </row>
    <row r="263" spans="2:11">
      <c r="B263" s="54"/>
      <c r="C263" s="13"/>
      <c r="D263" s="13"/>
      <c r="E263" s="13"/>
      <c r="F263" s="243" t="s">
        <v>137</v>
      </c>
      <c r="G263" s="243" t="s">
        <v>138</v>
      </c>
      <c r="H263" s="243" t="s">
        <v>157</v>
      </c>
      <c r="I263" s="243" t="s">
        <v>151</v>
      </c>
      <c r="J263" s="243" t="s">
        <v>139</v>
      </c>
    </row>
    <row r="264" spans="2:11">
      <c r="B264" s="10" t="str">
        <f t="shared" ref="B264:B271" si="67">B28</f>
        <v>Revolver</v>
      </c>
      <c r="F264" s="203">
        <f t="shared" ref="F264:F271" si="68">D28</f>
        <v>0</v>
      </c>
      <c r="G264" s="118">
        <f t="shared" ref="G264:G272" si="69">F264/SUM($F$264:$F$271)</f>
        <v>0</v>
      </c>
      <c r="H264" s="117"/>
      <c r="I264" s="123" t="str">
        <f t="shared" ref="I264:J267" ca="1" si="70">C233</f>
        <v>NM</v>
      </c>
      <c r="J264" s="116">
        <f t="shared" ca="1" si="70"/>
        <v>0</v>
      </c>
    </row>
    <row r="265" spans="2:11">
      <c r="B265" s="10" t="str">
        <f t="shared" si="67"/>
        <v>Term Loan A</v>
      </c>
      <c r="F265" s="203">
        <f t="shared" si="68"/>
        <v>2886.429000000001</v>
      </c>
      <c r="G265" s="118">
        <f t="shared" si="69"/>
        <v>0.42134242358801144</v>
      </c>
      <c r="H265" s="117"/>
      <c r="I265" s="123">
        <f t="shared" ca="1" si="70"/>
        <v>1.1511190363472179</v>
      </c>
      <c r="J265" s="116">
        <f t="shared" ca="1" si="70"/>
        <v>4.5092157327094817E-2</v>
      </c>
    </row>
    <row r="266" spans="2:11">
      <c r="B266" s="10" t="str">
        <f t="shared" si="67"/>
        <v>Term Loan B</v>
      </c>
      <c r="F266" s="203">
        <f t="shared" si="68"/>
        <v>670.8520000000002</v>
      </c>
      <c r="G266" s="118">
        <f t="shared" si="69"/>
        <v>9.7926679488345159E-2</v>
      </c>
      <c r="H266" s="117"/>
      <c r="I266" s="123">
        <f t="shared" ca="1" si="70"/>
        <v>1.2316089025412591</v>
      </c>
      <c r="J266" s="116">
        <f t="shared" ca="1" si="70"/>
        <v>5.1050158565035142E-2</v>
      </c>
    </row>
    <row r="267" spans="2:11">
      <c r="B267" s="10" t="str">
        <f t="shared" si="67"/>
        <v>Senior Note</v>
      </c>
      <c r="F267" s="203">
        <f t="shared" si="68"/>
        <v>1632.9950000000006</v>
      </c>
      <c r="G267" s="118">
        <f t="shared" si="69"/>
        <v>0.2383741540176823</v>
      </c>
      <c r="H267" s="117"/>
      <c r="I267" s="123">
        <f t="shared" si="70"/>
        <v>1.40625</v>
      </c>
      <c r="J267" s="116">
        <f t="shared" si="70"/>
        <v>8.1249999999138733E-2</v>
      </c>
    </row>
    <row r="268" spans="2:11">
      <c r="B268" s="10" t="str">
        <f t="shared" si="67"/>
        <v>Sub Note</v>
      </c>
      <c r="F268" s="203">
        <f t="shared" si="68"/>
        <v>0</v>
      </c>
      <c r="G268" s="118">
        <f t="shared" si="69"/>
        <v>0</v>
      </c>
      <c r="H268" s="118">
        <f>E229</f>
        <v>0.01</v>
      </c>
      <c r="I268" s="123" t="str">
        <f ca="1">C240</f>
        <v>NM</v>
      </c>
      <c r="J268" s="116">
        <f ca="1">D240</f>
        <v>0</v>
      </c>
      <c r="K268" s="43"/>
    </row>
    <row r="269" spans="2:11">
      <c r="B269" s="10" t="str">
        <f t="shared" si="67"/>
        <v>Preferred stock</v>
      </c>
      <c r="F269" s="203">
        <f t="shared" si="68"/>
        <v>0</v>
      </c>
      <c r="G269" s="118">
        <f t="shared" si="69"/>
        <v>0</v>
      </c>
      <c r="H269" s="118">
        <f>E228</f>
        <v>0.02</v>
      </c>
      <c r="I269" s="123" t="str">
        <f ca="1">C246</f>
        <v>NM</v>
      </c>
      <c r="J269" s="116">
        <f ca="1">D246</f>
        <v>0</v>
      </c>
    </row>
    <row r="270" spans="2:11">
      <c r="B270" s="10" t="str">
        <f t="shared" si="67"/>
        <v>Mgmt rollover</v>
      </c>
      <c r="F270" s="203">
        <f t="shared" si="68"/>
        <v>0</v>
      </c>
      <c r="G270" s="118">
        <f t="shared" si="69"/>
        <v>0</v>
      </c>
      <c r="H270" s="118">
        <f>E227</f>
        <v>0</v>
      </c>
      <c r="I270" s="123" t="str">
        <f ca="1">C252</f>
        <v>NM</v>
      </c>
      <c r="J270" s="116">
        <f ca="1">D252</f>
        <v>0</v>
      </c>
    </row>
    <row r="271" spans="2:11">
      <c r="B271" s="10" t="str">
        <f t="shared" si="67"/>
        <v>Sponsor equity</v>
      </c>
      <c r="F271" s="203">
        <f t="shared" si="68"/>
        <v>1660.277939999999</v>
      </c>
      <c r="G271" s="118">
        <f t="shared" si="69"/>
        <v>0.2423567429059611</v>
      </c>
      <c r="H271" s="118">
        <f>E226</f>
        <v>0.97</v>
      </c>
      <c r="I271" s="123">
        <f ca="1">C258</f>
        <v>4.0372447461780627</v>
      </c>
      <c r="J271" s="116">
        <f ca="1">D258</f>
        <v>0.32195604651561993</v>
      </c>
    </row>
    <row r="272" spans="2:11">
      <c r="B272" s="38" t="s">
        <v>28</v>
      </c>
      <c r="F272" s="216">
        <f>SUM(F264:F271)</f>
        <v>6850.5539400000007</v>
      </c>
      <c r="G272" s="120">
        <f t="shared" si="69"/>
        <v>1</v>
      </c>
      <c r="H272" s="120">
        <f>SUM(H264:H271)</f>
        <v>1</v>
      </c>
    </row>
    <row r="273" spans="2:14">
      <c r="B273" s="38"/>
      <c r="E273" s="119"/>
      <c r="G273" s="120"/>
      <c r="H273" s="120"/>
    </row>
    <row r="274" spans="2:14">
      <c r="B274" s="15" t="s">
        <v>234</v>
      </c>
      <c r="C274" s="17"/>
      <c r="D274" s="152"/>
      <c r="E274" s="249"/>
      <c r="F274" s="152"/>
      <c r="G274" s="152"/>
      <c r="H274" s="152"/>
      <c r="I274" s="17"/>
      <c r="J274" s="17"/>
      <c r="K274" s="13"/>
    </row>
    <row r="275" spans="2:14">
      <c r="B275" s="154"/>
      <c r="C275" s="153"/>
      <c r="D275" s="153"/>
      <c r="E275" s="247"/>
      <c r="F275" s="153"/>
      <c r="G275" s="153"/>
      <c r="H275" s="153"/>
      <c r="I275" s="13"/>
      <c r="J275" s="13"/>
      <c r="K275" s="13"/>
    </row>
    <row r="276" spans="2:14">
      <c r="B276" s="47"/>
      <c r="C276" s="291" t="s">
        <v>233</v>
      </c>
      <c r="E276" s="293" t="s">
        <v>220</v>
      </c>
      <c r="F276" s="294"/>
      <c r="G276" s="294"/>
      <c r="H276" s="294"/>
      <c r="I276" s="294"/>
      <c r="J276" s="295"/>
      <c r="K276" s="13"/>
    </row>
    <row r="277" spans="2:14">
      <c r="B277" s="10" t="s">
        <v>218</v>
      </c>
      <c r="C277" s="285">
        <f ca="1">J271</f>
        <v>0.32195604651561993</v>
      </c>
      <c r="E277" s="296">
        <v>0.15</v>
      </c>
      <c r="F277" s="297">
        <f>E277+0.05</f>
        <v>0.2</v>
      </c>
      <c r="G277" s="297">
        <f t="shared" ref="G277:I277" si="71">F277+0.05</f>
        <v>0.25</v>
      </c>
      <c r="H277" s="297">
        <f t="shared" si="71"/>
        <v>0.3</v>
      </c>
      <c r="I277" s="297">
        <f t="shared" si="71"/>
        <v>0.35</v>
      </c>
      <c r="J277" s="298">
        <f t="shared" ref="J277" si="72">I277+0.05</f>
        <v>0.39999999999999997</v>
      </c>
      <c r="K277" s="13"/>
    </row>
    <row r="278" spans="2:14">
      <c r="B278" s="10" t="s">
        <v>70</v>
      </c>
      <c r="C278" s="272">
        <f>H17</f>
        <v>6741.9262500000004</v>
      </c>
      <c r="E278" s="267"/>
      <c r="F278" s="58"/>
      <c r="G278" s="58"/>
      <c r="H278" s="58"/>
      <c r="I278" s="58"/>
      <c r="J278" s="299"/>
      <c r="K278" s="13"/>
    </row>
    <row r="279" spans="2:14">
      <c r="B279" s="10" t="str">
        <f>F18</f>
        <v>Diluted shares outstanding</v>
      </c>
      <c r="C279" s="286">
        <f>H18</f>
        <v>145.77137837837839</v>
      </c>
      <c r="E279" s="264"/>
      <c r="F279" s="28"/>
      <c r="G279" s="28"/>
      <c r="H279" s="28"/>
      <c r="I279" s="28"/>
      <c r="J279" s="300"/>
      <c r="K279" s="13"/>
    </row>
    <row r="280" spans="2:14">
      <c r="B280" s="10" t="str">
        <f>F20</f>
        <v>Offer value / per share</v>
      </c>
      <c r="C280" s="287">
        <f>C278/C279</f>
        <v>46.25</v>
      </c>
      <c r="E280" s="265"/>
      <c r="F280" s="79"/>
      <c r="G280" s="79"/>
      <c r="H280" s="79"/>
      <c r="I280" s="79"/>
      <c r="J280" s="239"/>
      <c r="K280" s="13"/>
    </row>
    <row r="281" spans="2:14">
      <c r="B281" s="69" t="str">
        <f>F21</f>
        <v>% Premium / discount</v>
      </c>
      <c r="C281" s="288">
        <f>C280/$D$8-1</f>
        <v>1.8273888154997753E-2</v>
      </c>
      <c r="E281" s="266"/>
      <c r="F281" s="269"/>
      <c r="G281" s="269"/>
      <c r="H281" s="269"/>
      <c r="I281" s="269"/>
      <c r="J281" s="301"/>
      <c r="K281" s="13"/>
    </row>
    <row r="282" spans="2:14">
      <c r="B282" s="69"/>
      <c r="C282" s="289"/>
      <c r="E282" s="266"/>
      <c r="F282" s="269"/>
      <c r="G282" s="269"/>
      <c r="H282" s="269"/>
      <c r="I282" s="269"/>
      <c r="J282" s="301"/>
      <c r="K282" s="13"/>
    </row>
    <row r="283" spans="2:14">
      <c r="B283" s="91" t="s">
        <v>56</v>
      </c>
      <c r="C283" s="290">
        <f>C278-$D$14-$D$15</f>
        <v>6466.0262500000008</v>
      </c>
      <c r="E283" s="267"/>
      <c r="F283" s="58"/>
      <c r="G283" s="58"/>
      <c r="H283" s="58"/>
      <c r="I283" s="58"/>
      <c r="J283" s="299"/>
    </row>
    <row r="284" spans="2:14">
      <c r="B284" s="69" t="s">
        <v>219</v>
      </c>
      <c r="C284" s="292">
        <f>C283/$D$13</f>
        <v>7.3252818058230416</v>
      </c>
      <c r="E284" s="268"/>
      <c r="F284" s="302"/>
      <c r="G284" s="302"/>
      <c r="H284" s="302"/>
      <c r="I284" s="302"/>
      <c r="J284" s="303"/>
      <c r="K284" s="13"/>
    </row>
    <row r="285" spans="2:14">
      <c r="B285" s="48"/>
      <c r="E285" s="161"/>
      <c r="G285" s="13"/>
      <c r="H285" s="13"/>
      <c r="I285" s="13"/>
      <c r="J285" s="13"/>
      <c r="K285" s="13"/>
    </row>
    <row r="286" spans="2:14">
      <c r="D286" s="248" t="s">
        <v>221</v>
      </c>
      <c r="E286" s="152"/>
      <c r="F286" s="152"/>
      <c r="G286" s="249"/>
      <c r="H286" s="152"/>
      <c r="I286" s="152"/>
      <c r="J286" s="152"/>
    </row>
    <row r="287" spans="2:14">
      <c r="B287" s="304" t="s">
        <v>235</v>
      </c>
      <c r="D287" s="222" t="s">
        <v>208</v>
      </c>
      <c r="E287" s="223"/>
      <c r="F287" s="223"/>
      <c r="G287" s="223"/>
      <c r="H287" s="223"/>
      <c r="I287" s="223"/>
      <c r="J287" s="223"/>
    </row>
    <row r="288" spans="2:14">
      <c r="B288" s="305">
        <v>0.3</v>
      </c>
      <c r="F288" s="154" t="str">
        <f>"Term A / EBITDA ratio (other cumulative leverage of "&amp;TEXT(SUM(C30:C32,C28),"0.0x")&amp;")"</f>
        <v>Term A / EBITDA ratio (other cumulative leverage of 2.6x)</v>
      </c>
      <c r="G288" s="155"/>
      <c r="H288" s="155"/>
      <c r="I288" s="155"/>
      <c r="J288" s="156"/>
      <c r="L288" s="13"/>
      <c r="M288" s="63"/>
      <c r="N288" s="63"/>
    </row>
    <row r="289" spans="4:10">
      <c r="D289" s="13"/>
      <c r="E289" s="157">
        <f ca="1">J271</f>
        <v>0.32195604651561993</v>
      </c>
      <c r="F289" s="224">
        <v>2</v>
      </c>
      <c r="G289" s="217">
        <f>F289+0.25</f>
        <v>2.25</v>
      </c>
      <c r="H289" s="217">
        <f>G289+0.25</f>
        <v>2.5</v>
      </c>
      <c r="I289" s="217">
        <f>H289+0.25</f>
        <v>2.75</v>
      </c>
      <c r="J289" s="217">
        <f>I289+0.25</f>
        <v>3</v>
      </c>
    </row>
    <row r="290" spans="4:10" ht="15" customHeight="1">
      <c r="D290" s="219"/>
      <c r="E290" s="224">
        <v>7</v>
      </c>
      <c r="F290" s="34">
        <f t="dataTable" ref="F290:J294" dt2D="1" dtr="1" r1="C29" r2="I11" ca="1"/>
        <v>0.23771899493509974</v>
      </c>
      <c r="G290" s="34">
        <v>0.24994222237125174</v>
      </c>
      <c r="H290" s="34">
        <v>0.26385231297661949</v>
      </c>
      <c r="I290" s="34">
        <v>0.2798304836594907</v>
      </c>
      <c r="J290" s="52">
        <v>0.29824391574679421</v>
      </c>
    </row>
    <row r="291" spans="4:10">
      <c r="D291" s="219" t="s">
        <v>129</v>
      </c>
      <c r="E291" s="220">
        <f>E290+0.25</f>
        <v>7.25</v>
      </c>
      <c r="F291" s="34">
        <v>0.23771899312686107</v>
      </c>
      <c r="G291" s="34">
        <v>0.24994222237125174</v>
      </c>
      <c r="H291" s="34">
        <v>0.26385231297661949</v>
      </c>
      <c r="I291" s="34">
        <v>0.2798304836594907</v>
      </c>
      <c r="J291" s="52">
        <v>0.29824391574679421</v>
      </c>
    </row>
    <row r="292" spans="4:10">
      <c r="D292" s="219" t="s">
        <v>27</v>
      </c>
      <c r="E292" s="220">
        <f>E291+0.25</f>
        <v>7.5</v>
      </c>
      <c r="F292" s="34">
        <v>0.23771899312686107</v>
      </c>
      <c r="G292" s="34">
        <v>0.24994222237125174</v>
      </c>
      <c r="H292" s="34">
        <v>0.26385231297661949</v>
      </c>
      <c r="I292" s="34">
        <v>0.2798304836594907</v>
      </c>
      <c r="J292" s="52">
        <v>0.29824391574679421</v>
      </c>
    </row>
    <row r="293" spans="4:10">
      <c r="D293" s="219" t="s">
        <v>166</v>
      </c>
      <c r="E293" s="220">
        <f>E292+0.25</f>
        <v>7.75</v>
      </c>
      <c r="F293" s="34">
        <v>0.23771899312686107</v>
      </c>
      <c r="G293" s="34">
        <v>0.24994222237125174</v>
      </c>
      <c r="H293" s="34">
        <v>0.26385231297661949</v>
      </c>
      <c r="I293" s="34">
        <v>0.2798304836594907</v>
      </c>
      <c r="J293" s="52">
        <v>0.29824391574679421</v>
      </c>
    </row>
    <row r="294" spans="4:10">
      <c r="D294" s="219"/>
      <c r="E294" s="220">
        <f>E293+0.25</f>
        <v>8</v>
      </c>
      <c r="F294" s="34">
        <v>0.23771899312686107</v>
      </c>
      <c r="G294" s="34">
        <v>0.24994222237125174</v>
      </c>
      <c r="H294" s="34">
        <v>0.26385231297661949</v>
      </c>
      <c r="I294" s="34">
        <v>0.2798304836594907</v>
      </c>
      <c r="J294" s="52">
        <v>0.29824391574679421</v>
      </c>
    </row>
    <row r="296" spans="4:10">
      <c r="D296" s="248" t="s">
        <v>222</v>
      </c>
      <c r="E296" s="152"/>
      <c r="F296" s="152"/>
      <c r="G296" s="249"/>
      <c r="H296" s="152"/>
      <c r="I296" s="152"/>
      <c r="J296" s="152"/>
    </row>
    <row r="297" spans="4:10">
      <c r="D297" s="222" t="s">
        <v>212</v>
      </c>
      <c r="E297" s="223"/>
      <c r="F297" s="223"/>
      <c r="G297" s="223"/>
      <c r="H297" s="223"/>
      <c r="I297" s="223"/>
      <c r="J297" s="223"/>
    </row>
    <row r="298" spans="4:10">
      <c r="D298" s="13"/>
      <c r="E298" s="13"/>
      <c r="F298" s="154" t="str">
        <f>"Term A / EBITDA ratio (other cumulative leverage of "&amp;TEXT(SUM(C30:C32,C28),"0.0x")&amp;")"</f>
        <v>Term A / EBITDA ratio (other cumulative leverage of 2.6x)</v>
      </c>
      <c r="G298" s="155"/>
      <c r="H298" s="155"/>
      <c r="I298" s="155"/>
      <c r="J298" s="155"/>
    </row>
    <row r="299" spans="4:10">
      <c r="D299" s="13"/>
      <c r="E299" s="157">
        <f ca="1">J271</f>
        <v>0.32195604651561993</v>
      </c>
      <c r="F299" s="224">
        <v>2</v>
      </c>
      <c r="G299" s="217">
        <f>F299+0.25</f>
        <v>2.25</v>
      </c>
      <c r="H299" s="217">
        <f>G299+0.25</f>
        <v>2.5</v>
      </c>
      <c r="I299" s="217">
        <f>H299+0.25</f>
        <v>2.75</v>
      </c>
      <c r="J299" s="217">
        <f>I299+0.25</f>
        <v>3</v>
      </c>
    </row>
    <row r="300" spans="4:10">
      <c r="D300" s="219"/>
      <c r="E300" s="225">
        <v>45</v>
      </c>
      <c r="F300" s="34">
        <f t="dataTable" ref="F300:J304" dt2D="1" dtr="1" r1="C29" r2="J20" ca="1"/>
        <v>0.25506783845219116</v>
      </c>
      <c r="G300" s="34">
        <v>0.26902735849706461</v>
      </c>
      <c r="H300" s="34">
        <v>0.28504280249607183</v>
      </c>
      <c r="I300" s="34">
        <v>0.30362302030487287</v>
      </c>
      <c r="J300" s="52">
        <v>0.32532495571461117</v>
      </c>
    </row>
    <row r="301" spans="4:10">
      <c r="D301" s="219" t="s">
        <v>129</v>
      </c>
      <c r="E301" s="218">
        <f>E300+0.25</f>
        <v>45.25</v>
      </c>
      <c r="F301" s="34">
        <v>0.25148037656064148</v>
      </c>
      <c r="G301" s="34">
        <v>0.26506919466970191</v>
      </c>
      <c r="H301" s="34">
        <v>0.28063247875525343</v>
      </c>
      <c r="I301" s="34">
        <v>0.29864988098186385</v>
      </c>
      <c r="J301" s="52">
        <v>0.31963427454708615</v>
      </c>
    </row>
    <row r="302" spans="4:10">
      <c r="D302" s="219" t="s">
        <v>206</v>
      </c>
      <c r="E302" s="218">
        <f>E301+0.25</f>
        <v>45.5</v>
      </c>
      <c r="F302" s="34">
        <v>0.24795357630508019</v>
      </c>
      <c r="G302" s="34">
        <v>0.26118396885994888</v>
      </c>
      <c r="H302" s="34">
        <v>0.27631144309126077</v>
      </c>
      <c r="I302" s="34">
        <v>0.29378844464177378</v>
      </c>
      <c r="J302" s="52">
        <v>0.31408712413792683</v>
      </c>
    </row>
    <row r="303" spans="4:10">
      <c r="D303" s="219" t="s">
        <v>207</v>
      </c>
      <c r="E303" s="218">
        <f>E302+0.25</f>
        <v>45.75</v>
      </c>
      <c r="F303" s="34">
        <v>0.24448558153000999</v>
      </c>
      <c r="G303" s="34">
        <v>0.2573692542127044</v>
      </c>
      <c r="H303" s="34">
        <v>0.27207643638684775</v>
      </c>
      <c r="I303" s="34">
        <v>0.28903419588461121</v>
      </c>
      <c r="J303" s="52">
        <v>0.30867700400091014</v>
      </c>
    </row>
    <row r="304" spans="4:10">
      <c r="D304" s="219"/>
      <c r="E304" s="218">
        <f>E303+0.25</f>
        <v>46</v>
      </c>
      <c r="F304" s="34">
        <v>0.24107461923569296</v>
      </c>
      <c r="G304" s="34">
        <v>0.25362273957685777</v>
      </c>
      <c r="H304" s="34">
        <v>0.2679243697386624</v>
      </c>
      <c r="I304" s="34">
        <v>0.28438288001986711</v>
      </c>
      <c r="J304" s="52">
        <v>0.30339783323869196</v>
      </c>
    </row>
    <row r="306" spans="4:11">
      <c r="D306" s="248" t="s">
        <v>223</v>
      </c>
      <c r="E306" s="152"/>
      <c r="F306" s="152"/>
      <c r="G306" s="249"/>
      <c r="H306" s="152"/>
      <c r="I306" s="152"/>
      <c r="J306" s="152"/>
    </row>
    <row r="307" spans="4:11">
      <c r="F307" s="154" t="s">
        <v>167</v>
      </c>
      <c r="G307" s="155"/>
      <c r="H307" s="155"/>
      <c r="I307" s="155"/>
      <c r="J307" s="156"/>
    </row>
    <row r="308" spans="4:11">
      <c r="E308" s="157">
        <f ca="1">J271</f>
        <v>0.32195604651561993</v>
      </c>
      <c r="F308" s="226">
        <v>0</v>
      </c>
      <c r="G308" s="158">
        <f>F308+0.02</f>
        <v>0.02</v>
      </c>
      <c r="H308" s="158">
        <f>G308+0.02</f>
        <v>0.04</v>
      </c>
      <c r="I308" s="158">
        <f>H308+0.02</f>
        <v>0.06</v>
      </c>
      <c r="J308" s="158">
        <f>I308+0.02</f>
        <v>0.08</v>
      </c>
    </row>
    <row r="309" spans="4:11">
      <c r="D309" s="219"/>
      <c r="E309" s="226">
        <v>0</v>
      </c>
      <c r="F309" s="9">
        <f t="dataTable" ref="F309:J313" dt2D="1" dtr="1" r1="E229" r2="E228" ca="1"/>
        <v>0.33003377836199954</v>
      </c>
      <c r="G309" s="9">
        <v>0.32467056417395956</v>
      </c>
      <c r="H309" s="9">
        <v>0.31921905995052247</v>
      </c>
      <c r="I309" s="9">
        <v>0.31367592658777554</v>
      </c>
      <c r="J309" s="8">
        <v>0.30803762431484305</v>
      </c>
    </row>
    <row r="310" spans="4:11">
      <c r="D310" s="219" t="s">
        <v>168</v>
      </c>
      <c r="E310" s="221">
        <f>E309+0.02</f>
        <v>0.02</v>
      </c>
      <c r="F310" s="9">
        <v>0.32467056417395956</v>
      </c>
      <c r="G310" s="9">
        <v>0.31921905995052247</v>
      </c>
      <c r="H310" s="9">
        <v>0.31367592658777554</v>
      </c>
      <c r="I310" s="9">
        <v>0.30803762431484283</v>
      </c>
      <c r="J310" s="8">
        <v>0.30230039595729985</v>
      </c>
    </row>
    <row r="311" spans="4:11">
      <c r="D311" s="219" t="s">
        <v>169</v>
      </c>
      <c r="E311" s="221">
        <f>E310+0.02</f>
        <v>0.04</v>
      </c>
      <c r="F311" s="9">
        <v>0.31921905995052247</v>
      </c>
      <c r="G311" s="9">
        <v>0.31367592658777554</v>
      </c>
      <c r="H311" s="9">
        <v>0.30803762431484283</v>
      </c>
      <c r="I311" s="9">
        <v>0.30230039595729985</v>
      </c>
      <c r="J311" s="8">
        <v>0.29646024845736596</v>
      </c>
      <c r="K311" s="13"/>
    </row>
    <row r="312" spans="4:11">
      <c r="D312" s="219" t="s">
        <v>170</v>
      </c>
      <c r="E312" s="221">
        <f>E311+0.02</f>
        <v>0.06</v>
      </c>
      <c r="F312" s="9">
        <v>0.31367592658777554</v>
      </c>
      <c r="G312" s="9">
        <v>0.30803762431484283</v>
      </c>
      <c r="H312" s="9">
        <v>0.30230039595729985</v>
      </c>
      <c r="I312" s="9">
        <v>0.29646024845736596</v>
      </c>
      <c r="J312" s="8">
        <v>0.29051293222911534</v>
      </c>
      <c r="K312" s="13"/>
    </row>
    <row r="313" spans="4:11">
      <c r="D313" s="219"/>
      <c r="E313" s="221">
        <f>E312+0.02</f>
        <v>0.08</v>
      </c>
      <c r="F313" s="9">
        <v>0.30803762431484305</v>
      </c>
      <c r="G313" s="9">
        <v>0.30230039595729985</v>
      </c>
      <c r="H313" s="9">
        <v>0.29646024845736596</v>
      </c>
      <c r="I313" s="9">
        <v>0.29051293222911578</v>
      </c>
      <c r="J313" s="8">
        <v>0.28445391833247635</v>
      </c>
      <c r="K313" s="13"/>
    </row>
    <row r="314" spans="4:11">
      <c r="K314" s="13"/>
    </row>
  </sheetData>
  <conditionalFormatting sqref="D298:J304">
    <cfRule type="expression" dxfId="4" priority="51" stopIfTrue="1">
      <formula>$H$7=1</formula>
    </cfRule>
  </conditionalFormatting>
  <conditionalFormatting sqref="D288:J294">
    <cfRule type="expression" dxfId="3" priority="52" stopIfTrue="1">
      <formula>$H$7=2</formula>
    </cfRule>
  </conditionalFormatting>
  <conditionalFormatting sqref="D287:J287">
    <cfRule type="expression" dxfId="2" priority="53">
      <formula>$H$7=1</formula>
    </cfRule>
  </conditionalFormatting>
  <conditionalFormatting sqref="D297:J297">
    <cfRule type="expression" dxfId="1" priority="54">
      <formula>$H$7=2</formula>
    </cfRule>
  </conditionalFormatting>
  <conditionalFormatting sqref="F290:J294 F309:J313 F300:J304">
    <cfRule type="cellIs" dxfId="0" priority="64" operator="greaterThan">
      <formula>$B$288</formula>
    </cfRule>
  </conditionalFormatting>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238"/>
    </row>
    <row r="3" spans="2:5">
      <c r="B3" s="235" t="str">
        <f>LBO!B3</f>
        <v>$ mm except per share</v>
      </c>
      <c r="C3" s="10"/>
    </row>
    <row r="4" spans="2:5">
      <c r="B4" s="37"/>
      <c r="C4" s="10"/>
    </row>
    <row r="5" spans="2:5">
      <c r="B5" s="37" t="s">
        <v>190</v>
      </c>
      <c r="C5" s="10"/>
      <c r="E5" s="189">
        <v>46.25</v>
      </c>
    </row>
    <row r="6" spans="2:5">
      <c r="B6" s="237" t="str">
        <f>IF(E6&lt;&gt;E5,"Please ensure offer price matches offer price in model.","")</f>
        <v/>
      </c>
      <c r="C6" s="10"/>
      <c r="E6" s="236">
        <f>LBO!H20</f>
        <v>46.25</v>
      </c>
    </row>
    <row r="7" spans="2:5">
      <c r="B7" s="83" t="s">
        <v>194</v>
      </c>
      <c r="E7" s="77">
        <f>143.973</f>
        <v>143.97300000000001</v>
      </c>
    </row>
    <row r="8" spans="2:5">
      <c r="B8" s="37" t="s">
        <v>58</v>
      </c>
      <c r="C8" s="10"/>
      <c r="E8" s="151">
        <f>E28</f>
        <v>10.7</v>
      </c>
    </row>
    <row r="9" spans="2:5">
      <c r="B9" s="32" t="s">
        <v>50</v>
      </c>
      <c r="C9" s="10"/>
      <c r="E9" s="188">
        <f>SUMPRODUCT(D18:D27,E18:E27)</f>
        <v>411.70000000000005</v>
      </c>
    </row>
    <row r="10" spans="2:5">
      <c r="B10" s="32" t="s">
        <v>51</v>
      </c>
      <c r="C10" s="10"/>
      <c r="E10" s="188">
        <f>E9/E5</f>
        <v>8.9016216216216222</v>
      </c>
    </row>
    <row r="11" spans="2:5">
      <c r="B11" s="32" t="s">
        <v>52</v>
      </c>
      <c r="C11" s="10"/>
      <c r="E11" s="188">
        <f>E8-E10</f>
        <v>1.7983783783783771</v>
      </c>
    </row>
    <row r="12" spans="2:5">
      <c r="B12" s="32" t="s">
        <v>53</v>
      </c>
      <c r="C12" s="10"/>
      <c r="E12" s="77">
        <v>0</v>
      </c>
    </row>
    <row r="13" spans="2:5">
      <c r="B13" s="32"/>
      <c r="C13" s="10"/>
      <c r="E13" s="77"/>
    </row>
    <row r="14" spans="2:5">
      <c r="B14" s="47" t="s">
        <v>54</v>
      </c>
      <c r="C14" s="10"/>
      <c r="D14" s="82"/>
      <c r="E14" s="188">
        <f>E7+E11+E12</f>
        <v>145.77137837837839</v>
      </c>
    </row>
    <row r="15" spans="2:5">
      <c r="B15" s="47"/>
      <c r="C15" s="10"/>
      <c r="D15" s="82"/>
      <c r="E15" s="188"/>
    </row>
    <row r="16" spans="2:5">
      <c r="B16" s="95" t="s">
        <v>217</v>
      </c>
      <c r="C16" s="17"/>
      <c r="D16" s="191"/>
      <c r="E16" s="75"/>
    </row>
    <row r="17" spans="2:5">
      <c r="C17" s="99" t="s">
        <v>191</v>
      </c>
      <c r="D17" s="99" t="s">
        <v>57</v>
      </c>
      <c r="E17" s="187" t="s">
        <v>192</v>
      </c>
    </row>
    <row r="18" spans="2:5">
      <c r="B18" s="230">
        <v>1</v>
      </c>
      <c r="C18" s="231">
        <v>0.2</v>
      </c>
      <c r="D18" s="231">
        <v>15</v>
      </c>
      <c r="E18" s="232">
        <f t="shared" ref="E18:E27" si="0">IF(D18&lt;$E$5,C18,0)</f>
        <v>0.2</v>
      </c>
    </row>
    <row r="19" spans="2:5">
      <c r="B19" s="230">
        <f>B18+1</f>
        <v>2</v>
      </c>
      <c r="C19" s="231">
        <v>0.7</v>
      </c>
      <c r="D19" s="231">
        <v>18</v>
      </c>
      <c r="E19" s="232">
        <f t="shared" si="0"/>
        <v>0.7</v>
      </c>
    </row>
    <row r="20" spans="2:5">
      <c r="B20" s="230">
        <f t="shared" ref="B20:B24" si="1">B19+1</f>
        <v>3</v>
      </c>
      <c r="C20" s="231">
        <v>0.1</v>
      </c>
      <c r="D20" s="231">
        <v>22</v>
      </c>
      <c r="E20" s="232">
        <f t="shared" si="0"/>
        <v>0.1</v>
      </c>
    </row>
    <row r="21" spans="2:5">
      <c r="B21" s="230">
        <f t="shared" si="1"/>
        <v>4</v>
      </c>
      <c r="C21" s="231">
        <v>0.3</v>
      </c>
      <c r="D21" s="231">
        <v>28</v>
      </c>
      <c r="E21" s="232">
        <f t="shared" si="0"/>
        <v>0.3</v>
      </c>
    </row>
    <row r="22" spans="2:5">
      <c r="B22" s="230">
        <f t="shared" si="1"/>
        <v>5</v>
      </c>
      <c r="C22" s="231">
        <v>0.3</v>
      </c>
      <c r="D22" s="231">
        <v>32</v>
      </c>
      <c r="E22" s="232">
        <f t="shared" si="0"/>
        <v>0.3</v>
      </c>
    </row>
    <row r="23" spans="2:5">
      <c r="B23" s="230">
        <f t="shared" si="1"/>
        <v>6</v>
      </c>
      <c r="C23" s="231">
        <v>0.4</v>
      </c>
      <c r="D23" s="231">
        <v>36</v>
      </c>
      <c r="E23" s="232">
        <f t="shared" si="0"/>
        <v>0.4</v>
      </c>
    </row>
    <row r="24" spans="2:5">
      <c r="B24" s="230">
        <f t="shared" si="1"/>
        <v>7</v>
      </c>
      <c r="C24" s="231">
        <v>1.3</v>
      </c>
      <c r="D24" s="231">
        <v>39</v>
      </c>
      <c r="E24" s="232">
        <f t="shared" si="0"/>
        <v>1.3</v>
      </c>
    </row>
    <row r="25" spans="2:5">
      <c r="B25" s="230">
        <f t="shared" ref="B25:B26" si="2">B24+1</f>
        <v>8</v>
      </c>
      <c r="C25" s="231">
        <v>7.4</v>
      </c>
      <c r="D25" s="231">
        <v>42</v>
      </c>
      <c r="E25" s="232">
        <f t="shared" si="0"/>
        <v>7.4</v>
      </c>
    </row>
    <row r="26" spans="2:5">
      <c r="B26" s="230">
        <f t="shared" si="2"/>
        <v>9</v>
      </c>
      <c r="C26" s="231"/>
      <c r="D26" s="231"/>
      <c r="E26" s="232">
        <f t="shared" si="0"/>
        <v>0</v>
      </c>
    </row>
    <row r="27" spans="2:5">
      <c r="B27" s="230">
        <f t="shared" ref="B27" si="3">B26+1</f>
        <v>10</v>
      </c>
      <c r="C27" s="231"/>
      <c r="D27" s="231"/>
      <c r="E27" s="233">
        <f t="shared" si="0"/>
        <v>0</v>
      </c>
    </row>
    <row r="28" spans="2:5">
      <c r="E28" s="234">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4" t="s">
        <v>61</v>
      </c>
      <c r="B2" s="72"/>
      <c r="C2" s="72"/>
      <c r="D2" s="72"/>
      <c r="E2" s="72"/>
      <c r="F2" s="72"/>
    </row>
    <row r="4" spans="1:6">
      <c r="A4" t="s">
        <v>62</v>
      </c>
      <c r="E4" s="30">
        <f>MAX(E8:E268)</f>
        <v>46.33</v>
      </c>
    </row>
    <row r="5" spans="1:6">
      <c r="A5" t="s">
        <v>63</v>
      </c>
      <c r="E5" s="30">
        <f>MIN(E8:E268)</f>
        <v>37.51</v>
      </c>
    </row>
    <row r="7" spans="1:6">
      <c r="A7" t="s">
        <v>64</v>
      </c>
      <c r="B7" t="s">
        <v>65</v>
      </c>
      <c r="C7" t="s">
        <v>59</v>
      </c>
      <c r="D7" t="s">
        <v>60</v>
      </c>
      <c r="E7" s="30" t="s">
        <v>66</v>
      </c>
      <c r="F7" t="s">
        <v>67</v>
      </c>
    </row>
    <row r="8" spans="1:6">
      <c r="A8" s="70">
        <v>41400</v>
      </c>
      <c r="B8">
        <v>45.5</v>
      </c>
      <c r="C8">
        <v>45.71</v>
      </c>
      <c r="D8">
        <v>45.07</v>
      </c>
      <c r="E8" s="30">
        <v>45.42</v>
      </c>
      <c r="F8">
        <v>34229100</v>
      </c>
    </row>
    <row r="9" spans="1:6">
      <c r="A9" s="70">
        <v>41397</v>
      </c>
      <c r="B9">
        <v>45.67</v>
      </c>
      <c r="C9">
        <v>45.77</v>
      </c>
      <c r="D9">
        <v>45.35</v>
      </c>
      <c r="E9" s="30">
        <v>45.42</v>
      </c>
      <c r="F9">
        <v>2058200</v>
      </c>
    </row>
    <row r="10" spans="1:6">
      <c r="A10" s="70">
        <v>41396</v>
      </c>
      <c r="B10">
        <v>45.45</v>
      </c>
      <c r="C10">
        <v>45.49</v>
      </c>
      <c r="D10">
        <v>44.97</v>
      </c>
      <c r="E10" s="30">
        <v>45.24</v>
      </c>
      <c r="F10">
        <v>3022300</v>
      </c>
    </row>
    <row r="11" spans="1:6">
      <c r="A11" s="70">
        <v>41395</v>
      </c>
      <c r="B11">
        <v>45.84</v>
      </c>
      <c r="C11">
        <v>45.96</v>
      </c>
      <c r="D11">
        <v>45.25</v>
      </c>
      <c r="E11" s="30">
        <v>45.39</v>
      </c>
      <c r="F11">
        <v>2306800</v>
      </c>
    </row>
    <row r="12" spans="1:6">
      <c r="A12" s="70">
        <v>41394</v>
      </c>
      <c r="B12">
        <v>45.34</v>
      </c>
      <c r="C12">
        <v>45.52</v>
      </c>
      <c r="D12">
        <v>45.17</v>
      </c>
      <c r="E12" s="30">
        <v>45.48</v>
      </c>
      <c r="F12">
        <v>2096700</v>
      </c>
    </row>
    <row r="13" spans="1:6">
      <c r="A13" s="70">
        <v>41393</v>
      </c>
      <c r="B13">
        <v>45.5</v>
      </c>
      <c r="C13">
        <v>45.7</v>
      </c>
      <c r="D13">
        <v>45.28</v>
      </c>
      <c r="E13" s="30">
        <v>45.43</v>
      </c>
      <c r="F13">
        <v>2294400</v>
      </c>
    </row>
    <row r="14" spans="1:6">
      <c r="A14" s="70">
        <v>41390</v>
      </c>
      <c r="B14">
        <v>45.68</v>
      </c>
      <c r="C14">
        <v>45.86</v>
      </c>
      <c r="D14">
        <v>45.53</v>
      </c>
      <c r="E14" s="30">
        <v>45.6</v>
      </c>
      <c r="F14">
        <v>1694700</v>
      </c>
    </row>
    <row r="15" spans="1:6">
      <c r="A15" s="70">
        <v>41389</v>
      </c>
      <c r="B15">
        <v>45.07</v>
      </c>
      <c r="C15">
        <v>45.83</v>
      </c>
      <c r="D15">
        <v>44.87</v>
      </c>
      <c r="E15" s="30">
        <v>45.69</v>
      </c>
      <c r="F15">
        <v>2360900</v>
      </c>
    </row>
    <row r="16" spans="1:6">
      <c r="A16" s="70">
        <v>41388</v>
      </c>
      <c r="B16">
        <v>45</v>
      </c>
      <c r="C16">
        <v>45.62</v>
      </c>
      <c r="D16">
        <v>44.22</v>
      </c>
      <c r="E16" s="30">
        <v>44.9</v>
      </c>
      <c r="F16">
        <v>6814000</v>
      </c>
    </row>
    <row r="17" spans="1:6">
      <c r="A17" s="70">
        <v>41387</v>
      </c>
      <c r="B17">
        <v>44.05</v>
      </c>
      <c r="C17">
        <v>44.29</v>
      </c>
      <c r="D17">
        <v>43.66</v>
      </c>
      <c r="E17" s="30">
        <v>44.13</v>
      </c>
      <c r="F17">
        <v>2856300</v>
      </c>
    </row>
    <row r="18" spans="1:6">
      <c r="A18" s="70">
        <v>41386</v>
      </c>
      <c r="B18">
        <v>44.08</v>
      </c>
      <c r="C18">
        <v>44.09</v>
      </c>
      <c r="D18">
        <v>43.41</v>
      </c>
      <c r="E18" s="30">
        <v>43.88</v>
      </c>
      <c r="F18">
        <v>1078900</v>
      </c>
    </row>
    <row r="19" spans="1:6">
      <c r="A19" s="70">
        <v>41383</v>
      </c>
      <c r="B19">
        <v>43.56</v>
      </c>
      <c r="C19">
        <v>44.08</v>
      </c>
      <c r="D19">
        <v>43.3</v>
      </c>
      <c r="E19" s="30">
        <v>43.86</v>
      </c>
      <c r="F19">
        <v>1367800</v>
      </c>
    </row>
    <row r="20" spans="1:6">
      <c r="A20" s="70">
        <v>41382</v>
      </c>
      <c r="B20">
        <v>44.21</v>
      </c>
      <c r="C20">
        <v>44.25</v>
      </c>
      <c r="D20">
        <v>43.44</v>
      </c>
      <c r="E20" s="30">
        <v>43.75</v>
      </c>
      <c r="F20">
        <v>1451300</v>
      </c>
    </row>
    <row r="21" spans="1:6">
      <c r="A21" s="70">
        <v>41381</v>
      </c>
      <c r="B21">
        <v>44.51</v>
      </c>
      <c r="C21">
        <v>44.68</v>
      </c>
      <c r="D21">
        <v>43.54</v>
      </c>
      <c r="E21" s="30">
        <v>44.03</v>
      </c>
      <c r="F21">
        <v>2156400</v>
      </c>
    </row>
    <row r="22" spans="1:6">
      <c r="A22" s="70">
        <v>41380</v>
      </c>
      <c r="B22">
        <v>44.59</v>
      </c>
      <c r="C22">
        <v>45.03</v>
      </c>
      <c r="D22">
        <v>44.5</v>
      </c>
      <c r="E22" s="30">
        <v>44.88</v>
      </c>
      <c r="F22">
        <v>1223400</v>
      </c>
    </row>
    <row r="23" spans="1:6">
      <c r="A23" s="70">
        <v>41379</v>
      </c>
      <c r="B23">
        <v>44.9</v>
      </c>
      <c r="C23">
        <v>45</v>
      </c>
      <c r="D23">
        <v>44.32</v>
      </c>
      <c r="E23" s="30">
        <v>44.32</v>
      </c>
      <c r="F23">
        <v>1273900</v>
      </c>
    </row>
    <row r="24" spans="1:6">
      <c r="A24" s="70">
        <v>41376</v>
      </c>
      <c r="B24">
        <v>45.02</v>
      </c>
      <c r="C24">
        <v>45.02</v>
      </c>
      <c r="D24">
        <v>44.65</v>
      </c>
      <c r="E24" s="30">
        <v>44.93</v>
      </c>
      <c r="F24">
        <v>1566600</v>
      </c>
    </row>
    <row r="25" spans="1:6">
      <c r="A25" s="70">
        <v>41375</v>
      </c>
      <c r="B25">
        <v>44.72</v>
      </c>
      <c r="C25">
        <v>45.65</v>
      </c>
      <c r="D25">
        <v>44.53</v>
      </c>
      <c r="E25" s="30">
        <v>45.02</v>
      </c>
      <c r="F25">
        <v>4248900</v>
      </c>
    </row>
    <row r="26" spans="1:6">
      <c r="A26" s="70">
        <v>41374</v>
      </c>
      <c r="B26">
        <v>44.45</v>
      </c>
      <c r="C26">
        <v>44.93</v>
      </c>
      <c r="D26">
        <v>44.37</v>
      </c>
      <c r="E26" s="30">
        <v>44.75</v>
      </c>
      <c r="F26">
        <v>2023200</v>
      </c>
    </row>
    <row r="27" spans="1:6">
      <c r="A27" s="70">
        <v>41373</v>
      </c>
      <c r="B27">
        <v>44.5</v>
      </c>
      <c r="C27">
        <v>44.62</v>
      </c>
      <c r="D27">
        <v>43.98</v>
      </c>
      <c r="E27" s="30">
        <v>44.34</v>
      </c>
      <c r="F27">
        <v>1952800</v>
      </c>
    </row>
    <row r="28" spans="1:6">
      <c r="A28" s="70">
        <v>41372</v>
      </c>
      <c r="B28">
        <v>45.05</v>
      </c>
      <c r="C28">
        <v>45.1</v>
      </c>
      <c r="D28">
        <v>44.42</v>
      </c>
      <c r="E28" s="30">
        <v>44.45</v>
      </c>
      <c r="F28">
        <v>1625500</v>
      </c>
    </row>
    <row r="29" spans="1:6">
      <c r="A29" s="70">
        <v>41369</v>
      </c>
      <c r="B29">
        <v>44.55</v>
      </c>
      <c r="C29">
        <v>45.28</v>
      </c>
      <c r="D29">
        <v>44.03</v>
      </c>
      <c r="E29" s="30">
        <v>45.11</v>
      </c>
      <c r="F29">
        <v>1635700</v>
      </c>
    </row>
    <row r="30" spans="1:6">
      <c r="A30" s="70">
        <v>41368</v>
      </c>
      <c r="B30">
        <v>45.42</v>
      </c>
      <c r="C30">
        <v>45.59</v>
      </c>
      <c r="D30">
        <v>44.93</v>
      </c>
      <c r="E30" s="30">
        <v>45.14</v>
      </c>
      <c r="F30">
        <v>1004100</v>
      </c>
    </row>
    <row r="31" spans="1:6">
      <c r="A31" s="70">
        <v>41367</v>
      </c>
      <c r="B31">
        <v>46.09</v>
      </c>
      <c r="C31">
        <v>46.3</v>
      </c>
      <c r="D31">
        <v>45.07</v>
      </c>
      <c r="E31" s="30">
        <v>45.44</v>
      </c>
      <c r="F31">
        <v>1471300</v>
      </c>
    </row>
    <row r="32" spans="1:6">
      <c r="A32" s="70">
        <v>41366</v>
      </c>
      <c r="B32">
        <v>46.19</v>
      </c>
      <c r="C32">
        <v>46.49</v>
      </c>
      <c r="D32">
        <v>46.03</v>
      </c>
      <c r="E32" s="30">
        <v>46.06</v>
      </c>
      <c r="F32">
        <v>1169600</v>
      </c>
    </row>
    <row r="33" spans="1:6">
      <c r="A33" s="70">
        <v>41365</v>
      </c>
      <c r="B33">
        <v>46.29</v>
      </c>
      <c r="C33">
        <v>46.5</v>
      </c>
      <c r="D33">
        <v>45.87</v>
      </c>
      <c r="E33" s="30">
        <v>46.02</v>
      </c>
      <c r="F33">
        <v>1124600</v>
      </c>
    </row>
    <row r="34" spans="1:6">
      <c r="A34" s="70">
        <v>41362</v>
      </c>
      <c r="B34">
        <v>46.33</v>
      </c>
      <c r="C34">
        <v>46.33</v>
      </c>
      <c r="D34">
        <v>46.33</v>
      </c>
      <c r="E34" s="30">
        <v>46.33</v>
      </c>
      <c r="F34">
        <v>0</v>
      </c>
    </row>
    <row r="35" spans="1:6">
      <c r="A35" s="70">
        <v>41361</v>
      </c>
      <c r="B35">
        <v>45.61</v>
      </c>
      <c r="C35">
        <v>46.48</v>
      </c>
      <c r="D35">
        <v>45.61</v>
      </c>
      <c r="E35" s="30">
        <v>46.33</v>
      </c>
      <c r="F35">
        <v>1145800</v>
      </c>
    </row>
    <row r="36" spans="1:6">
      <c r="A36" s="70">
        <v>41360</v>
      </c>
      <c r="B36">
        <v>45.63</v>
      </c>
      <c r="C36">
        <v>45.92</v>
      </c>
      <c r="D36">
        <v>45.25</v>
      </c>
      <c r="E36" s="30">
        <v>45.73</v>
      </c>
      <c r="F36">
        <v>1127000</v>
      </c>
    </row>
    <row r="37" spans="1:6">
      <c r="A37" s="70">
        <v>41359</v>
      </c>
      <c r="B37">
        <v>45.86</v>
      </c>
      <c r="C37">
        <v>46.18</v>
      </c>
      <c r="D37">
        <v>45.66</v>
      </c>
      <c r="E37" s="30">
        <v>45.78</v>
      </c>
      <c r="F37">
        <v>1283100</v>
      </c>
    </row>
    <row r="38" spans="1:6">
      <c r="A38" s="70">
        <v>41358</v>
      </c>
      <c r="B38">
        <v>45.95</v>
      </c>
      <c r="C38">
        <v>46.05</v>
      </c>
      <c r="D38">
        <v>45.49</v>
      </c>
      <c r="E38" s="30">
        <v>45.7</v>
      </c>
      <c r="F38">
        <v>1757200</v>
      </c>
    </row>
    <row r="39" spans="1:6">
      <c r="A39" s="70">
        <v>41355</v>
      </c>
      <c r="B39">
        <v>45.49</v>
      </c>
      <c r="C39">
        <v>45.93</v>
      </c>
      <c r="D39">
        <v>45.39</v>
      </c>
      <c r="E39" s="30">
        <v>45.74</v>
      </c>
      <c r="F39">
        <v>2110000</v>
      </c>
    </row>
    <row r="40" spans="1:6">
      <c r="A40" s="70">
        <v>41354</v>
      </c>
      <c r="B40">
        <v>43.61</v>
      </c>
      <c r="C40">
        <v>47.98</v>
      </c>
      <c r="D40">
        <v>43.5</v>
      </c>
      <c r="E40" s="30">
        <v>45.48</v>
      </c>
      <c r="F40">
        <v>6592300</v>
      </c>
    </row>
    <row r="41" spans="1:6">
      <c r="A41" s="70">
        <v>41353</v>
      </c>
      <c r="B41">
        <v>44.03</v>
      </c>
      <c r="C41">
        <v>44.45</v>
      </c>
      <c r="D41">
        <v>43.83</v>
      </c>
      <c r="E41" s="30">
        <v>43.99</v>
      </c>
      <c r="F41">
        <v>914200</v>
      </c>
    </row>
    <row r="42" spans="1:6">
      <c r="A42" s="70">
        <v>41352</v>
      </c>
      <c r="B42">
        <v>44.09</v>
      </c>
      <c r="C42">
        <v>44.16</v>
      </c>
      <c r="D42">
        <v>43.4</v>
      </c>
      <c r="E42" s="30">
        <v>43.68</v>
      </c>
      <c r="F42">
        <v>1214500</v>
      </c>
    </row>
    <row r="43" spans="1:6">
      <c r="A43" s="70">
        <v>41351</v>
      </c>
      <c r="B43">
        <v>43.65</v>
      </c>
      <c r="C43">
        <v>44.4</v>
      </c>
      <c r="D43">
        <v>43.56</v>
      </c>
      <c r="E43" s="30">
        <v>43.98</v>
      </c>
      <c r="F43">
        <v>1173700</v>
      </c>
    </row>
    <row r="44" spans="1:6">
      <c r="A44" s="70">
        <v>41348</v>
      </c>
      <c r="B44">
        <v>44.12</v>
      </c>
      <c r="C44">
        <v>44.69</v>
      </c>
      <c r="D44">
        <v>44.09</v>
      </c>
      <c r="E44" s="30">
        <v>44.12</v>
      </c>
      <c r="F44">
        <v>2730000</v>
      </c>
    </row>
    <row r="45" spans="1:6">
      <c r="A45" s="70">
        <v>41347</v>
      </c>
      <c r="B45">
        <v>43.88</v>
      </c>
      <c r="C45">
        <v>44.5</v>
      </c>
      <c r="D45">
        <v>43.83</v>
      </c>
      <c r="E45" s="30">
        <v>44.29</v>
      </c>
      <c r="F45">
        <v>2030500</v>
      </c>
    </row>
    <row r="46" spans="1:6">
      <c r="A46" s="70">
        <v>41346</v>
      </c>
      <c r="B46">
        <v>43.72</v>
      </c>
      <c r="C46">
        <v>44.12</v>
      </c>
      <c r="D46">
        <v>43.62</v>
      </c>
      <c r="E46" s="30">
        <v>43.66</v>
      </c>
      <c r="F46">
        <v>1725200</v>
      </c>
    </row>
    <row r="47" spans="1:6">
      <c r="A47" s="70">
        <v>41345</v>
      </c>
      <c r="B47">
        <v>43</v>
      </c>
      <c r="C47">
        <v>43.77</v>
      </c>
      <c r="D47">
        <v>43</v>
      </c>
      <c r="E47" s="30">
        <v>43.72</v>
      </c>
      <c r="F47">
        <v>1969000</v>
      </c>
    </row>
    <row r="48" spans="1:6">
      <c r="A48" s="70">
        <v>41344</v>
      </c>
      <c r="B48">
        <v>42.88</v>
      </c>
      <c r="C48">
        <v>43.48</v>
      </c>
      <c r="D48">
        <v>42.81</v>
      </c>
      <c r="E48" s="30">
        <v>43.4</v>
      </c>
      <c r="F48">
        <v>1858400</v>
      </c>
    </row>
    <row r="49" spans="1:6">
      <c r="A49" s="70">
        <v>41341</v>
      </c>
      <c r="B49">
        <v>42.46</v>
      </c>
      <c r="C49">
        <v>43.13</v>
      </c>
      <c r="D49">
        <v>42.35</v>
      </c>
      <c r="E49" s="30">
        <v>42.91</v>
      </c>
      <c r="F49">
        <v>1595900</v>
      </c>
    </row>
    <row r="50" spans="1:6">
      <c r="A50" s="70">
        <v>41340</v>
      </c>
      <c r="B50">
        <v>42.2</v>
      </c>
      <c r="C50">
        <v>42.55</v>
      </c>
      <c r="D50">
        <v>42.18</v>
      </c>
      <c r="E50" s="30">
        <v>42.33</v>
      </c>
      <c r="F50">
        <v>844600</v>
      </c>
    </row>
    <row r="51" spans="1:6">
      <c r="A51" s="70">
        <v>41339</v>
      </c>
      <c r="B51">
        <v>42.34</v>
      </c>
      <c r="C51">
        <v>42.63</v>
      </c>
      <c r="D51">
        <v>42.18</v>
      </c>
      <c r="E51" s="30">
        <v>42.22</v>
      </c>
      <c r="F51">
        <v>1318300</v>
      </c>
    </row>
    <row r="52" spans="1:6">
      <c r="A52" s="70">
        <v>41338</v>
      </c>
      <c r="B52">
        <v>41.41</v>
      </c>
      <c r="C52">
        <v>42.77</v>
      </c>
      <c r="D52">
        <v>41.37</v>
      </c>
      <c r="E52" s="30">
        <v>42.32</v>
      </c>
      <c r="F52">
        <v>2841500</v>
      </c>
    </row>
    <row r="53" spans="1:6">
      <c r="A53" s="70">
        <v>41337</v>
      </c>
      <c r="B53">
        <v>40.35</v>
      </c>
      <c r="C53">
        <v>40.880000000000003</v>
      </c>
      <c r="D53">
        <v>40.35</v>
      </c>
      <c r="E53" s="30">
        <v>40.799999999999997</v>
      </c>
      <c r="F53">
        <v>1428200</v>
      </c>
    </row>
    <row r="54" spans="1:6">
      <c r="A54" s="70">
        <v>41334</v>
      </c>
      <c r="B54">
        <v>39.83</v>
      </c>
      <c r="C54">
        <v>40.69</v>
      </c>
      <c r="D54">
        <v>39.46</v>
      </c>
      <c r="E54" s="30">
        <v>40.43</v>
      </c>
      <c r="F54">
        <v>1672500</v>
      </c>
    </row>
    <row r="55" spans="1:6">
      <c r="A55" s="70">
        <v>41333</v>
      </c>
      <c r="B55">
        <v>40.17</v>
      </c>
      <c r="C55">
        <v>40.619999999999997</v>
      </c>
      <c r="D55">
        <v>40.049999999999997</v>
      </c>
      <c r="E55" s="30">
        <v>40.11</v>
      </c>
      <c r="F55">
        <v>2814900</v>
      </c>
    </row>
    <row r="56" spans="1:6">
      <c r="A56" s="70">
        <v>41332</v>
      </c>
      <c r="B56">
        <v>40.01</v>
      </c>
      <c r="C56">
        <v>40.53</v>
      </c>
      <c r="D56">
        <v>39.880000000000003</v>
      </c>
      <c r="E56" s="30">
        <v>40.06</v>
      </c>
      <c r="F56">
        <v>1715200</v>
      </c>
    </row>
    <row r="57" spans="1:6">
      <c r="A57" s="70">
        <v>41331</v>
      </c>
      <c r="B57">
        <v>40.200000000000003</v>
      </c>
      <c r="C57">
        <v>40.270000000000003</v>
      </c>
      <c r="D57">
        <v>39.549999999999997</v>
      </c>
      <c r="E57" s="30">
        <v>40.03</v>
      </c>
      <c r="F57">
        <v>1904600</v>
      </c>
    </row>
    <row r="58" spans="1:6">
      <c r="A58" s="70">
        <v>41330</v>
      </c>
      <c r="B58">
        <v>40.61</v>
      </c>
      <c r="C58">
        <v>40.9</v>
      </c>
      <c r="D58">
        <v>40.06</v>
      </c>
      <c r="E58" s="30">
        <v>40.1</v>
      </c>
      <c r="F58">
        <v>1926800</v>
      </c>
    </row>
    <row r="59" spans="1:6">
      <c r="A59" s="70">
        <v>41327</v>
      </c>
      <c r="B59">
        <v>40.619999999999997</v>
      </c>
      <c r="C59">
        <v>40.74</v>
      </c>
      <c r="D59">
        <v>40.4</v>
      </c>
      <c r="E59" s="30">
        <v>40.54</v>
      </c>
      <c r="F59">
        <v>1363200</v>
      </c>
    </row>
    <row r="60" spans="1:6">
      <c r="A60" s="70">
        <v>41326</v>
      </c>
      <c r="B60">
        <v>41.09</v>
      </c>
      <c r="C60">
        <v>41.2</v>
      </c>
      <c r="D60">
        <v>40.15</v>
      </c>
      <c r="E60" s="30">
        <v>40.46</v>
      </c>
      <c r="F60">
        <v>1580100</v>
      </c>
    </row>
    <row r="61" spans="1:6">
      <c r="A61" s="70">
        <v>41325</v>
      </c>
      <c r="B61">
        <v>41.62</v>
      </c>
      <c r="C61">
        <v>42.13</v>
      </c>
      <c r="D61">
        <v>41.1</v>
      </c>
      <c r="E61" s="30">
        <v>41.11</v>
      </c>
      <c r="F61">
        <v>1591200</v>
      </c>
    </row>
    <row r="62" spans="1:6">
      <c r="A62" s="70">
        <v>41324</v>
      </c>
      <c r="B62">
        <v>41.42</v>
      </c>
      <c r="C62">
        <v>41.79</v>
      </c>
      <c r="D62">
        <v>41.2</v>
      </c>
      <c r="E62" s="30">
        <v>41.59</v>
      </c>
      <c r="F62">
        <v>1148200</v>
      </c>
    </row>
    <row r="63" spans="1:6">
      <c r="A63" s="70">
        <v>41323</v>
      </c>
      <c r="B63">
        <v>41.37</v>
      </c>
      <c r="C63">
        <v>41.37</v>
      </c>
      <c r="D63">
        <v>41.37</v>
      </c>
      <c r="E63" s="30">
        <v>41.37</v>
      </c>
      <c r="F63">
        <v>0</v>
      </c>
    </row>
    <row r="64" spans="1:6">
      <c r="A64" s="70">
        <v>41320</v>
      </c>
      <c r="B64">
        <v>41.29</v>
      </c>
      <c r="C64">
        <v>41.82</v>
      </c>
      <c r="D64">
        <v>41.27</v>
      </c>
      <c r="E64" s="30">
        <v>41.37</v>
      </c>
      <c r="F64">
        <v>1437300</v>
      </c>
    </row>
    <row r="65" spans="1:6">
      <c r="A65" s="70">
        <v>41319</v>
      </c>
      <c r="B65">
        <v>41</v>
      </c>
      <c r="C65">
        <v>41.57</v>
      </c>
      <c r="D65">
        <v>40.92</v>
      </c>
      <c r="E65" s="30">
        <v>41.46</v>
      </c>
      <c r="F65">
        <v>1182500</v>
      </c>
    </row>
    <row r="66" spans="1:6">
      <c r="A66" s="70">
        <v>41318</v>
      </c>
      <c r="B66">
        <v>41.28</v>
      </c>
      <c r="C66">
        <v>41.43</v>
      </c>
      <c r="D66">
        <v>40.97</v>
      </c>
      <c r="E66" s="30">
        <v>41.09</v>
      </c>
      <c r="F66">
        <v>1813600</v>
      </c>
    </row>
    <row r="67" spans="1:6">
      <c r="A67" s="70">
        <v>41317</v>
      </c>
      <c r="B67">
        <v>41.4</v>
      </c>
      <c r="C67">
        <v>41.59</v>
      </c>
      <c r="D67">
        <v>41.17</v>
      </c>
      <c r="E67" s="30">
        <v>41.24</v>
      </c>
      <c r="F67">
        <v>1378100</v>
      </c>
    </row>
    <row r="68" spans="1:6">
      <c r="A68" s="70">
        <v>41316</v>
      </c>
      <c r="B68">
        <v>41.8</v>
      </c>
      <c r="C68">
        <v>41.86</v>
      </c>
      <c r="D68">
        <v>40.94</v>
      </c>
      <c r="E68" s="30">
        <v>41.4</v>
      </c>
      <c r="F68">
        <v>2472600</v>
      </c>
    </row>
    <row r="69" spans="1:6">
      <c r="A69" s="70">
        <v>41313</v>
      </c>
      <c r="B69">
        <v>42</v>
      </c>
      <c r="C69">
        <v>42.46</v>
      </c>
      <c r="D69">
        <v>41.56</v>
      </c>
      <c r="E69" s="30">
        <v>41.86</v>
      </c>
      <c r="F69">
        <v>1231600</v>
      </c>
    </row>
    <row r="70" spans="1:6">
      <c r="A70" s="70">
        <v>41312</v>
      </c>
      <c r="B70">
        <v>41.6</v>
      </c>
      <c r="C70">
        <v>41.98</v>
      </c>
      <c r="D70">
        <v>41.49</v>
      </c>
      <c r="E70" s="30">
        <v>41.95</v>
      </c>
      <c r="F70">
        <v>1919200</v>
      </c>
    </row>
    <row r="71" spans="1:6">
      <c r="A71" s="70">
        <v>41311</v>
      </c>
      <c r="B71">
        <v>41.91</v>
      </c>
      <c r="C71">
        <v>42.17</v>
      </c>
      <c r="D71">
        <v>41.6</v>
      </c>
      <c r="E71" s="30">
        <v>41.85</v>
      </c>
      <c r="F71">
        <v>2420600</v>
      </c>
    </row>
    <row r="72" spans="1:6">
      <c r="A72" s="70">
        <v>41310</v>
      </c>
      <c r="B72">
        <v>41.84</v>
      </c>
      <c r="C72">
        <v>42.25</v>
      </c>
      <c r="D72">
        <v>41.59</v>
      </c>
      <c r="E72" s="30">
        <v>42.1</v>
      </c>
      <c r="F72">
        <v>1671600</v>
      </c>
    </row>
    <row r="73" spans="1:6">
      <c r="A73" s="70">
        <v>41309</v>
      </c>
      <c r="B73">
        <v>41.81</v>
      </c>
      <c r="C73">
        <v>42.21</v>
      </c>
      <c r="D73">
        <v>41.55</v>
      </c>
      <c r="E73" s="30">
        <v>41.56</v>
      </c>
      <c r="F73">
        <v>1851700</v>
      </c>
    </row>
    <row r="74" spans="1:6">
      <c r="A74" s="70">
        <v>41306</v>
      </c>
      <c r="B74">
        <v>41.97</v>
      </c>
      <c r="C74">
        <v>42.44</v>
      </c>
      <c r="D74">
        <v>41.63</v>
      </c>
      <c r="E74" s="30">
        <v>42.17</v>
      </c>
      <c r="F74">
        <v>1643200</v>
      </c>
    </row>
    <row r="75" spans="1:6">
      <c r="A75" s="70">
        <v>41305</v>
      </c>
      <c r="B75">
        <v>41.34</v>
      </c>
      <c r="C75">
        <v>41.95</v>
      </c>
      <c r="D75">
        <v>41.34</v>
      </c>
      <c r="E75" s="30">
        <v>41.55</v>
      </c>
      <c r="F75">
        <v>1523700</v>
      </c>
    </row>
    <row r="76" spans="1:6">
      <c r="A76" s="70">
        <v>41304</v>
      </c>
      <c r="B76">
        <v>41.65</v>
      </c>
      <c r="C76">
        <v>41.85</v>
      </c>
      <c r="D76">
        <v>41.22</v>
      </c>
      <c r="E76" s="30">
        <v>41.47</v>
      </c>
      <c r="F76">
        <v>2894600</v>
      </c>
    </row>
    <row r="77" spans="1:6">
      <c r="A77" s="70">
        <v>41303</v>
      </c>
      <c r="B77">
        <v>40</v>
      </c>
      <c r="C77">
        <v>41.71</v>
      </c>
      <c r="D77">
        <v>40</v>
      </c>
      <c r="E77" s="30">
        <v>41.71</v>
      </c>
      <c r="F77">
        <v>4776700</v>
      </c>
    </row>
    <row r="78" spans="1:6">
      <c r="A78" s="70">
        <v>41302</v>
      </c>
      <c r="B78">
        <v>44.8</v>
      </c>
      <c r="C78">
        <v>44.99</v>
      </c>
      <c r="D78">
        <v>44.42</v>
      </c>
      <c r="E78" s="30">
        <v>44.48</v>
      </c>
      <c r="F78">
        <v>1739200</v>
      </c>
    </row>
    <row r="79" spans="1:6">
      <c r="A79" s="70">
        <v>41299</v>
      </c>
      <c r="B79">
        <v>44.25</v>
      </c>
      <c r="C79">
        <v>44.82</v>
      </c>
      <c r="D79">
        <v>44.1</v>
      </c>
      <c r="E79" s="30">
        <v>44.5</v>
      </c>
      <c r="F79">
        <v>1062100</v>
      </c>
    </row>
    <row r="80" spans="1:6">
      <c r="A80" s="70">
        <v>41298</v>
      </c>
      <c r="B80">
        <v>43.86</v>
      </c>
      <c r="C80">
        <v>44.53</v>
      </c>
      <c r="D80">
        <v>43.85</v>
      </c>
      <c r="E80" s="30">
        <v>44.05</v>
      </c>
      <c r="F80">
        <v>993700</v>
      </c>
    </row>
    <row r="81" spans="1:6">
      <c r="A81" s="70">
        <v>41297</v>
      </c>
      <c r="B81">
        <v>43.73</v>
      </c>
      <c r="C81">
        <v>44.22</v>
      </c>
      <c r="D81">
        <v>43.54</v>
      </c>
      <c r="E81" s="30">
        <v>43.91</v>
      </c>
      <c r="F81">
        <v>1443000</v>
      </c>
    </row>
    <row r="82" spans="1:6">
      <c r="A82" s="70">
        <v>41296</v>
      </c>
      <c r="B82">
        <v>43.7</v>
      </c>
      <c r="C82">
        <v>43.83</v>
      </c>
      <c r="D82">
        <v>43.22</v>
      </c>
      <c r="E82" s="30">
        <v>43.36</v>
      </c>
      <c r="F82">
        <v>1117200</v>
      </c>
    </row>
    <row r="83" spans="1:6">
      <c r="A83" s="70">
        <v>41295</v>
      </c>
      <c r="B83">
        <v>43.81</v>
      </c>
      <c r="C83">
        <v>43.81</v>
      </c>
      <c r="D83">
        <v>43.81</v>
      </c>
      <c r="E83" s="30">
        <v>43.81</v>
      </c>
      <c r="F83">
        <v>0</v>
      </c>
    </row>
    <row r="84" spans="1:6">
      <c r="A84" s="70">
        <v>41292</v>
      </c>
      <c r="B84">
        <v>42.87</v>
      </c>
      <c r="C84">
        <v>43.82</v>
      </c>
      <c r="D84">
        <v>42.87</v>
      </c>
      <c r="E84" s="30">
        <v>43.81</v>
      </c>
      <c r="F84">
        <v>2141600</v>
      </c>
    </row>
    <row r="85" spans="1:6">
      <c r="A85" s="70">
        <v>41291</v>
      </c>
      <c r="B85">
        <v>42.82</v>
      </c>
      <c r="C85">
        <v>42.95</v>
      </c>
      <c r="D85">
        <v>42.65</v>
      </c>
      <c r="E85" s="30">
        <v>42.76</v>
      </c>
      <c r="F85">
        <v>995600</v>
      </c>
    </row>
    <row r="86" spans="1:6">
      <c r="A86" s="70">
        <v>41290</v>
      </c>
      <c r="B86">
        <v>42.61</v>
      </c>
      <c r="C86">
        <v>42.83</v>
      </c>
      <c r="D86">
        <v>42.17</v>
      </c>
      <c r="E86" s="30">
        <v>42.62</v>
      </c>
      <c r="F86">
        <v>1140500</v>
      </c>
    </row>
    <row r="87" spans="1:6">
      <c r="A87" s="70">
        <v>41289</v>
      </c>
      <c r="B87">
        <v>42.25</v>
      </c>
      <c r="C87">
        <v>42.82</v>
      </c>
      <c r="D87">
        <v>42.2</v>
      </c>
      <c r="E87" s="30">
        <v>42.65</v>
      </c>
      <c r="F87">
        <v>1545100</v>
      </c>
    </row>
    <row r="88" spans="1:6">
      <c r="A88" s="70">
        <v>41288</v>
      </c>
      <c r="B88">
        <v>42.49</v>
      </c>
      <c r="C88">
        <v>42.86</v>
      </c>
      <c r="D88">
        <v>42.28</v>
      </c>
      <c r="E88" s="30">
        <v>42.64</v>
      </c>
      <c r="F88">
        <v>957400</v>
      </c>
    </row>
    <row r="89" spans="1:6">
      <c r="A89" s="70">
        <v>41285</v>
      </c>
      <c r="B89">
        <v>42.25</v>
      </c>
      <c r="C89">
        <v>42.76</v>
      </c>
      <c r="D89">
        <v>42.13</v>
      </c>
      <c r="E89" s="30">
        <v>42.68</v>
      </c>
      <c r="F89">
        <v>1276800</v>
      </c>
    </row>
    <row r="90" spans="1:6">
      <c r="A90" s="70">
        <v>41284</v>
      </c>
      <c r="B90">
        <v>42.02</v>
      </c>
      <c r="C90">
        <v>42.41</v>
      </c>
      <c r="D90">
        <v>41.88</v>
      </c>
      <c r="E90" s="30">
        <v>42.23</v>
      </c>
      <c r="F90">
        <v>1810400</v>
      </c>
    </row>
    <row r="91" spans="1:6">
      <c r="A91" s="70">
        <v>41283</v>
      </c>
      <c r="B91">
        <v>41.05</v>
      </c>
      <c r="C91">
        <v>41.95</v>
      </c>
      <c r="D91">
        <v>41.01</v>
      </c>
      <c r="E91" s="30">
        <v>41.82</v>
      </c>
      <c r="F91">
        <v>1743400</v>
      </c>
    </row>
    <row r="92" spans="1:6">
      <c r="A92" s="70">
        <v>41282</v>
      </c>
      <c r="B92">
        <v>40.24</v>
      </c>
      <c r="C92">
        <v>41.08</v>
      </c>
      <c r="D92">
        <v>40.17</v>
      </c>
      <c r="E92" s="30">
        <v>40.92</v>
      </c>
      <c r="F92">
        <v>1186000</v>
      </c>
    </row>
    <row r="93" spans="1:6">
      <c r="A93" s="70">
        <v>41281</v>
      </c>
      <c r="B93">
        <v>40.700000000000003</v>
      </c>
      <c r="C93">
        <v>40.9</v>
      </c>
      <c r="D93">
        <v>40.28</v>
      </c>
      <c r="E93" s="30">
        <v>40.42</v>
      </c>
      <c r="F93">
        <v>916100</v>
      </c>
    </row>
    <row r="94" spans="1:6">
      <c r="A94" s="70">
        <v>41278</v>
      </c>
      <c r="B94">
        <v>40.92</v>
      </c>
      <c r="C94">
        <v>41.17</v>
      </c>
      <c r="D94">
        <v>40.72</v>
      </c>
      <c r="E94" s="30">
        <v>40.93</v>
      </c>
      <c r="F94">
        <v>818000</v>
      </c>
    </row>
    <row r="95" spans="1:6">
      <c r="A95" s="70">
        <v>41277</v>
      </c>
      <c r="B95">
        <v>41.04</v>
      </c>
      <c r="C95">
        <v>41.23</v>
      </c>
      <c r="D95">
        <v>40.68</v>
      </c>
      <c r="E95" s="30">
        <v>40.76</v>
      </c>
      <c r="F95">
        <v>976000</v>
      </c>
    </row>
    <row r="96" spans="1:6">
      <c r="A96" s="70">
        <v>41276</v>
      </c>
      <c r="B96">
        <v>40.28</v>
      </c>
      <c r="C96">
        <v>41.09</v>
      </c>
      <c r="D96">
        <v>40.21</v>
      </c>
      <c r="E96" s="30">
        <v>41.09</v>
      </c>
      <c r="F96">
        <v>2498700</v>
      </c>
    </row>
    <row r="97" spans="1:6">
      <c r="A97" s="70">
        <v>41275</v>
      </c>
      <c r="B97">
        <v>39.619999999999997</v>
      </c>
      <c r="C97">
        <v>39.619999999999997</v>
      </c>
      <c r="D97">
        <v>39.619999999999997</v>
      </c>
      <c r="E97" s="30">
        <v>39.619999999999997</v>
      </c>
      <c r="F97">
        <v>0</v>
      </c>
    </row>
    <row r="98" spans="1:6">
      <c r="A98" s="70">
        <v>41274</v>
      </c>
      <c r="B98">
        <v>39.56</v>
      </c>
      <c r="C98">
        <v>39.75</v>
      </c>
      <c r="D98">
        <v>39.31</v>
      </c>
      <c r="E98" s="30">
        <v>39.619999999999997</v>
      </c>
      <c r="F98">
        <v>1433100</v>
      </c>
    </row>
    <row r="99" spans="1:6">
      <c r="A99" s="70">
        <v>41271</v>
      </c>
      <c r="B99">
        <v>39.72</v>
      </c>
      <c r="C99">
        <v>39.880000000000003</v>
      </c>
      <c r="D99">
        <v>39.450000000000003</v>
      </c>
      <c r="E99" s="30">
        <v>39.56</v>
      </c>
      <c r="F99">
        <v>799400</v>
      </c>
    </row>
    <row r="100" spans="1:6">
      <c r="A100" s="70">
        <v>41270</v>
      </c>
      <c r="B100">
        <v>40.35</v>
      </c>
      <c r="C100">
        <v>40.39</v>
      </c>
      <c r="D100">
        <v>39.409999999999997</v>
      </c>
      <c r="E100" s="30">
        <v>39.880000000000003</v>
      </c>
      <c r="F100">
        <v>1381500</v>
      </c>
    </row>
    <row r="101" spans="1:6">
      <c r="A101" s="70">
        <v>41269</v>
      </c>
      <c r="B101">
        <v>40.74</v>
      </c>
      <c r="C101">
        <v>40.97</v>
      </c>
      <c r="D101">
        <v>40.29</v>
      </c>
      <c r="E101" s="30">
        <v>40.39</v>
      </c>
      <c r="F101">
        <v>982900</v>
      </c>
    </row>
    <row r="102" spans="1:6">
      <c r="A102" s="70">
        <v>41268</v>
      </c>
      <c r="B102">
        <v>40.869999999999997</v>
      </c>
      <c r="C102">
        <v>40.869999999999997</v>
      </c>
      <c r="D102">
        <v>40.869999999999997</v>
      </c>
      <c r="E102" s="30">
        <v>40.869999999999997</v>
      </c>
      <c r="F102">
        <v>0</v>
      </c>
    </row>
    <row r="103" spans="1:6">
      <c r="A103" s="70">
        <v>41267</v>
      </c>
      <c r="B103">
        <v>40.83</v>
      </c>
      <c r="C103">
        <v>41.04</v>
      </c>
      <c r="D103">
        <v>40.450000000000003</v>
      </c>
      <c r="E103" s="30">
        <v>40.869999999999997</v>
      </c>
      <c r="F103">
        <v>446900</v>
      </c>
    </row>
    <row r="104" spans="1:6">
      <c r="A104" s="70">
        <v>41264</v>
      </c>
      <c r="B104">
        <v>40.86</v>
      </c>
      <c r="C104">
        <v>41.1</v>
      </c>
      <c r="D104">
        <v>40.29</v>
      </c>
      <c r="E104" s="30">
        <v>40.71</v>
      </c>
      <c r="F104">
        <v>2968100</v>
      </c>
    </row>
    <row r="105" spans="1:6">
      <c r="A105" s="70">
        <v>41263</v>
      </c>
      <c r="B105">
        <v>41.98</v>
      </c>
      <c r="C105">
        <v>42.04</v>
      </c>
      <c r="D105">
        <v>41.79</v>
      </c>
      <c r="E105" s="30">
        <v>41.94</v>
      </c>
      <c r="F105">
        <v>1632100</v>
      </c>
    </row>
    <row r="106" spans="1:6">
      <c r="A106" s="70">
        <v>41262</v>
      </c>
      <c r="B106">
        <v>41.79</v>
      </c>
      <c r="C106">
        <v>42.3</v>
      </c>
      <c r="D106">
        <v>41.69</v>
      </c>
      <c r="E106" s="30">
        <v>41.91</v>
      </c>
      <c r="F106">
        <v>2858900</v>
      </c>
    </row>
    <row r="107" spans="1:6">
      <c r="A107" s="70">
        <v>41261</v>
      </c>
      <c r="B107">
        <v>41.11</v>
      </c>
      <c r="C107">
        <v>41.69</v>
      </c>
      <c r="D107">
        <v>40.82</v>
      </c>
      <c r="E107" s="30">
        <v>41.67</v>
      </c>
      <c r="F107">
        <v>2153400</v>
      </c>
    </row>
    <row r="108" spans="1:6">
      <c r="A108" s="70">
        <v>41260</v>
      </c>
      <c r="B108">
        <v>40.159999999999997</v>
      </c>
      <c r="C108">
        <v>41.1</v>
      </c>
      <c r="D108">
        <v>39.99</v>
      </c>
      <c r="E108" s="30">
        <v>41.08</v>
      </c>
      <c r="F108">
        <v>2233600</v>
      </c>
    </row>
    <row r="109" spans="1:6">
      <c r="A109" s="70">
        <v>41257</v>
      </c>
      <c r="B109">
        <v>39.729999999999997</v>
      </c>
      <c r="C109">
        <v>40.32</v>
      </c>
      <c r="D109">
        <v>39.61</v>
      </c>
      <c r="E109" s="30">
        <v>40.18</v>
      </c>
      <c r="F109">
        <v>995400</v>
      </c>
    </row>
    <row r="110" spans="1:6">
      <c r="A110" s="70">
        <v>41256</v>
      </c>
      <c r="B110">
        <v>40.68</v>
      </c>
      <c r="C110">
        <v>40.98</v>
      </c>
      <c r="D110">
        <v>39.799999999999997</v>
      </c>
      <c r="E110" s="30">
        <v>39.89</v>
      </c>
      <c r="F110">
        <v>1573100</v>
      </c>
    </row>
    <row r="111" spans="1:6">
      <c r="A111" s="70">
        <v>41255</v>
      </c>
      <c r="B111">
        <v>41.59</v>
      </c>
      <c r="C111">
        <v>41.6</v>
      </c>
      <c r="D111">
        <v>40.67</v>
      </c>
      <c r="E111" s="30">
        <v>40.799999999999997</v>
      </c>
      <c r="F111">
        <v>2112200</v>
      </c>
    </row>
    <row r="112" spans="1:6">
      <c r="A112" s="70">
        <v>41254</v>
      </c>
      <c r="B112">
        <v>41.3</v>
      </c>
      <c r="C112">
        <v>41.59</v>
      </c>
      <c r="D112">
        <v>40.950000000000003</v>
      </c>
      <c r="E112" s="30">
        <v>41.53</v>
      </c>
      <c r="F112">
        <v>1884300</v>
      </c>
    </row>
    <row r="113" spans="1:6">
      <c r="A113" s="70">
        <v>41253</v>
      </c>
      <c r="B113">
        <v>40.51</v>
      </c>
      <c r="C113">
        <v>41.42</v>
      </c>
      <c r="D113">
        <v>40.51</v>
      </c>
      <c r="E113" s="30">
        <v>41.42</v>
      </c>
      <c r="F113">
        <v>1126200</v>
      </c>
    </row>
    <row r="114" spans="1:6">
      <c r="A114" s="70">
        <v>41250</v>
      </c>
      <c r="B114">
        <v>41.01</v>
      </c>
      <c r="C114">
        <v>41.05</v>
      </c>
      <c r="D114">
        <v>40.69</v>
      </c>
      <c r="E114" s="30">
        <v>40.81</v>
      </c>
      <c r="F114">
        <v>1099200</v>
      </c>
    </row>
    <row r="115" spans="1:6">
      <c r="A115" s="70">
        <v>41249</v>
      </c>
      <c r="B115">
        <v>40.22</v>
      </c>
      <c r="C115">
        <v>40.74</v>
      </c>
      <c r="D115">
        <v>40.03</v>
      </c>
      <c r="E115" s="30">
        <v>40.729999999999997</v>
      </c>
      <c r="F115">
        <v>732200</v>
      </c>
    </row>
    <row r="116" spans="1:6">
      <c r="A116" s="70">
        <v>41248</v>
      </c>
      <c r="B116">
        <v>40.28</v>
      </c>
      <c r="C116">
        <v>40.380000000000003</v>
      </c>
      <c r="D116">
        <v>39.869999999999997</v>
      </c>
      <c r="E116" s="30">
        <v>40.200000000000003</v>
      </c>
      <c r="F116">
        <v>1217500</v>
      </c>
    </row>
    <row r="117" spans="1:6">
      <c r="A117" s="70">
        <v>41247</v>
      </c>
      <c r="B117">
        <v>40.6</v>
      </c>
      <c r="C117">
        <v>40.74</v>
      </c>
      <c r="D117">
        <v>40.22</v>
      </c>
      <c r="E117" s="30">
        <v>40.42</v>
      </c>
      <c r="F117">
        <v>937400</v>
      </c>
    </row>
    <row r="118" spans="1:6">
      <c r="A118" s="70">
        <v>41246</v>
      </c>
      <c r="B118">
        <v>41.08</v>
      </c>
      <c r="C118">
        <v>41.1</v>
      </c>
      <c r="D118">
        <v>40.54</v>
      </c>
      <c r="E118" s="30">
        <v>40.54</v>
      </c>
      <c r="F118">
        <v>861200</v>
      </c>
    </row>
    <row r="119" spans="1:6">
      <c r="A119" s="70">
        <v>41243</v>
      </c>
      <c r="B119">
        <v>40.950000000000003</v>
      </c>
      <c r="C119">
        <v>41.03</v>
      </c>
      <c r="D119">
        <v>40.72</v>
      </c>
      <c r="E119" s="30">
        <v>40.96</v>
      </c>
      <c r="F119">
        <v>1196900</v>
      </c>
    </row>
    <row r="120" spans="1:6">
      <c r="A120" s="70">
        <v>41242</v>
      </c>
      <c r="B120">
        <v>41</v>
      </c>
      <c r="C120">
        <v>41.08</v>
      </c>
      <c r="D120">
        <v>40.630000000000003</v>
      </c>
      <c r="E120" s="30">
        <v>40.880000000000003</v>
      </c>
      <c r="F120">
        <v>1101900</v>
      </c>
    </row>
    <row r="121" spans="1:6">
      <c r="A121" s="70">
        <v>41241</v>
      </c>
      <c r="B121">
        <v>40.340000000000003</v>
      </c>
      <c r="C121">
        <v>40.98</v>
      </c>
      <c r="D121">
        <v>39.93</v>
      </c>
      <c r="E121" s="30">
        <v>40.950000000000003</v>
      </c>
      <c r="F121">
        <v>1041000</v>
      </c>
    </row>
    <row r="122" spans="1:6">
      <c r="A122" s="70">
        <v>41240</v>
      </c>
      <c r="B122">
        <v>40.19</v>
      </c>
      <c r="C122">
        <v>41.36</v>
      </c>
      <c r="D122">
        <v>40.020000000000003</v>
      </c>
      <c r="E122" s="30">
        <v>40.619999999999997</v>
      </c>
      <c r="F122">
        <v>1894700</v>
      </c>
    </row>
    <row r="123" spans="1:6">
      <c r="A123" s="70">
        <v>41239</v>
      </c>
      <c r="B123">
        <v>40.090000000000003</v>
      </c>
      <c r="C123">
        <v>40.299999999999997</v>
      </c>
      <c r="D123">
        <v>39.79</v>
      </c>
      <c r="E123" s="30">
        <v>40.26</v>
      </c>
      <c r="F123">
        <v>1097800</v>
      </c>
    </row>
    <row r="124" spans="1:6">
      <c r="A124" s="70">
        <v>41236</v>
      </c>
      <c r="B124">
        <v>39.840000000000003</v>
      </c>
      <c r="C124">
        <v>40.26</v>
      </c>
      <c r="D124">
        <v>39.64</v>
      </c>
      <c r="E124" s="30">
        <v>40.19</v>
      </c>
      <c r="F124">
        <v>318800</v>
      </c>
    </row>
    <row r="125" spans="1:6">
      <c r="A125" s="70">
        <v>41235</v>
      </c>
      <c r="B125">
        <v>39.68</v>
      </c>
      <c r="C125">
        <v>39.68</v>
      </c>
      <c r="D125">
        <v>39.68</v>
      </c>
      <c r="E125" s="30">
        <v>39.68</v>
      </c>
      <c r="F125">
        <v>0</v>
      </c>
    </row>
    <row r="126" spans="1:6">
      <c r="A126" s="70">
        <v>41234</v>
      </c>
      <c r="B126">
        <v>39.53</v>
      </c>
      <c r="C126">
        <v>39.880000000000003</v>
      </c>
      <c r="D126">
        <v>39.479999999999997</v>
      </c>
      <c r="E126" s="30">
        <v>39.68</v>
      </c>
      <c r="F126">
        <v>536800</v>
      </c>
    </row>
    <row r="127" spans="1:6">
      <c r="A127" s="70">
        <v>41233</v>
      </c>
      <c r="B127">
        <v>39.58</v>
      </c>
      <c r="C127">
        <v>39.71</v>
      </c>
      <c r="D127">
        <v>39.33</v>
      </c>
      <c r="E127" s="30">
        <v>39.56</v>
      </c>
      <c r="F127">
        <v>1292700</v>
      </c>
    </row>
    <row r="128" spans="1:6">
      <c r="A128" s="70">
        <v>41232</v>
      </c>
      <c r="B128">
        <v>39.29</v>
      </c>
      <c r="C128">
        <v>39.659999999999997</v>
      </c>
      <c r="D128">
        <v>39.03</v>
      </c>
      <c r="E128" s="30">
        <v>39.590000000000003</v>
      </c>
      <c r="F128">
        <v>1018900</v>
      </c>
    </row>
    <row r="129" spans="1:6">
      <c r="A129" s="70">
        <v>41229</v>
      </c>
      <c r="B129">
        <v>38.89</v>
      </c>
      <c r="C129">
        <v>38.99</v>
      </c>
      <c r="D129">
        <v>38.04</v>
      </c>
      <c r="E129" s="30">
        <v>38.729999999999997</v>
      </c>
      <c r="F129">
        <v>1214600</v>
      </c>
    </row>
    <row r="130" spans="1:6">
      <c r="A130" s="70">
        <v>41228</v>
      </c>
      <c r="B130">
        <v>39.33</v>
      </c>
      <c r="C130">
        <v>39.47</v>
      </c>
      <c r="D130">
        <v>38.61</v>
      </c>
      <c r="E130" s="30">
        <v>39.01</v>
      </c>
      <c r="F130">
        <v>971800</v>
      </c>
    </row>
    <row r="131" spans="1:6">
      <c r="A131" s="70">
        <v>41227</v>
      </c>
      <c r="B131">
        <v>39.9</v>
      </c>
      <c r="C131">
        <v>40</v>
      </c>
      <c r="D131">
        <v>39.049999999999997</v>
      </c>
      <c r="E131" s="30">
        <v>39.26</v>
      </c>
      <c r="F131">
        <v>1222000</v>
      </c>
    </row>
    <row r="132" spans="1:6">
      <c r="A132" s="70">
        <v>41226</v>
      </c>
      <c r="B132">
        <v>39.92</v>
      </c>
      <c r="C132">
        <v>39.99</v>
      </c>
      <c r="D132">
        <v>39.54</v>
      </c>
      <c r="E132" s="30">
        <v>39.74</v>
      </c>
      <c r="F132">
        <v>805800</v>
      </c>
    </row>
    <row r="133" spans="1:6">
      <c r="A133" s="70">
        <v>41225</v>
      </c>
      <c r="B133">
        <v>40.299999999999997</v>
      </c>
      <c r="C133">
        <v>40.32</v>
      </c>
      <c r="D133">
        <v>39.729999999999997</v>
      </c>
      <c r="E133" s="30">
        <v>40.119999999999997</v>
      </c>
      <c r="F133">
        <v>642000</v>
      </c>
    </row>
    <row r="134" spans="1:6">
      <c r="A134" s="70">
        <v>41222</v>
      </c>
      <c r="B134">
        <v>39.82</v>
      </c>
      <c r="C134">
        <v>40.590000000000003</v>
      </c>
      <c r="D134">
        <v>39.82</v>
      </c>
      <c r="E134" s="30">
        <v>40.24</v>
      </c>
      <c r="F134">
        <v>972900</v>
      </c>
    </row>
    <row r="135" spans="1:6">
      <c r="A135" s="70">
        <v>41221</v>
      </c>
      <c r="B135">
        <v>40.94</v>
      </c>
      <c r="C135">
        <v>41.05</v>
      </c>
      <c r="D135">
        <v>39.96</v>
      </c>
      <c r="E135" s="30">
        <v>39.979999999999997</v>
      </c>
      <c r="F135">
        <v>1022600</v>
      </c>
    </row>
    <row r="136" spans="1:6">
      <c r="A136" s="70">
        <v>41220</v>
      </c>
      <c r="B136">
        <v>41.25</v>
      </c>
      <c r="C136">
        <v>41.34</v>
      </c>
      <c r="D136">
        <v>40.96</v>
      </c>
      <c r="E136" s="30">
        <v>41.08</v>
      </c>
      <c r="F136">
        <v>1507400</v>
      </c>
    </row>
    <row r="137" spans="1:6">
      <c r="A137" s="70">
        <v>41219</v>
      </c>
      <c r="B137">
        <v>41.21</v>
      </c>
      <c r="C137">
        <v>41.86</v>
      </c>
      <c r="D137">
        <v>41.19</v>
      </c>
      <c r="E137" s="30">
        <v>41.55</v>
      </c>
      <c r="F137">
        <v>2564300</v>
      </c>
    </row>
    <row r="138" spans="1:6">
      <c r="A138" s="70">
        <v>41218</v>
      </c>
      <c r="B138">
        <v>40.700000000000003</v>
      </c>
      <c r="C138">
        <v>41.16</v>
      </c>
      <c r="D138">
        <v>40.67</v>
      </c>
      <c r="E138" s="30">
        <v>41.06</v>
      </c>
      <c r="F138">
        <v>1298300</v>
      </c>
    </row>
    <row r="139" spans="1:6">
      <c r="A139" s="70">
        <v>41215</v>
      </c>
      <c r="B139">
        <v>41.11</v>
      </c>
      <c r="C139">
        <v>41.34</v>
      </c>
      <c r="D139">
        <v>40.97</v>
      </c>
      <c r="E139" s="30">
        <v>41.04</v>
      </c>
      <c r="F139">
        <v>1719300</v>
      </c>
    </row>
    <row r="140" spans="1:6">
      <c r="A140" s="70">
        <v>41214</v>
      </c>
      <c r="B140">
        <v>41.5</v>
      </c>
      <c r="C140">
        <v>41.72</v>
      </c>
      <c r="D140">
        <v>40.5</v>
      </c>
      <c r="E140" s="30">
        <v>40.98</v>
      </c>
      <c r="F140">
        <v>3891600</v>
      </c>
    </row>
    <row r="141" spans="1:6">
      <c r="A141" s="70">
        <v>41213</v>
      </c>
      <c r="B141">
        <v>41.02</v>
      </c>
      <c r="C141">
        <v>41.74</v>
      </c>
      <c r="D141">
        <v>40.49</v>
      </c>
      <c r="E141" s="30">
        <v>40.700000000000003</v>
      </c>
      <c r="F141">
        <v>1588900</v>
      </c>
    </row>
    <row r="142" spans="1:6">
      <c r="A142" s="70">
        <v>41212</v>
      </c>
      <c r="B142">
        <v>40.98</v>
      </c>
      <c r="C142">
        <v>40.98</v>
      </c>
      <c r="D142">
        <v>40.98</v>
      </c>
      <c r="E142" s="30">
        <v>40.98</v>
      </c>
      <c r="F142">
        <v>0</v>
      </c>
    </row>
    <row r="143" spans="1:6">
      <c r="A143" s="70">
        <v>41211</v>
      </c>
      <c r="B143">
        <v>40.98</v>
      </c>
      <c r="C143">
        <v>40.98</v>
      </c>
      <c r="D143">
        <v>40.98</v>
      </c>
      <c r="E143" s="30">
        <v>40.98</v>
      </c>
      <c r="F143">
        <v>0</v>
      </c>
    </row>
    <row r="144" spans="1:6">
      <c r="A144" s="70">
        <v>41208</v>
      </c>
      <c r="B144">
        <v>41.02</v>
      </c>
      <c r="C144">
        <v>41.58</v>
      </c>
      <c r="D144">
        <v>40.71</v>
      </c>
      <c r="E144" s="30">
        <v>40.98</v>
      </c>
      <c r="F144">
        <v>884200</v>
      </c>
    </row>
    <row r="145" spans="1:6">
      <c r="A145" s="70">
        <v>41207</v>
      </c>
      <c r="B145">
        <v>41.54</v>
      </c>
      <c r="C145">
        <v>41.74</v>
      </c>
      <c r="D145">
        <v>41.16</v>
      </c>
      <c r="E145" s="30">
        <v>41.47</v>
      </c>
      <c r="F145">
        <v>647800</v>
      </c>
    </row>
    <row r="146" spans="1:6">
      <c r="A146" s="70">
        <v>41206</v>
      </c>
      <c r="B146">
        <v>41.5</v>
      </c>
      <c r="C146">
        <v>41.76</v>
      </c>
      <c r="D146">
        <v>41.03</v>
      </c>
      <c r="E146" s="30">
        <v>41.38</v>
      </c>
      <c r="F146">
        <v>1233600</v>
      </c>
    </row>
    <row r="147" spans="1:6">
      <c r="A147" s="70">
        <v>41205</v>
      </c>
      <c r="B147">
        <v>40.770000000000003</v>
      </c>
      <c r="C147">
        <v>41.63</v>
      </c>
      <c r="D147">
        <v>40.35</v>
      </c>
      <c r="E147" s="30">
        <v>41.53</v>
      </c>
      <c r="F147">
        <v>1707300</v>
      </c>
    </row>
    <row r="148" spans="1:6">
      <c r="A148" s="70">
        <v>41204</v>
      </c>
      <c r="B148">
        <v>41.89</v>
      </c>
      <c r="C148">
        <v>41.89</v>
      </c>
      <c r="D148">
        <v>40.49</v>
      </c>
      <c r="E148" s="30">
        <v>41.02</v>
      </c>
      <c r="F148">
        <v>2081800</v>
      </c>
    </row>
    <row r="149" spans="1:6">
      <c r="A149" s="70">
        <v>41201</v>
      </c>
      <c r="B149">
        <v>41.12</v>
      </c>
      <c r="C149">
        <v>41.27</v>
      </c>
      <c r="D149">
        <v>40.24</v>
      </c>
      <c r="E149" s="30">
        <v>40.340000000000003</v>
      </c>
      <c r="F149">
        <v>1029700</v>
      </c>
    </row>
    <row r="150" spans="1:6">
      <c r="A150" s="70">
        <v>41200</v>
      </c>
      <c r="B150">
        <v>41.19</v>
      </c>
      <c r="C150">
        <v>41.46</v>
      </c>
      <c r="D150">
        <v>40.89</v>
      </c>
      <c r="E150" s="30">
        <v>41.1</v>
      </c>
      <c r="F150">
        <v>1115600</v>
      </c>
    </row>
    <row r="151" spans="1:6">
      <c r="A151" s="70">
        <v>41199</v>
      </c>
      <c r="B151">
        <v>41.59</v>
      </c>
      <c r="C151">
        <v>41.74</v>
      </c>
      <c r="D151">
        <v>41.05</v>
      </c>
      <c r="E151" s="30">
        <v>41.13</v>
      </c>
      <c r="F151">
        <v>1319000</v>
      </c>
    </row>
    <row r="152" spans="1:6">
      <c r="A152" s="70">
        <v>41198</v>
      </c>
      <c r="B152">
        <v>41.44</v>
      </c>
      <c r="C152">
        <v>42.17</v>
      </c>
      <c r="D152">
        <v>41.23</v>
      </c>
      <c r="E152" s="30">
        <v>42.02</v>
      </c>
      <c r="F152">
        <v>1311300</v>
      </c>
    </row>
    <row r="153" spans="1:6">
      <c r="A153" s="70">
        <v>41197</v>
      </c>
      <c r="B153">
        <v>42</v>
      </c>
      <c r="C153">
        <v>42.2</v>
      </c>
      <c r="D153">
        <v>41.14</v>
      </c>
      <c r="E153" s="30">
        <v>41.49</v>
      </c>
      <c r="F153">
        <v>1611200</v>
      </c>
    </row>
    <row r="154" spans="1:6">
      <c r="A154" s="70">
        <v>41194</v>
      </c>
      <c r="B154">
        <v>42.51</v>
      </c>
      <c r="C154">
        <v>42.78</v>
      </c>
      <c r="D154">
        <v>42.31</v>
      </c>
      <c r="E154" s="30">
        <v>42.55</v>
      </c>
      <c r="F154">
        <v>837300</v>
      </c>
    </row>
    <row r="155" spans="1:6">
      <c r="A155" s="70">
        <v>41193</v>
      </c>
      <c r="B155">
        <v>42.15</v>
      </c>
      <c r="C155">
        <v>42.52</v>
      </c>
      <c r="D155">
        <v>41.94</v>
      </c>
      <c r="E155" s="30">
        <v>42.43</v>
      </c>
      <c r="F155">
        <v>1319100</v>
      </c>
    </row>
    <row r="156" spans="1:6">
      <c r="A156" s="70">
        <v>41192</v>
      </c>
      <c r="B156">
        <v>42.46</v>
      </c>
      <c r="C156">
        <v>42.58</v>
      </c>
      <c r="D156">
        <v>41.91</v>
      </c>
      <c r="E156" s="30">
        <v>41.96</v>
      </c>
      <c r="F156">
        <v>1936500</v>
      </c>
    </row>
    <row r="157" spans="1:6">
      <c r="A157" s="70">
        <v>41191</v>
      </c>
      <c r="B157">
        <v>43.17</v>
      </c>
      <c r="C157">
        <v>43.24</v>
      </c>
      <c r="D157">
        <v>42.22</v>
      </c>
      <c r="E157" s="30">
        <v>42.45</v>
      </c>
      <c r="F157">
        <v>1101300</v>
      </c>
    </row>
    <row r="158" spans="1:6">
      <c r="A158" s="70">
        <v>41190</v>
      </c>
      <c r="B158">
        <v>43.19</v>
      </c>
      <c r="C158">
        <v>43.54</v>
      </c>
      <c r="D158">
        <v>43.05</v>
      </c>
      <c r="E158" s="30">
        <v>43.28</v>
      </c>
      <c r="F158">
        <v>712200</v>
      </c>
    </row>
    <row r="159" spans="1:6">
      <c r="A159" s="70">
        <v>41187</v>
      </c>
      <c r="B159">
        <v>43.67</v>
      </c>
      <c r="C159">
        <v>43.79</v>
      </c>
      <c r="D159">
        <v>43.2</v>
      </c>
      <c r="E159" s="30">
        <v>43.34</v>
      </c>
      <c r="F159">
        <v>1280300</v>
      </c>
    </row>
    <row r="160" spans="1:6">
      <c r="A160" s="70">
        <v>41186</v>
      </c>
      <c r="B160">
        <v>43.41</v>
      </c>
      <c r="C160">
        <v>43.62</v>
      </c>
      <c r="D160">
        <v>42.9</v>
      </c>
      <c r="E160" s="30">
        <v>43.39</v>
      </c>
      <c r="F160">
        <v>1049700</v>
      </c>
    </row>
    <row r="161" spans="1:6">
      <c r="A161" s="70">
        <v>41185</v>
      </c>
      <c r="B161">
        <v>43.45</v>
      </c>
      <c r="C161">
        <v>43.81</v>
      </c>
      <c r="D161">
        <v>42.97</v>
      </c>
      <c r="E161" s="30">
        <v>43.34</v>
      </c>
      <c r="F161">
        <v>1345100</v>
      </c>
    </row>
    <row r="162" spans="1:6">
      <c r="A162" s="70">
        <v>41184</v>
      </c>
      <c r="B162">
        <v>43</v>
      </c>
      <c r="C162">
        <v>44.06</v>
      </c>
      <c r="D162">
        <v>42.95</v>
      </c>
      <c r="E162" s="30">
        <v>43.48</v>
      </c>
      <c r="F162">
        <v>2710800</v>
      </c>
    </row>
    <row r="163" spans="1:6">
      <c r="A163" s="70">
        <v>41183</v>
      </c>
      <c r="B163">
        <v>41.88</v>
      </c>
      <c r="C163">
        <v>45</v>
      </c>
      <c r="D163">
        <v>41.22</v>
      </c>
      <c r="E163" s="30">
        <v>42.85</v>
      </c>
      <c r="F163">
        <v>6330500</v>
      </c>
    </row>
    <row r="164" spans="1:6">
      <c r="A164" s="70">
        <v>41180</v>
      </c>
      <c r="B164">
        <v>41.43</v>
      </c>
      <c r="C164">
        <v>41.75</v>
      </c>
      <c r="D164">
        <v>41.18</v>
      </c>
      <c r="E164" s="30">
        <v>41.49</v>
      </c>
      <c r="F164">
        <v>751200</v>
      </c>
    </row>
    <row r="165" spans="1:6">
      <c r="A165" s="70">
        <v>41179</v>
      </c>
      <c r="B165">
        <v>41.53</v>
      </c>
      <c r="C165">
        <v>41.86</v>
      </c>
      <c r="D165">
        <v>41.1</v>
      </c>
      <c r="E165" s="30">
        <v>41.67</v>
      </c>
      <c r="F165">
        <v>1022700</v>
      </c>
    </row>
    <row r="166" spans="1:6">
      <c r="A166" s="70">
        <v>41178</v>
      </c>
      <c r="B166">
        <v>41.91</v>
      </c>
      <c r="C166">
        <v>41.92</v>
      </c>
      <c r="D166">
        <v>41.26</v>
      </c>
      <c r="E166" s="30">
        <v>41.33</v>
      </c>
      <c r="F166">
        <v>1287500</v>
      </c>
    </row>
    <row r="167" spans="1:6">
      <c r="A167" s="70">
        <v>41177</v>
      </c>
      <c r="B167">
        <v>42.73</v>
      </c>
      <c r="C167">
        <v>42.87</v>
      </c>
      <c r="D167">
        <v>41.78</v>
      </c>
      <c r="E167" s="30">
        <v>41.85</v>
      </c>
      <c r="F167">
        <v>1204400</v>
      </c>
    </row>
    <row r="168" spans="1:6">
      <c r="A168" s="70">
        <v>41176</v>
      </c>
      <c r="B168">
        <v>42.51</v>
      </c>
      <c r="C168">
        <v>42.99</v>
      </c>
      <c r="D168">
        <v>42.38</v>
      </c>
      <c r="E168" s="30">
        <v>42.68</v>
      </c>
      <c r="F168">
        <v>862200</v>
      </c>
    </row>
    <row r="169" spans="1:6">
      <c r="A169" s="70">
        <v>41173</v>
      </c>
      <c r="B169">
        <v>42.83</v>
      </c>
      <c r="C169">
        <v>43.09</v>
      </c>
      <c r="D169">
        <v>42.51</v>
      </c>
      <c r="E169" s="30">
        <v>42.79</v>
      </c>
      <c r="F169">
        <v>3561100</v>
      </c>
    </row>
    <row r="170" spans="1:6">
      <c r="A170" s="70">
        <v>41172</v>
      </c>
      <c r="B170">
        <v>42.71</v>
      </c>
      <c r="C170">
        <v>43</v>
      </c>
      <c r="D170">
        <v>42.65</v>
      </c>
      <c r="E170" s="30">
        <v>42.83</v>
      </c>
      <c r="F170">
        <v>671700</v>
      </c>
    </row>
    <row r="171" spans="1:6">
      <c r="A171" s="70">
        <v>41171</v>
      </c>
      <c r="B171">
        <v>43</v>
      </c>
      <c r="C171">
        <v>43.48</v>
      </c>
      <c r="D171">
        <v>42.85</v>
      </c>
      <c r="E171" s="30">
        <v>42.94</v>
      </c>
      <c r="F171">
        <v>737300</v>
      </c>
    </row>
    <row r="172" spans="1:6">
      <c r="A172" s="70">
        <v>41170</v>
      </c>
      <c r="B172">
        <v>43.6</v>
      </c>
      <c r="C172">
        <v>44.2</v>
      </c>
      <c r="D172">
        <v>42.99</v>
      </c>
      <c r="E172" s="30">
        <v>43.09</v>
      </c>
      <c r="F172">
        <v>1080200</v>
      </c>
    </row>
    <row r="173" spans="1:6">
      <c r="A173" s="70">
        <v>41169</v>
      </c>
      <c r="B173">
        <v>43.2</v>
      </c>
      <c r="C173">
        <v>43.25</v>
      </c>
      <c r="D173">
        <v>42.71</v>
      </c>
      <c r="E173" s="30">
        <v>42.99</v>
      </c>
      <c r="F173">
        <v>769600</v>
      </c>
    </row>
    <row r="174" spans="1:6">
      <c r="A174" s="70">
        <v>41166</v>
      </c>
      <c r="B174">
        <v>42.95</v>
      </c>
      <c r="C174">
        <v>43.42</v>
      </c>
      <c r="D174">
        <v>42.76</v>
      </c>
      <c r="E174" s="30">
        <v>43.09</v>
      </c>
      <c r="F174">
        <v>920600</v>
      </c>
    </row>
    <row r="175" spans="1:6">
      <c r="A175" s="70">
        <v>41165</v>
      </c>
      <c r="B175">
        <v>42.7</v>
      </c>
      <c r="C175">
        <v>43.24</v>
      </c>
      <c r="D175">
        <v>42.37</v>
      </c>
      <c r="E175" s="30">
        <v>42.96</v>
      </c>
      <c r="F175">
        <v>785600</v>
      </c>
    </row>
    <row r="176" spans="1:6">
      <c r="A176" s="70">
        <v>41164</v>
      </c>
      <c r="B176">
        <v>42.81</v>
      </c>
      <c r="C176">
        <v>42.95</v>
      </c>
      <c r="D176">
        <v>42.49</v>
      </c>
      <c r="E176" s="30">
        <v>42.67</v>
      </c>
      <c r="F176">
        <v>769900</v>
      </c>
    </row>
    <row r="177" spans="1:6">
      <c r="A177" s="70">
        <v>41163</v>
      </c>
      <c r="B177">
        <v>42.59</v>
      </c>
      <c r="C177">
        <v>43</v>
      </c>
      <c r="D177">
        <v>42.07</v>
      </c>
      <c r="E177" s="30">
        <v>42.76</v>
      </c>
      <c r="F177">
        <v>896400</v>
      </c>
    </row>
    <row r="178" spans="1:6">
      <c r="A178" s="70">
        <v>41162</v>
      </c>
      <c r="B178">
        <v>43.08</v>
      </c>
      <c r="C178">
        <v>43.16</v>
      </c>
      <c r="D178">
        <v>42.52</v>
      </c>
      <c r="E178" s="30">
        <v>42.7</v>
      </c>
      <c r="F178">
        <v>1323600</v>
      </c>
    </row>
    <row r="179" spans="1:6">
      <c r="A179" s="70">
        <v>41159</v>
      </c>
      <c r="B179">
        <v>43.34</v>
      </c>
      <c r="C179">
        <v>43.48</v>
      </c>
      <c r="D179">
        <v>43.11</v>
      </c>
      <c r="E179" s="30">
        <v>43.33</v>
      </c>
      <c r="F179">
        <v>856800</v>
      </c>
    </row>
    <row r="180" spans="1:6">
      <c r="A180" s="70">
        <v>41158</v>
      </c>
      <c r="B180">
        <v>42.36</v>
      </c>
      <c r="C180">
        <v>43.61</v>
      </c>
      <c r="D180">
        <v>42.29</v>
      </c>
      <c r="E180" s="30">
        <v>43.49</v>
      </c>
      <c r="F180">
        <v>1710200</v>
      </c>
    </row>
    <row r="181" spans="1:6">
      <c r="A181" s="70">
        <v>41157</v>
      </c>
      <c r="B181">
        <v>41.86</v>
      </c>
      <c r="C181">
        <v>42.24</v>
      </c>
      <c r="D181">
        <v>41.74</v>
      </c>
      <c r="E181" s="30">
        <v>42.18</v>
      </c>
      <c r="F181">
        <v>1323100</v>
      </c>
    </row>
    <row r="182" spans="1:6">
      <c r="A182" s="70">
        <v>41156</v>
      </c>
      <c r="B182">
        <v>41.43</v>
      </c>
      <c r="C182">
        <v>42.13</v>
      </c>
      <c r="D182">
        <v>41.31</v>
      </c>
      <c r="E182" s="30">
        <v>42</v>
      </c>
      <c r="F182">
        <v>1093100</v>
      </c>
    </row>
    <row r="183" spans="1:6">
      <c r="A183" s="70">
        <v>41155</v>
      </c>
      <c r="B183">
        <v>41.4</v>
      </c>
      <c r="C183">
        <v>41.4</v>
      </c>
      <c r="D183">
        <v>41.4</v>
      </c>
      <c r="E183" s="30">
        <v>41.4</v>
      </c>
      <c r="F183">
        <v>0</v>
      </c>
    </row>
    <row r="184" spans="1:6">
      <c r="A184" s="70">
        <v>41152</v>
      </c>
      <c r="B184">
        <v>41.46</v>
      </c>
      <c r="C184">
        <v>41.82</v>
      </c>
      <c r="D184">
        <v>41.07</v>
      </c>
      <c r="E184" s="30">
        <v>41.4</v>
      </c>
      <c r="F184">
        <v>1066600</v>
      </c>
    </row>
    <row r="185" spans="1:6">
      <c r="A185" s="70">
        <v>41151</v>
      </c>
      <c r="B185">
        <v>41.57</v>
      </c>
      <c r="C185">
        <v>41.6</v>
      </c>
      <c r="D185">
        <v>40.98</v>
      </c>
      <c r="E185" s="30">
        <v>41.09</v>
      </c>
      <c r="F185">
        <v>780100</v>
      </c>
    </row>
    <row r="186" spans="1:6">
      <c r="A186" s="70">
        <v>41150</v>
      </c>
      <c r="B186">
        <v>41.54</v>
      </c>
      <c r="C186">
        <v>41.82</v>
      </c>
      <c r="D186">
        <v>41.44</v>
      </c>
      <c r="E186" s="30">
        <v>41.75</v>
      </c>
      <c r="F186">
        <v>815200</v>
      </c>
    </row>
    <row r="187" spans="1:6">
      <c r="A187" s="70">
        <v>41149</v>
      </c>
      <c r="B187">
        <v>41.58</v>
      </c>
      <c r="C187">
        <v>41.94</v>
      </c>
      <c r="D187">
        <v>41.36</v>
      </c>
      <c r="E187" s="30">
        <v>41.68</v>
      </c>
      <c r="F187">
        <v>980000</v>
      </c>
    </row>
    <row r="188" spans="1:6">
      <c r="A188" s="70">
        <v>41148</v>
      </c>
      <c r="B188">
        <v>42.2</v>
      </c>
      <c r="C188">
        <v>42.22</v>
      </c>
      <c r="D188">
        <v>41.48</v>
      </c>
      <c r="E188" s="30">
        <v>41.54</v>
      </c>
      <c r="F188">
        <v>1056700</v>
      </c>
    </row>
    <row r="189" spans="1:6">
      <c r="A189" s="70">
        <v>41145</v>
      </c>
      <c r="B189">
        <v>41.86</v>
      </c>
      <c r="C189">
        <v>42.51</v>
      </c>
      <c r="D189">
        <v>41.81</v>
      </c>
      <c r="E189" s="30">
        <v>42.14</v>
      </c>
      <c r="F189">
        <v>1097900</v>
      </c>
    </row>
    <row r="190" spans="1:6">
      <c r="A190" s="70">
        <v>41144</v>
      </c>
      <c r="B190">
        <v>41.99</v>
      </c>
      <c r="C190">
        <v>42.35</v>
      </c>
      <c r="D190">
        <v>41.82</v>
      </c>
      <c r="E190" s="30">
        <v>42.04</v>
      </c>
      <c r="F190">
        <v>909300</v>
      </c>
    </row>
    <row r="191" spans="1:6">
      <c r="A191" s="70">
        <v>41143</v>
      </c>
      <c r="B191">
        <v>42.27</v>
      </c>
      <c r="C191">
        <v>42.42</v>
      </c>
      <c r="D191">
        <v>42.05</v>
      </c>
      <c r="E191" s="30">
        <v>42.17</v>
      </c>
      <c r="F191">
        <v>1272600</v>
      </c>
    </row>
    <row r="192" spans="1:6">
      <c r="A192" s="70">
        <v>41142</v>
      </c>
      <c r="B192">
        <v>42.26</v>
      </c>
      <c r="C192">
        <v>42.59</v>
      </c>
      <c r="D192">
        <v>42.14</v>
      </c>
      <c r="E192" s="30">
        <v>42.28</v>
      </c>
      <c r="F192">
        <v>1156900</v>
      </c>
    </row>
    <row r="193" spans="1:6">
      <c r="A193" s="70">
        <v>41141</v>
      </c>
      <c r="B193">
        <v>42.8</v>
      </c>
      <c r="C193">
        <v>42.8</v>
      </c>
      <c r="D193">
        <v>42.15</v>
      </c>
      <c r="E193" s="30">
        <v>42.24</v>
      </c>
      <c r="F193">
        <v>1209100</v>
      </c>
    </row>
    <row r="194" spans="1:6">
      <c r="A194" s="70">
        <v>41138</v>
      </c>
      <c r="B194">
        <v>42.48</v>
      </c>
      <c r="C194">
        <v>42.8</v>
      </c>
      <c r="D194">
        <v>41.89</v>
      </c>
      <c r="E194" s="30">
        <v>42.66</v>
      </c>
      <c r="F194">
        <v>1534100</v>
      </c>
    </row>
    <row r="195" spans="1:6">
      <c r="A195" s="70">
        <v>41137</v>
      </c>
      <c r="B195">
        <v>41.5</v>
      </c>
      <c r="C195">
        <v>42.43</v>
      </c>
      <c r="D195">
        <v>41.43</v>
      </c>
      <c r="E195" s="30">
        <v>42.4</v>
      </c>
      <c r="F195">
        <v>1482700</v>
      </c>
    </row>
    <row r="196" spans="1:6">
      <c r="A196" s="70">
        <v>41136</v>
      </c>
      <c r="B196">
        <v>40.99</v>
      </c>
      <c r="C196">
        <v>41.51</v>
      </c>
      <c r="D196">
        <v>40.85</v>
      </c>
      <c r="E196" s="30">
        <v>41.4</v>
      </c>
      <c r="F196">
        <v>609600</v>
      </c>
    </row>
    <row r="197" spans="1:6">
      <c r="A197" s="70">
        <v>41135</v>
      </c>
      <c r="B197">
        <v>41.11</v>
      </c>
      <c r="C197">
        <v>41.65</v>
      </c>
      <c r="D197">
        <v>40.94</v>
      </c>
      <c r="E197" s="30">
        <v>41.05</v>
      </c>
      <c r="F197">
        <v>1387400</v>
      </c>
    </row>
    <row r="198" spans="1:6">
      <c r="A198" s="70">
        <v>41134</v>
      </c>
      <c r="B198">
        <v>41.13</v>
      </c>
      <c r="C198">
        <v>41.33</v>
      </c>
      <c r="D198">
        <v>40.9</v>
      </c>
      <c r="E198" s="30">
        <v>41.01</v>
      </c>
      <c r="F198">
        <v>1147800</v>
      </c>
    </row>
    <row r="199" spans="1:6">
      <c r="A199" s="70">
        <v>41131</v>
      </c>
      <c r="B199">
        <v>40.93</v>
      </c>
      <c r="C199">
        <v>41.29</v>
      </c>
      <c r="D199">
        <v>40.9</v>
      </c>
      <c r="E199" s="30">
        <v>41.25</v>
      </c>
      <c r="F199">
        <v>843700</v>
      </c>
    </row>
    <row r="200" spans="1:6">
      <c r="A200" s="70">
        <v>41130</v>
      </c>
      <c r="B200">
        <v>40.71</v>
      </c>
      <c r="C200">
        <v>41.4</v>
      </c>
      <c r="D200">
        <v>40.68</v>
      </c>
      <c r="E200" s="30">
        <v>41</v>
      </c>
      <c r="F200">
        <v>1527000</v>
      </c>
    </row>
    <row r="201" spans="1:6">
      <c r="A201" s="70">
        <v>41129</v>
      </c>
      <c r="B201">
        <v>40.590000000000003</v>
      </c>
      <c r="C201">
        <v>41.23</v>
      </c>
      <c r="D201">
        <v>40.5</v>
      </c>
      <c r="E201" s="30">
        <v>40.93</v>
      </c>
      <c r="F201">
        <v>2104600</v>
      </c>
    </row>
    <row r="202" spans="1:6">
      <c r="A202" s="70">
        <v>41128</v>
      </c>
      <c r="B202">
        <v>40.340000000000003</v>
      </c>
      <c r="C202">
        <v>41.07</v>
      </c>
      <c r="D202">
        <v>40.32</v>
      </c>
      <c r="E202" s="30">
        <v>40.76</v>
      </c>
      <c r="F202">
        <v>2185300</v>
      </c>
    </row>
    <row r="203" spans="1:6">
      <c r="A203" s="70">
        <v>41127</v>
      </c>
      <c r="B203">
        <v>39.35</v>
      </c>
      <c r="C203">
        <v>40.72</v>
      </c>
      <c r="D203">
        <v>39.25</v>
      </c>
      <c r="E203" s="30">
        <v>40.340000000000003</v>
      </c>
      <c r="F203">
        <v>2203300</v>
      </c>
    </row>
    <row r="204" spans="1:6">
      <c r="A204" s="70">
        <v>41124</v>
      </c>
      <c r="B204">
        <v>38.26</v>
      </c>
      <c r="C204">
        <v>39.36</v>
      </c>
      <c r="D204">
        <v>38.08</v>
      </c>
      <c r="E204" s="30">
        <v>39.130000000000003</v>
      </c>
      <c r="F204">
        <v>2363800</v>
      </c>
    </row>
    <row r="205" spans="1:6">
      <c r="A205" s="70">
        <v>41123</v>
      </c>
      <c r="B205">
        <v>36.869999999999997</v>
      </c>
      <c r="C205">
        <v>37.86</v>
      </c>
      <c r="D205">
        <v>36.61</v>
      </c>
      <c r="E205" s="30">
        <v>37.81</v>
      </c>
      <c r="F205">
        <v>1965800</v>
      </c>
    </row>
    <row r="206" spans="1:6">
      <c r="A206" s="70">
        <v>41122</v>
      </c>
      <c r="B206">
        <v>36.92</v>
      </c>
      <c r="C206">
        <v>37.96</v>
      </c>
      <c r="D206">
        <v>35.479999999999997</v>
      </c>
      <c r="E206" s="30">
        <v>37.51</v>
      </c>
      <c r="F206">
        <v>4906500</v>
      </c>
    </row>
    <row r="207" spans="1:6">
      <c r="A207" s="70">
        <v>41121</v>
      </c>
      <c r="B207">
        <v>39.770000000000003</v>
      </c>
      <c r="C207">
        <v>39.99</v>
      </c>
      <c r="D207">
        <v>39.17</v>
      </c>
      <c r="E207" s="30">
        <v>39.6</v>
      </c>
      <c r="F207">
        <v>2479700</v>
      </c>
    </row>
    <row r="208" spans="1:6">
      <c r="A208" s="70">
        <v>41120</v>
      </c>
      <c r="B208">
        <v>39.93</v>
      </c>
      <c r="C208">
        <v>40.479999999999997</v>
      </c>
      <c r="D208">
        <v>39.29</v>
      </c>
      <c r="E208" s="30">
        <v>39.520000000000003</v>
      </c>
      <c r="F208">
        <v>1893200</v>
      </c>
    </row>
    <row r="209" spans="1:6">
      <c r="A209" s="70">
        <v>41117</v>
      </c>
      <c r="B209">
        <v>40</v>
      </c>
      <c r="C209">
        <v>40.11</v>
      </c>
      <c r="D209">
        <v>39.18</v>
      </c>
      <c r="E209" s="30">
        <v>39.76</v>
      </c>
      <c r="F209">
        <v>1922400</v>
      </c>
    </row>
    <row r="210" spans="1:6">
      <c r="A210" s="70">
        <v>41116</v>
      </c>
      <c r="B210">
        <v>39.840000000000003</v>
      </c>
      <c r="C210">
        <v>40.42</v>
      </c>
      <c r="D210">
        <v>39.4</v>
      </c>
      <c r="E210" s="30">
        <v>39.92</v>
      </c>
      <c r="F210">
        <v>1069200</v>
      </c>
    </row>
    <row r="211" spans="1:6">
      <c r="A211" s="70">
        <v>41115</v>
      </c>
      <c r="B211">
        <v>38.71</v>
      </c>
      <c r="C211">
        <v>39.43</v>
      </c>
      <c r="D211">
        <v>38.58</v>
      </c>
      <c r="E211" s="30">
        <v>39.130000000000003</v>
      </c>
      <c r="F211">
        <v>1218100</v>
      </c>
    </row>
    <row r="212" spans="1:6">
      <c r="A212" s="70">
        <v>41114</v>
      </c>
      <c r="B212">
        <v>39.31</v>
      </c>
      <c r="C212">
        <v>39.44</v>
      </c>
      <c r="D212">
        <v>38.520000000000003</v>
      </c>
      <c r="E212" s="30">
        <v>38.75</v>
      </c>
      <c r="F212">
        <v>1632900</v>
      </c>
    </row>
    <row r="213" spans="1:6">
      <c r="A213" s="70">
        <v>41113</v>
      </c>
      <c r="B213">
        <v>39.64</v>
      </c>
      <c r="C213">
        <v>39.72</v>
      </c>
      <c r="D213">
        <v>38.56</v>
      </c>
      <c r="E213" s="30">
        <v>39.299999999999997</v>
      </c>
      <c r="F213">
        <v>1595300</v>
      </c>
    </row>
    <row r="214" spans="1:6">
      <c r="A214" s="70">
        <v>41110</v>
      </c>
      <c r="B214">
        <v>40.880000000000003</v>
      </c>
      <c r="C214">
        <v>40.880000000000003</v>
      </c>
      <c r="D214">
        <v>40.229999999999997</v>
      </c>
      <c r="E214" s="30">
        <v>40.42</v>
      </c>
      <c r="F214">
        <v>1012800</v>
      </c>
    </row>
    <row r="215" spans="1:6">
      <c r="A215" s="70">
        <v>41109</v>
      </c>
      <c r="B215">
        <v>40.659999999999997</v>
      </c>
      <c r="C215">
        <v>41.27</v>
      </c>
      <c r="D215">
        <v>40.54</v>
      </c>
      <c r="E215" s="30">
        <v>40.83</v>
      </c>
      <c r="F215">
        <v>1302100</v>
      </c>
    </row>
    <row r="216" spans="1:6">
      <c r="A216" s="70">
        <v>41108</v>
      </c>
      <c r="B216">
        <v>39.17</v>
      </c>
      <c r="C216">
        <v>40.94</v>
      </c>
      <c r="D216">
        <v>39.090000000000003</v>
      </c>
      <c r="E216" s="30">
        <v>40.6</v>
      </c>
      <c r="F216">
        <v>1112200</v>
      </c>
    </row>
    <row r="217" spans="1:6">
      <c r="A217" s="70">
        <v>41107</v>
      </c>
      <c r="B217">
        <v>39.47</v>
      </c>
      <c r="C217">
        <v>39.619999999999997</v>
      </c>
      <c r="D217">
        <v>38.85</v>
      </c>
      <c r="E217" s="30">
        <v>39.51</v>
      </c>
      <c r="F217">
        <v>717200</v>
      </c>
    </row>
    <row r="218" spans="1:6">
      <c r="A218" s="70">
        <v>41106</v>
      </c>
      <c r="B218">
        <v>39.29</v>
      </c>
      <c r="C218">
        <v>39.479999999999997</v>
      </c>
      <c r="D218">
        <v>38.86</v>
      </c>
      <c r="E218" s="30">
        <v>39.32</v>
      </c>
      <c r="F218">
        <v>1218100</v>
      </c>
    </row>
    <row r="219" spans="1:6">
      <c r="A219" s="70">
        <v>41103</v>
      </c>
      <c r="B219">
        <v>39.020000000000003</v>
      </c>
      <c r="C219">
        <v>39.61</v>
      </c>
      <c r="D219">
        <v>38.94</v>
      </c>
      <c r="E219" s="30">
        <v>39.53</v>
      </c>
      <c r="F219">
        <v>1245300</v>
      </c>
    </row>
    <row r="220" spans="1:6">
      <c r="A220" s="70">
        <v>41102</v>
      </c>
      <c r="B220">
        <v>39.15</v>
      </c>
      <c r="C220">
        <v>39.33</v>
      </c>
      <c r="D220">
        <v>38.76</v>
      </c>
      <c r="E220" s="30">
        <v>39.07</v>
      </c>
      <c r="F220">
        <v>1199600</v>
      </c>
    </row>
    <row r="221" spans="1:6">
      <c r="A221" s="70">
        <v>41101</v>
      </c>
      <c r="B221">
        <v>39.64</v>
      </c>
      <c r="C221">
        <v>40.1</v>
      </c>
      <c r="D221">
        <v>39.21</v>
      </c>
      <c r="E221" s="30">
        <v>39.450000000000003</v>
      </c>
      <c r="F221">
        <v>1108700</v>
      </c>
    </row>
    <row r="222" spans="1:6">
      <c r="A222" s="70">
        <v>41100</v>
      </c>
      <c r="B222">
        <v>40.340000000000003</v>
      </c>
      <c r="C222">
        <v>40.6</v>
      </c>
      <c r="D222">
        <v>39.44</v>
      </c>
      <c r="E222" s="30">
        <v>39.64</v>
      </c>
      <c r="F222">
        <v>1340900</v>
      </c>
    </row>
    <row r="223" spans="1:6">
      <c r="A223" s="70">
        <v>41099</v>
      </c>
      <c r="B223">
        <v>40.47</v>
      </c>
      <c r="C223">
        <v>40.61</v>
      </c>
      <c r="D223">
        <v>39.82</v>
      </c>
      <c r="E223" s="30">
        <v>40.18</v>
      </c>
      <c r="F223">
        <v>1689500</v>
      </c>
    </row>
    <row r="224" spans="1:6">
      <c r="A224" s="70">
        <v>41096</v>
      </c>
      <c r="B224">
        <v>41.92</v>
      </c>
      <c r="C224">
        <v>42.12</v>
      </c>
      <c r="D224">
        <v>40.33</v>
      </c>
      <c r="E224" s="30">
        <v>40.67</v>
      </c>
      <c r="F224">
        <v>2169000</v>
      </c>
    </row>
    <row r="225" spans="1:6">
      <c r="A225" s="70">
        <v>41095</v>
      </c>
      <c r="B225">
        <v>42.38</v>
      </c>
      <c r="C225">
        <v>42.8</v>
      </c>
      <c r="D225">
        <v>41.97</v>
      </c>
      <c r="E225" s="30">
        <v>42.18</v>
      </c>
      <c r="F225">
        <v>1235000</v>
      </c>
    </row>
    <row r="226" spans="1:6">
      <c r="A226" s="70">
        <v>41094</v>
      </c>
      <c r="B226">
        <v>42.29</v>
      </c>
      <c r="C226">
        <v>42.29</v>
      </c>
      <c r="D226">
        <v>42.29</v>
      </c>
      <c r="E226" s="30">
        <v>42.29</v>
      </c>
      <c r="F226">
        <v>0</v>
      </c>
    </row>
    <row r="227" spans="1:6">
      <c r="A227" s="70">
        <v>41093</v>
      </c>
      <c r="B227">
        <v>42.91</v>
      </c>
      <c r="C227">
        <v>42.94</v>
      </c>
      <c r="D227">
        <v>42.04</v>
      </c>
      <c r="E227" s="30">
        <v>42.29</v>
      </c>
      <c r="F227">
        <v>1223400</v>
      </c>
    </row>
    <row r="228" spans="1:6">
      <c r="A228" s="70">
        <v>41092</v>
      </c>
      <c r="B228">
        <v>43</v>
      </c>
      <c r="C228">
        <v>43.6</v>
      </c>
      <c r="D228">
        <v>42.44</v>
      </c>
      <c r="E228" s="30">
        <v>42.58</v>
      </c>
      <c r="F228">
        <v>1157800</v>
      </c>
    </row>
    <row r="229" spans="1:6">
      <c r="A229" s="70">
        <v>41089</v>
      </c>
      <c r="B229">
        <v>42.14</v>
      </c>
      <c r="C229">
        <v>42.7</v>
      </c>
      <c r="D229">
        <v>41.81</v>
      </c>
      <c r="E229" s="30">
        <v>42.68</v>
      </c>
      <c r="F229">
        <v>1657200</v>
      </c>
    </row>
    <row r="230" spans="1:6">
      <c r="A230" s="70">
        <v>41088</v>
      </c>
      <c r="B230">
        <v>41.5</v>
      </c>
      <c r="C230">
        <v>41.64</v>
      </c>
      <c r="D230">
        <v>40.950000000000003</v>
      </c>
      <c r="E230" s="30">
        <v>41.53</v>
      </c>
      <c r="F230">
        <v>733700</v>
      </c>
    </row>
    <row r="231" spans="1:6">
      <c r="A231" s="70">
        <v>41087</v>
      </c>
      <c r="B231">
        <v>41.69</v>
      </c>
      <c r="C231">
        <v>42.04</v>
      </c>
      <c r="D231">
        <v>41.39</v>
      </c>
      <c r="E231" s="30">
        <v>41.71</v>
      </c>
      <c r="F231">
        <v>1079600</v>
      </c>
    </row>
    <row r="232" spans="1:6">
      <c r="A232" s="70">
        <v>41086</v>
      </c>
      <c r="B232">
        <v>41.83</v>
      </c>
      <c r="C232">
        <v>42</v>
      </c>
      <c r="D232">
        <v>41.45</v>
      </c>
      <c r="E232" s="30">
        <v>41.52</v>
      </c>
      <c r="F232">
        <v>1325900</v>
      </c>
    </row>
    <row r="233" spans="1:6">
      <c r="A233" s="70">
        <v>41085</v>
      </c>
      <c r="B233">
        <v>42.67</v>
      </c>
      <c r="C233">
        <v>42.72</v>
      </c>
      <c r="D233">
        <v>41.73</v>
      </c>
      <c r="E233" s="30">
        <v>41.78</v>
      </c>
      <c r="F233">
        <v>1405400</v>
      </c>
    </row>
    <row r="234" spans="1:6">
      <c r="A234" s="70">
        <v>41082</v>
      </c>
      <c r="B234">
        <v>42.32</v>
      </c>
      <c r="C234">
        <v>43.02</v>
      </c>
      <c r="D234">
        <v>42.32</v>
      </c>
      <c r="E234" s="30">
        <v>42.9</v>
      </c>
      <c r="F234">
        <v>1898100</v>
      </c>
    </row>
    <row r="235" spans="1:6">
      <c r="A235" s="70">
        <v>41081</v>
      </c>
      <c r="B235">
        <v>43.77</v>
      </c>
      <c r="C235">
        <v>43.99</v>
      </c>
      <c r="D235">
        <v>42.18</v>
      </c>
      <c r="E235" s="30">
        <v>42.32</v>
      </c>
      <c r="F235">
        <v>2368500</v>
      </c>
    </row>
    <row r="236" spans="1:6">
      <c r="A236" s="70">
        <v>41080</v>
      </c>
      <c r="B236">
        <v>43.94</v>
      </c>
      <c r="C236">
        <v>44.2</v>
      </c>
      <c r="D236">
        <v>43.68</v>
      </c>
      <c r="E236" s="30">
        <v>43.96</v>
      </c>
      <c r="F236">
        <v>1455100</v>
      </c>
    </row>
    <row r="237" spans="1:6">
      <c r="A237" s="70">
        <v>41079</v>
      </c>
      <c r="B237">
        <v>44.3</v>
      </c>
      <c r="C237">
        <v>44.69</v>
      </c>
      <c r="D237">
        <v>43.64</v>
      </c>
      <c r="E237" s="30">
        <v>43.83</v>
      </c>
      <c r="F237">
        <v>1695400</v>
      </c>
    </row>
    <row r="238" spans="1:6">
      <c r="A238" s="70">
        <v>41078</v>
      </c>
      <c r="B238">
        <v>43.69</v>
      </c>
      <c r="C238">
        <v>44.32</v>
      </c>
      <c r="D238">
        <v>43.45</v>
      </c>
      <c r="E238" s="30">
        <v>44.01</v>
      </c>
      <c r="F238">
        <v>1407300</v>
      </c>
    </row>
    <row r="239" spans="1:6">
      <c r="A239" s="70">
        <v>41075</v>
      </c>
      <c r="B239">
        <v>43.07</v>
      </c>
      <c r="C239">
        <v>43.85</v>
      </c>
      <c r="D239">
        <v>42.92</v>
      </c>
      <c r="E239" s="30">
        <v>43.76</v>
      </c>
      <c r="F239">
        <v>2489400</v>
      </c>
    </row>
    <row r="240" spans="1:6">
      <c r="A240" s="70">
        <v>41074</v>
      </c>
      <c r="B240">
        <v>43.31</v>
      </c>
      <c r="C240">
        <v>43.65</v>
      </c>
      <c r="D240">
        <v>42.68</v>
      </c>
      <c r="E240" s="30">
        <v>43</v>
      </c>
      <c r="F240">
        <v>2866600</v>
      </c>
    </row>
    <row r="241" spans="1:6">
      <c r="A241" s="70">
        <v>41073</v>
      </c>
      <c r="B241">
        <v>43</v>
      </c>
      <c r="C241">
        <v>43.73</v>
      </c>
      <c r="D241">
        <v>42.52</v>
      </c>
      <c r="E241" s="30">
        <v>43.44</v>
      </c>
      <c r="F241">
        <v>2176800</v>
      </c>
    </row>
    <row r="242" spans="1:6">
      <c r="A242" s="70">
        <v>41072</v>
      </c>
      <c r="B242">
        <v>42.48</v>
      </c>
      <c r="C242">
        <v>43.29</v>
      </c>
      <c r="D242">
        <v>42.3</v>
      </c>
      <c r="E242" s="30">
        <v>43.25</v>
      </c>
      <c r="F242">
        <v>1772100</v>
      </c>
    </row>
    <row r="243" spans="1:6">
      <c r="A243" s="70">
        <v>41071</v>
      </c>
      <c r="B243">
        <v>43.67</v>
      </c>
      <c r="C243">
        <v>43.78</v>
      </c>
      <c r="D243">
        <v>42.38</v>
      </c>
      <c r="E243" s="30">
        <v>42.47</v>
      </c>
      <c r="F243">
        <v>1672800</v>
      </c>
    </row>
    <row r="244" spans="1:6">
      <c r="A244" s="70">
        <v>41068</v>
      </c>
      <c r="B244">
        <v>43.36</v>
      </c>
      <c r="C244">
        <v>43.84</v>
      </c>
      <c r="D244">
        <v>43.21</v>
      </c>
      <c r="E244" s="30">
        <v>43.7</v>
      </c>
      <c r="F244">
        <v>1416100</v>
      </c>
    </row>
    <row r="245" spans="1:6">
      <c r="A245" s="70">
        <v>41067</v>
      </c>
      <c r="B245">
        <v>44</v>
      </c>
      <c r="C245">
        <v>44.07</v>
      </c>
      <c r="D245">
        <v>43.32</v>
      </c>
      <c r="E245" s="30">
        <v>43.71</v>
      </c>
      <c r="F245">
        <v>2255900</v>
      </c>
    </row>
    <row r="246" spans="1:6">
      <c r="A246" s="70">
        <v>41066</v>
      </c>
      <c r="B246">
        <v>42.52</v>
      </c>
      <c r="C246">
        <v>43.71</v>
      </c>
      <c r="D246">
        <v>42.36</v>
      </c>
      <c r="E246" s="30">
        <v>43.71</v>
      </c>
      <c r="F246">
        <v>1886000</v>
      </c>
    </row>
    <row r="247" spans="1:6">
      <c r="A247" s="70">
        <v>41065</v>
      </c>
      <c r="B247">
        <v>41.24</v>
      </c>
      <c r="C247">
        <v>42.38</v>
      </c>
      <c r="D247">
        <v>41.23</v>
      </c>
      <c r="E247" s="30">
        <v>42.23</v>
      </c>
      <c r="F247">
        <v>1126500</v>
      </c>
    </row>
    <row r="248" spans="1:6">
      <c r="A248" s="70">
        <v>41064</v>
      </c>
      <c r="B248">
        <v>42.04</v>
      </c>
      <c r="C248">
        <v>42.86</v>
      </c>
      <c r="D248">
        <v>41.27</v>
      </c>
      <c r="E248" s="30">
        <v>41.71</v>
      </c>
      <c r="F248">
        <v>1466500</v>
      </c>
    </row>
    <row r="249" spans="1:6">
      <c r="A249" s="70">
        <v>41061</v>
      </c>
      <c r="B249">
        <v>41.73</v>
      </c>
      <c r="C249">
        <v>42.56</v>
      </c>
      <c r="D249">
        <v>41.62</v>
      </c>
      <c r="E249" s="30">
        <v>41.89</v>
      </c>
      <c r="F249">
        <v>2829900</v>
      </c>
    </row>
    <row r="250" spans="1:6">
      <c r="A250" s="70">
        <v>41060</v>
      </c>
      <c r="B250">
        <v>43.12</v>
      </c>
      <c r="C250">
        <v>43.12</v>
      </c>
      <c r="D250">
        <v>41.77</v>
      </c>
      <c r="E250" s="30">
        <v>42.32</v>
      </c>
      <c r="F250">
        <v>3210800</v>
      </c>
    </row>
    <row r="251" spans="1:6">
      <c r="A251" s="70">
        <v>41059</v>
      </c>
      <c r="B251">
        <v>43.36</v>
      </c>
      <c r="C251">
        <v>43.38</v>
      </c>
      <c r="D251">
        <v>42.83</v>
      </c>
      <c r="E251" s="30">
        <v>43</v>
      </c>
      <c r="F251">
        <v>1445800</v>
      </c>
    </row>
    <row r="252" spans="1:6">
      <c r="A252" s="70">
        <v>41058</v>
      </c>
      <c r="B252">
        <v>44.05</v>
      </c>
      <c r="C252">
        <v>44.29</v>
      </c>
      <c r="D252">
        <v>43.27</v>
      </c>
      <c r="E252" s="30">
        <v>43.86</v>
      </c>
      <c r="F252">
        <v>1788200</v>
      </c>
    </row>
    <row r="253" spans="1:6">
      <c r="A253" s="70">
        <v>41057</v>
      </c>
      <c r="B253">
        <v>43.69</v>
      </c>
      <c r="C253">
        <v>43.69</v>
      </c>
      <c r="D253">
        <v>43.69</v>
      </c>
      <c r="E253" s="30">
        <v>43.69</v>
      </c>
      <c r="F253">
        <v>0</v>
      </c>
    </row>
    <row r="254" spans="1:6">
      <c r="A254" s="70">
        <v>41054</v>
      </c>
      <c r="B254">
        <v>43.15</v>
      </c>
      <c r="C254">
        <v>44.16</v>
      </c>
      <c r="D254">
        <v>43.01</v>
      </c>
      <c r="E254" s="30">
        <v>43.69</v>
      </c>
      <c r="F254">
        <v>2365600</v>
      </c>
    </row>
    <row r="255" spans="1:6">
      <c r="A255" s="70">
        <v>41053</v>
      </c>
      <c r="B255">
        <v>43.19</v>
      </c>
      <c r="C255">
        <v>43.24</v>
      </c>
      <c r="D255">
        <v>42.44</v>
      </c>
      <c r="E255" s="30">
        <v>42.97</v>
      </c>
      <c r="F255">
        <v>2489100</v>
      </c>
    </row>
    <row r="256" spans="1:6">
      <c r="A256" s="70">
        <v>41052</v>
      </c>
      <c r="B256">
        <v>42.37</v>
      </c>
      <c r="C256">
        <v>43.51</v>
      </c>
      <c r="D256">
        <v>42.01</v>
      </c>
      <c r="E256" s="30">
        <v>43.39</v>
      </c>
      <c r="F256">
        <v>2624200</v>
      </c>
    </row>
    <row r="257" spans="1:6">
      <c r="A257" s="70">
        <v>41051</v>
      </c>
      <c r="B257">
        <v>42.9</v>
      </c>
      <c r="C257">
        <v>43.01</v>
      </c>
      <c r="D257">
        <v>42.47</v>
      </c>
      <c r="E257" s="30">
        <v>42.73</v>
      </c>
      <c r="F257">
        <v>1839100</v>
      </c>
    </row>
    <row r="258" spans="1:6">
      <c r="A258" s="70">
        <v>41050</v>
      </c>
      <c r="B258">
        <v>41.59</v>
      </c>
      <c r="C258">
        <v>43.18</v>
      </c>
      <c r="D258">
        <v>41.49</v>
      </c>
      <c r="E258" s="30">
        <v>42.96</v>
      </c>
      <c r="F258">
        <v>2735200</v>
      </c>
    </row>
    <row r="259" spans="1:6">
      <c r="A259" s="70">
        <v>41047</v>
      </c>
      <c r="B259">
        <v>42.52</v>
      </c>
      <c r="C259">
        <v>43.05</v>
      </c>
      <c r="D259">
        <v>41.54</v>
      </c>
      <c r="E259" s="30">
        <v>41.66</v>
      </c>
      <c r="F259">
        <v>4568800</v>
      </c>
    </row>
    <row r="260" spans="1:6">
      <c r="A260" s="70">
        <v>41046</v>
      </c>
      <c r="B260">
        <v>43.5</v>
      </c>
      <c r="C260">
        <v>43.7</v>
      </c>
      <c r="D260">
        <v>42.35</v>
      </c>
      <c r="E260" s="30">
        <v>42.38</v>
      </c>
      <c r="F260">
        <v>2546500</v>
      </c>
    </row>
    <row r="261" spans="1:6">
      <c r="A261" s="70">
        <v>41045</v>
      </c>
      <c r="B261">
        <v>44.5</v>
      </c>
      <c r="C261">
        <v>44.5</v>
      </c>
      <c r="D261">
        <v>43.29</v>
      </c>
      <c r="E261" s="30">
        <v>43.3</v>
      </c>
      <c r="F261">
        <v>5806700</v>
      </c>
    </row>
    <row r="262" spans="1:6">
      <c r="A262" s="70">
        <v>41044</v>
      </c>
      <c r="B262">
        <v>43.75</v>
      </c>
      <c r="C262">
        <v>45.7</v>
      </c>
      <c r="D262">
        <v>42.88</v>
      </c>
      <c r="E262" s="30">
        <v>44.51</v>
      </c>
      <c r="F262">
        <v>9349900</v>
      </c>
    </row>
    <row r="263" spans="1:6">
      <c r="A263" s="70">
        <v>41043</v>
      </c>
      <c r="B263">
        <v>42.03</v>
      </c>
      <c r="C263">
        <v>44.35</v>
      </c>
      <c r="D263">
        <v>41.73</v>
      </c>
      <c r="E263" s="30">
        <v>43.92</v>
      </c>
      <c r="F263">
        <v>7045700</v>
      </c>
    </row>
    <row r="264" spans="1:6">
      <c r="A264" s="70">
        <v>41040</v>
      </c>
      <c r="B264">
        <v>40.11</v>
      </c>
      <c r="C264">
        <v>40.93</v>
      </c>
      <c r="D264">
        <v>40.07</v>
      </c>
      <c r="E264" s="30">
        <v>40.4</v>
      </c>
      <c r="F264">
        <v>1823400</v>
      </c>
    </row>
    <row r="265" spans="1:6">
      <c r="A265" s="70">
        <v>41039</v>
      </c>
      <c r="B265">
        <v>38.97</v>
      </c>
      <c r="C265">
        <v>40.68</v>
      </c>
      <c r="D265">
        <v>38.97</v>
      </c>
      <c r="E265" s="30">
        <v>40.28</v>
      </c>
      <c r="F265">
        <v>3679900</v>
      </c>
    </row>
    <row r="266" spans="1:6">
      <c r="A266" s="70">
        <v>41038</v>
      </c>
      <c r="B266">
        <v>39.46</v>
      </c>
      <c r="C266">
        <v>40.15</v>
      </c>
      <c r="D266">
        <v>39.08</v>
      </c>
      <c r="E266" s="30">
        <v>39.71</v>
      </c>
      <c r="F266">
        <v>2542600</v>
      </c>
    </row>
    <row r="267" spans="1:6">
      <c r="A267" s="70">
        <v>41037</v>
      </c>
      <c r="B267">
        <v>39.81</v>
      </c>
      <c r="C267">
        <v>39.92</v>
      </c>
      <c r="D267">
        <v>39.130000000000003</v>
      </c>
      <c r="E267" s="30">
        <v>39.86</v>
      </c>
      <c r="F267">
        <v>2381000</v>
      </c>
    </row>
    <row r="268" spans="1:6">
      <c r="A268" s="70">
        <v>41036</v>
      </c>
      <c r="B268">
        <v>39.9</v>
      </c>
      <c r="C268">
        <v>40.33</v>
      </c>
      <c r="D268">
        <v>39.86</v>
      </c>
      <c r="E268" s="30">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2014-12-11T00:16:08Z</dcterms:modified>
</cp:coreProperties>
</file>