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645" windowWidth="15240" windowHeight="12060"/>
  </bookViews>
  <sheets>
    <sheet name="LBO" sheetId="12" r:id="rId1"/>
    <sheet name="Shares" sheetId="11" r:id="rId2"/>
    <sheet name="52wkHL" sheetId="9" r:id="rId3"/>
  </sheets>
  <externalReferences>
    <externalReference r:id="rId4"/>
    <externalReference r:id="rId5"/>
  </externalReferences>
  <definedNames>
    <definedName name="_xlnm._FilterDatabase" localSheetId="0" hidden="1">LBO!$F$125:$J$125</definedName>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45621" calcMode="autoNoTable" iterate="1"/>
</workbook>
</file>

<file path=xl/calcChain.xml><?xml version="1.0" encoding="utf-8"?>
<calcChain xmlns="http://schemas.openxmlformats.org/spreadsheetml/2006/main">
  <c r="B2" i="11" l="1"/>
  <c r="B360" i="12" l="1"/>
  <c r="B359" i="12"/>
  <c r="E358" i="12"/>
  <c r="D358" i="12"/>
  <c r="B358" i="12"/>
  <c r="E357" i="12"/>
  <c r="D357" i="12"/>
  <c r="B357" i="12"/>
  <c r="B355" i="12"/>
  <c r="E354" i="12"/>
  <c r="D354" i="12"/>
  <c r="B354" i="12"/>
  <c r="B349" i="12"/>
  <c r="B342" i="12"/>
  <c r="F341" i="12"/>
  <c r="E341" i="12"/>
  <c r="D341" i="12"/>
  <c r="B341" i="12"/>
  <c r="B340" i="12"/>
  <c r="F336" i="12"/>
  <c r="E336" i="12"/>
  <c r="F330" i="12"/>
  <c r="E353" i="12" s="1"/>
  <c r="E330" i="12"/>
  <c r="D353" i="12" s="1"/>
  <c r="B330" i="12"/>
  <c r="B353" i="12" s="1"/>
  <c r="B329" i="12"/>
  <c r="B352" i="12" s="1"/>
  <c r="B328" i="12"/>
  <c r="B351" i="12" s="1"/>
  <c r="B325" i="12"/>
  <c r="B348" i="12" s="1"/>
  <c r="F324" i="12"/>
  <c r="E324" i="12"/>
  <c r="D347" i="12" s="1"/>
  <c r="B324" i="12"/>
  <c r="B347" i="12" s="1"/>
  <c r="F323" i="12"/>
  <c r="E323" i="12"/>
  <c r="D346" i="12" s="1"/>
  <c r="B323" i="12"/>
  <c r="B346" i="12" s="1"/>
  <c r="F322" i="12"/>
  <c r="E322" i="12"/>
  <c r="D345" i="12" s="1"/>
  <c r="B322" i="12"/>
  <c r="B345" i="12" s="1"/>
  <c r="F321" i="12"/>
  <c r="E321" i="12"/>
  <c r="D344" i="12" s="1"/>
  <c r="B321" i="12"/>
  <c r="B344" i="12" s="1"/>
  <c r="B320" i="12"/>
  <c r="B343" i="12" s="1"/>
  <c r="F318" i="12"/>
  <c r="J318" i="12" s="1"/>
  <c r="E318" i="12"/>
  <c r="E310" i="12"/>
  <c r="E311" i="12" s="1"/>
  <c r="E312" i="12" s="1"/>
  <c r="E313" i="12" s="1"/>
  <c r="G308" i="12"/>
  <c r="H308" i="12" s="1"/>
  <c r="I308" i="12" s="1"/>
  <c r="J308" i="12" s="1"/>
  <c r="E301" i="12"/>
  <c r="E302" i="12" s="1"/>
  <c r="E303" i="12" s="1"/>
  <c r="E304" i="12" s="1"/>
  <c r="G299" i="12"/>
  <c r="H299" i="12" s="1"/>
  <c r="I299" i="12" s="1"/>
  <c r="J299" i="12" s="1"/>
  <c r="F298" i="12"/>
  <c r="E291" i="12"/>
  <c r="E292" i="12" s="1"/>
  <c r="E293" i="12" s="1"/>
  <c r="E294" i="12" s="1"/>
  <c r="G289" i="12"/>
  <c r="H289" i="12" s="1"/>
  <c r="I289" i="12" s="1"/>
  <c r="J289" i="12" s="1"/>
  <c r="F288" i="12"/>
  <c r="B281" i="12"/>
  <c r="B280" i="12"/>
  <c r="B279" i="12"/>
  <c r="F277" i="12"/>
  <c r="G277" i="12" s="1"/>
  <c r="B271" i="12"/>
  <c r="B270" i="12"/>
  <c r="H269" i="12"/>
  <c r="B269" i="12"/>
  <c r="H268" i="12"/>
  <c r="B268" i="12"/>
  <c r="B267" i="12"/>
  <c r="B266" i="12"/>
  <c r="B265" i="12"/>
  <c r="B264" i="12"/>
  <c r="I257" i="12"/>
  <c r="I258" i="12" s="1"/>
  <c r="I259" i="12" s="1"/>
  <c r="I260" i="12" s="1"/>
  <c r="H257" i="12"/>
  <c r="H258" i="12" s="1"/>
  <c r="H259" i="12" s="1"/>
  <c r="H260" i="12" s="1"/>
  <c r="G257" i="12"/>
  <c r="G258" i="12" s="1"/>
  <c r="G259" i="12" s="1"/>
  <c r="G260" i="12" s="1"/>
  <c r="F257" i="12"/>
  <c r="F258" i="12" s="1"/>
  <c r="F259" i="12" s="1"/>
  <c r="F260" i="12" s="1"/>
  <c r="I251" i="12"/>
  <c r="I252" i="12" s="1"/>
  <c r="I253" i="12" s="1"/>
  <c r="I254" i="12" s="1"/>
  <c r="H251" i="12"/>
  <c r="H252" i="12" s="1"/>
  <c r="H253" i="12" s="1"/>
  <c r="H254" i="12" s="1"/>
  <c r="G251" i="12"/>
  <c r="G252" i="12" s="1"/>
  <c r="G253" i="12" s="1"/>
  <c r="G254" i="12" s="1"/>
  <c r="F251" i="12"/>
  <c r="F252" i="12" s="1"/>
  <c r="F253" i="12" s="1"/>
  <c r="F254" i="12" s="1"/>
  <c r="F214" i="12"/>
  <c r="B238" i="12" s="1"/>
  <c r="E208" i="12"/>
  <c r="E207" i="12"/>
  <c r="E199" i="12"/>
  <c r="D199" i="12"/>
  <c r="C199" i="12"/>
  <c r="J146" i="12"/>
  <c r="I146" i="12"/>
  <c r="H146" i="12"/>
  <c r="G146" i="12"/>
  <c r="F146" i="12"/>
  <c r="E142" i="12"/>
  <c r="D142" i="12"/>
  <c r="D140" i="12"/>
  <c r="E319" i="12" s="1"/>
  <c r="F138" i="12"/>
  <c r="F145" i="12" s="1"/>
  <c r="F147" i="12" s="1"/>
  <c r="E136" i="12"/>
  <c r="D136" i="12"/>
  <c r="C136" i="12"/>
  <c r="B136" i="12"/>
  <c r="B135" i="12"/>
  <c r="J121" i="12"/>
  <c r="I121" i="12"/>
  <c r="H121" i="12"/>
  <c r="G121" i="12"/>
  <c r="F121" i="12"/>
  <c r="B111" i="12"/>
  <c r="B110" i="12"/>
  <c r="F107" i="12"/>
  <c r="G107" i="12" s="1"/>
  <c r="H107" i="12" s="1"/>
  <c r="I353" i="12" s="1"/>
  <c r="E105" i="12"/>
  <c r="F325" i="12" s="1"/>
  <c r="E348" i="12" s="1"/>
  <c r="D105" i="12"/>
  <c r="E325" i="12" s="1"/>
  <c r="D348" i="12" s="1"/>
  <c r="J102" i="12"/>
  <c r="J122" i="12" s="1"/>
  <c r="I102" i="12"/>
  <c r="I122" i="12" s="1"/>
  <c r="H102" i="12"/>
  <c r="H122" i="12" s="1"/>
  <c r="G102" i="12"/>
  <c r="G122" i="12" s="1"/>
  <c r="F102" i="12"/>
  <c r="F122" i="12" s="1"/>
  <c r="C99" i="12"/>
  <c r="C98" i="12"/>
  <c r="E96" i="12"/>
  <c r="E99" i="12" s="1"/>
  <c r="K99" i="12" s="1"/>
  <c r="D96" i="12"/>
  <c r="D99" i="12" s="1"/>
  <c r="E93" i="12"/>
  <c r="D93" i="12"/>
  <c r="C93" i="12"/>
  <c r="E92" i="12"/>
  <c r="D92" i="12"/>
  <c r="C92" i="12"/>
  <c r="E87" i="12"/>
  <c r="D87" i="12"/>
  <c r="C87" i="12"/>
  <c r="E80" i="12"/>
  <c r="F329" i="12" s="1"/>
  <c r="D80" i="12"/>
  <c r="E78" i="12"/>
  <c r="F328" i="12" s="1"/>
  <c r="D78" i="12"/>
  <c r="E328" i="12" s="1"/>
  <c r="D351" i="12" s="1"/>
  <c r="E77" i="12"/>
  <c r="F77" i="12" s="1"/>
  <c r="D77" i="12"/>
  <c r="E74" i="12"/>
  <c r="E75" i="12" s="1"/>
  <c r="F75" i="12" s="1"/>
  <c r="D74" i="12"/>
  <c r="E72" i="12"/>
  <c r="D72" i="12"/>
  <c r="G68" i="12"/>
  <c r="H68" i="12" s="1"/>
  <c r="I68" i="12" s="1"/>
  <c r="J68" i="12" s="1"/>
  <c r="E65" i="12"/>
  <c r="D65" i="12"/>
  <c r="C65" i="12"/>
  <c r="E63" i="12"/>
  <c r="D63" i="12"/>
  <c r="E59" i="12"/>
  <c r="E57" i="12"/>
  <c r="D57" i="12"/>
  <c r="P55" i="12"/>
  <c r="O55" i="12"/>
  <c r="N55" i="12"/>
  <c r="M55" i="12"/>
  <c r="L55" i="12"/>
  <c r="E46" i="12"/>
  <c r="E66" i="12" s="1"/>
  <c r="D46" i="12"/>
  <c r="D66" i="12" s="1"/>
  <c r="C46" i="12"/>
  <c r="C66" i="12" s="1"/>
  <c r="E43" i="12"/>
  <c r="E44" i="12" s="1"/>
  <c r="E64" i="12" s="1"/>
  <c r="D43" i="12"/>
  <c r="D44" i="12" s="1"/>
  <c r="D64" i="12" s="1"/>
  <c r="C43" i="12"/>
  <c r="F42" i="12"/>
  <c r="F40" i="12"/>
  <c r="F199" i="12" s="1"/>
  <c r="E39" i="12"/>
  <c r="D39" i="12" s="1"/>
  <c r="F32" i="12"/>
  <c r="F31" i="12"/>
  <c r="F30" i="12"/>
  <c r="F29" i="12"/>
  <c r="F28" i="12"/>
  <c r="J21" i="12"/>
  <c r="D21" i="12"/>
  <c r="G331" i="12" s="1"/>
  <c r="D15" i="12"/>
  <c r="D27" i="12" s="1"/>
  <c r="J14" i="12"/>
  <c r="I14" i="12"/>
  <c r="H14" i="12"/>
  <c r="H8" i="12"/>
  <c r="B2" i="12"/>
  <c r="H353" i="12" l="1"/>
  <c r="G353" i="12"/>
  <c r="H123" i="12"/>
  <c r="F101" i="12"/>
  <c r="I123" i="12"/>
  <c r="D141" i="12"/>
  <c r="C68" i="12"/>
  <c r="F123" i="12"/>
  <c r="J15" i="12"/>
  <c r="G40" i="12"/>
  <c r="G72" i="12" s="1"/>
  <c r="D68" i="12"/>
  <c r="G123" i="12"/>
  <c r="D359" i="12"/>
  <c r="E68" i="12"/>
  <c r="F105" i="12"/>
  <c r="G105" i="12" s="1"/>
  <c r="G214" i="12"/>
  <c r="B251" i="12" s="1"/>
  <c r="E359" i="12"/>
  <c r="J123" i="12"/>
  <c r="D79" i="12"/>
  <c r="F87" i="12"/>
  <c r="E140" i="12"/>
  <c r="F319" i="12" s="1"/>
  <c r="E317" i="12"/>
  <c r="E340" i="12"/>
  <c r="D198" i="12"/>
  <c r="C39" i="12"/>
  <c r="D86" i="12"/>
  <c r="D71" i="12"/>
  <c r="D135" i="12"/>
  <c r="G75" i="12"/>
  <c r="F74" i="12"/>
  <c r="G343" i="12" s="1"/>
  <c r="E320" i="12"/>
  <c r="D343" i="12" s="1"/>
  <c r="D75" i="12"/>
  <c r="D83" i="12"/>
  <c r="K93" i="12"/>
  <c r="F93" i="12" s="1"/>
  <c r="I107" i="12"/>
  <c r="J353" i="12" s="1"/>
  <c r="F98" i="12"/>
  <c r="F92" i="12"/>
  <c r="D47" i="12"/>
  <c r="F320" i="12"/>
  <c r="E83" i="12"/>
  <c r="E342" i="12"/>
  <c r="G42" i="12"/>
  <c r="C44" i="12"/>
  <c r="E47" i="12"/>
  <c r="F65" i="12"/>
  <c r="G77" i="12"/>
  <c r="F76" i="12"/>
  <c r="G344" i="12" s="1"/>
  <c r="J329" i="12"/>
  <c r="F352" i="12" s="1"/>
  <c r="E352" i="12"/>
  <c r="H277" i="12"/>
  <c r="F66" i="12"/>
  <c r="I15" i="12"/>
  <c r="H15" i="12"/>
  <c r="F340" i="12"/>
  <c r="E135" i="12"/>
  <c r="E198" i="12"/>
  <c r="E86" i="12"/>
  <c r="E71" i="12"/>
  <c r="F317" i="12"/>
  <c r="J317" i="12" s="1"/>
  <c r="F39" i="12"/>
  <c r="E329" i="12"/>
  <c r="D352" i="12" s="1"/>
  <c r="D355" i="12" s="1"/>
  <c r="D81" i="12"/>
  <c r="E81" i="12"/>
  <c r="F81" i="12" s="1"/>
  <c r="F99" i="12"/>
  <c r="D98" i="12"/>
  <c r="G101" i="12"/>
  <c r="E79" i="12"/>
  <c r="F79" i="12" s="1"/>
  <c r="E98" i="12"/>
  <c r="E345" i="12"/>
  <c r="J322" i="12"/>
  <c r="F345" i="12" s="1"/>
  <c r="J323" i="12"/>
  <c r="F346" i="12" s="1"/>
  <c r="E346" i="12"/>
  <c r="E347" i="12"/>
  <c r="G341" i="12"/>
  <c r="F111" i="12"/>
  <c r="F72" i="12"/>
  <c r="F332" i="12"/>
  <c r="E351" i="12"/>
  <c r="J328" i="12"/>
  <c r="F136" i="12"/>
  <c r="D342" i="12"/>
  <c r="E344" i="12"/>
  <c r="J321" i="12"/>
  <c r="F344" i="12" s="1"/>
  <c r="B256" i="12"/>
  <c r="B250" i="12"/>
  <c r="B244" i="12"/>
  <c r="B245" i="12" l="1"/>
  <c r="H341" i="12"/>
  <c r="G117" i="12"/>
  <c r="G199" i="12"/>
  <c r="G136" i="12"/>
  <c r="G111" i="12"/>
  <c r="F117" i="12"/>
  <c r="E141" i="12"/>
  <c r="I141" i="12" s="1"/>
  <c r="E332" i="12"/>
  <c r="F326" i="12"/>
  <c r="F337" i="12" s="1"/>
  <c r="E355" i="12"/>
  <c r="E326" i="12"/>
  <c r="E337" i="12" s="1"/>
  <c r="D349" i="12"/>
  <c r="D360" i="12" s="1"/>
  <c r="G87" i="12"/>
  <c r="H40" i="12"/>
  <c r="B239" i="12"/>
  <c r="H214" i="12"/>
  <c r="B257" i="12"/>
  <c r="G93" i="12"/>
  <c r="F91" i="12"/>
  <c r="F351" i="12"/>
  <c r="G79" i="12"/>
  <c r="G92" i="12"/>
  <c r="H42" i="12"/>
  <c r="G98" i="12"/>
  <c r="D51" i="12"/>
  <c r="D56" i="12"/>
  <c r="D60" i="12" s="1"/>
  <c r="J107" i="12"/>
  <c r="K353" i="12" s="1"/>
  <c r="G66" i="12"/>
  <c r="F46" i="12"/>
  <c r="H105" i="12"/>
  <c r="G65" i="12"/>
  <c r="F45" i="12"/>
  <c r="F154" i="12"/>
  <c r="F97" i="12"/>
  <c r="F95" i="12" s="1"/>
  <c r="G346" i="12" s="1"/>
  <c r="G99" i="12"/>
  <c r="I277" i="12"/>
  <c r="H77" i="12"/>
  <c r="G76" i="12"/>
  <c r="H344" i="12" s="1"/>
  <c r="E51" i="12"/>
  <c r="E56" i="12"/>
  <c r="E60" i="12" s="1"/>
  <c r="D13" i="12" s="1"/>
  <c r="H75" i="12"/>
  <c r="G74" i="12"/>
  <c r="H343" i="12" s="1"/>
  <c r="D340" i="12"/>
  <c r="C198" i="12"/>
  <c r="C135" i="12"/>
  <c r="C86" i="12"/>
  <c r="H101" i="12"/>
  <c r="G81" i="12"/>
  <c r="F80" i="12"/>
  <c r="G352" i="12" s="1"/>
  <c r="F135" i="12"/>
  <c r="F232" i="12"/>
  <c r="G39" i="12"/>
  <c r="F86" i="12"/>
  <c r="F71" i="12"/>
  <c r="F110" i="12"/>
  <c r="G340" i="12"/>
  <c r="F198" i="12"/>
  <c r="C64" i="12"/>
  <c r="F64" i="12" s="1"/>
  <c r="C47" i="12"/>
  <c r="J320" i="12"/>
  <c r="F343" i="12" s="1"/>
  <c r="E343" i="12"/>
  <c r="E349" i="12" s="1"/>
  <c r="F141" i="12" l="1"/>
  <c r="J141" i="12"/>
  <c r="E360" i="12"/>
  <c r="H141" i="12"/>
  <c r="G141" i="12"/>
  <c r="B258" i="12"/>
  <c r="B262" i="12"/>
  <c r="I214" i="12"/>
  <c r="B246" i="12"/>
  <c r="B252" i="12"/>
  <c r="B240" i="12"/>
  <c r="H136" i="12"/>
  <c r="I341" i="12"/>
  <c r="H199" i="12"/>
  <c r="H87" i="12"/>
  <c r="I40" i="12"/>
  <c r="H111" i="12"/>
  <c r="H72" i="12"/>
  <c r="G154" i="12"/>
  <c r="I42" i="12"/>
  <c r="H92" i="12"/>
  <c r="H98" i="12"/>
  <c r="H81" i="12"/>
  <c r="G80" i="12"/>
  <c r="H352" i="12" s="1"/>
  <c r="I75" i="12"/>
  <c r="H74" i="12"/>
  <c r="I343" i="12" s="1"/>
  <c r="D53" i="12"/>
  <c r="D67" i="12"/>
  <c r="C56" i="12"/>
  <c r="C60" i="12" s="1"/>
  <c r="C51" i="12"/>
  <c r="I101" i="12"/>
  <c r="E53" i="12"/>
  <c r="E67" i="12"/>
  <c r="F67" i="12" s="1"/>
  <c r="J277" i="12"/>
  <c r="G46" i="12"/>
  <c r="H66" i="12"/>
  <c r="F57" i="12"/>
  <c r="F114" i="12" s="1"/>
  <c r="F89" i="12"/>
  <c r="G345" i="12" s="1"/>
  <c r="I77" i="12"/>
  <c r="H76" i="12"/>
  <c r="I344" i="12" s="1"/>
  <c r="I105" i="12"/>
  <c r="G198" i="12"/>
  <c r="H340" i="12"/>
  <c r="G232" i="12"/>
  <c r="G110" i="12"/>
  <c r="G86" i="12"/>
  <c r="H39" i="12"/>
  <c r="G135" i="12"/>
  <c r="G71" i="12"/>
  <c r="J10" i="12"/>
  <c r="D33" i="12"/>
  <c r="D32" i="12"/>
  <c r="F180" i="12" s="1"/>
  <c r="D31" i="12"/>
  <c r="D30" i="12"/>
  <c r="D29" i="12"/>
  <c r="D28" i="12"/>
  <c r="I10" i="12"/>
  <c r="I12" i="12" s="1"/>
  <c r="I17" i="12" s="1"/>
  <c r="D34" i="12"/>
  <c r="H10" i="12"/>
  <c r="C27" i="12"/>
  <c r="G45" i="12"/>
  <c r="H65" i="12"/>
  <c r="G64" i="12"/>
  <c r="F44" i="12"/>
  <c r="H99" i="12"/>
  <c r="G97" i="12"/>
  <c r="G95" i="12" s="1"/>
  <c r="H346" i="12" s="1"/>
  <c r="H117" i="12"/>
  <c r="H79" i="12"/>
  <c r="G91" i="12"/>
  <c r="H93" i="12"/>
  <c r="I117" i="12" l="1"/>
  <c r="I87" i="12"/>
  <c r="I136" i="12"/>
  <c r="J40" i="12"/>
  <c r="J341" i="12"/>
  <c r="I72" i="12"/>
  <c r="I199" i="12"/>
  <c r="I111" i="12"/>
  <c r="J214" i="12"/>
  <c r="B241" i="12"/>
  <c r="B247" i="12"/>
  <c r="B259" i="12"/>
  <c r="B253" i="12"/>
  <c r="G57" i="12"/>
  <c r="G114" i="12" s="1"/>
  <c r="J75" i="12"/>
  <c r="I74" i="12"/>
  <c r="J343" i="12" s="1"/>
  <c r="H91" i="12"/>
  <c r="I93" i="12"/>
  <c r="H64" i="12"/>
  <c r="G44" i="12"/>
  <c r="H331" i="12"/>
  <c r="F264" i="12"/>
  <c r="E233" i="12"/>
  <c r="F151" i="12"/>
  <c r="H28" i="12"/>
  <c r="J28" i="12"/>
  <c r="E242" i="12"/>
  <c r="E238" i="12"/>
  <c r="F268" i="12"/>
  <c r="E241" i="12"/>
  <c r="E239" i="12"/>
  <c r="E240" i="12"/>
  <c r="H32" i="12"/>
  <c r="J32" i="12"/>
  <c r="J105" i="12"/>
  <c r="J77" i="12"/>
  <c r="I76" i="12"/>
  <c r="J344" i="12" s="1"/>
  <c r="H46" i="12"/>
  <c r="I66" i="12"/>
  <c r="G67" i="12"/>
  <c r="C67" i="12"/>
  <c r="C53" i="12"/>
  <c r="I98" i="12"/>
  <c r="J42" i="12"/>
  <c r="I92" i="12"/>
  <c r="I99" i="12"/>
  <c r="H97" i="12"/>
  <c r="H95" i="12" s="1"/>
  <c r="I346" i="12" s="1"/>
  <c r="H45" i="12"/>
  <c r="I65" i="12"/>
  <c r="F270" i="12"/>
  <c r="E250" i="12"/>
  <c r="C227" i="12"/>
  <c r="F166" i="12"/>
  <c r="F266" i="12"/>
  <c r="J30" i="12"/>
  <c r="E235" i="12"/>
  <c r="H30" i="12"/>
  <c r="J101" i="12"/>
  <c r="H154" i="12"/>
  <c r="I79" i="12"/>
  <c r="F43" i="12"/>
  <c r="E236" i="12"/>
  <c r="F174" i="12"/>
  <c r="F267" i="12"/>
  <c r="J31" i="12"/>
  <c r="H31" i="12"/>
  <c r="F265" i="12"/>
  <c r="E234" i="12"/>
  <c r="F158" i="12"/>
  <c r="H29" i="12"/>
  <c r="J29" i="12"/>
  <c r="H334" i="12"/>
  <c r="J334" i="12" s="1"/>
  <c r="F269" i="12"/>
  <c r="F187" i="12"/>
  <c r="E244" i="12"/>
  <c r="I340" i="12"/>
  <c r="H198" i="12"/>
  <c r="H232" i="12"/>
  <c r="H110" i="12"/>
  <c r="H135" i="12"/>
  <c r="H86" i="12"/>
  <c r="H71" i="12"/>
  <c r="I39" i="12"/>
  <c r="G89" i="12"/>
  <c r="H345" i="12" s="1"/>
  <c r="H80" i="12"/>
  <c r="I352" i="12" s="1"/>
  <c r="I81" i="12"/>
  <c r="J330" i="12" l="1"/>
  <c r="B242" i="12"/>
  <c r="B248" i="12"/>
  <c r="B260" i="12"/>
  <c r="B254" i="12"/>
  <c r="J111" i="12"/>
  <c r="J136" i="12"/>
  <c r="J72" i="12"/>
  <c r="J87" i="12"/>
  <c r="K341" i="12"/>
  <c r="J199" i="12"/>
  <c r="F212" i="12" s="1"/>
  <c r="J74" i="12"/>
  <c r="K343" i="12" s="1"/>
  <c r="J76" i="12"/>
  <c r="K344" i="12" s="1"/>
  <c r="H89" i="12"/>
  <c r="I345" i="12" s="1"/>
  <c r="F159" i="12"/>
  <c r="J79" i="12"/>
  <c r="E251" i="12"/>
  <c r="J33" i="12"/>
  <c r="F194" i="12" s="1"/>
  <c r="G366" i="12" s="1"/>
  <c r="H44" i="12"/>
  <c r="I64" i="12"/>
  <c r="F357" i="12"/>
  <c r="F58" i="12"/>
  <c r="F78" i="12"/>
  <c r="G351" i="12" s="1"/>
  <c r="J99" i="12"/>
  <c r="J97" i="12" s="1"/>
  <c r="I97" i="12"/>
  <c r="I95" i="12" s="1"/>
  <c r="J346" i="12" s="1"/>
  <c r="F181" i="12"/>
  <c r="F207" i="12" s="1"/>
  <c r="F238" i="12" s="1"/>
  <c r="H33" i="12"/>
  <c r="J331" i="12"/>
  <c r="F354" i="12" s="1"/>
  <c r="J93" i="12"/>
  <c r="J91" i="12" s="1"/>
  <c r="I91" i="12"/>
  <c r="J81" i="12"/>
  <c r="J80" i="12" s="1"/>
  <c r="K352" i="12" s="1"/>
  <c r="I80" i="12"/>
  <c r="J352" i="12" s="1"/>
  <c r="J340" i="12"/>
  <c r="I232" i="12"/>
  <c r="I110" i="12"/>
  <c r="I135" i="12"/>
  <c r="I86" i="12"/>
  <c r="I71" i="12"/>
  <c r="J39" i="12"/>
  <c r="I198" i="12"/>
  <c r="E245" i="12"/>
  <c r="F167" i="12"/>
  <c r="J65" i="12"/>
  <c r="J45" i="12" s="1"/>
  <c r="I45" i="12"/>
  <c r="H67" i="12"/>
  <c r="H57" i="12"/>
  <c r="H114" i="12" s="1"/>
  <c r="F188" i="12"/>
  <c r="F175" i="12"/>
  <c r="F176" i="12" s="1"/>
  <c r="J98" i="12"/>
  <c r="J92" i="12"/>
  <c r="J66" i="12"/>
  <c r="J46" i="12" s="1"/>
  <c r="I46" i="12"/>
  <c r="J117" i="12"/>
  <c r="G43" i="12"/>
  <c r="I154" i="12"/>
  <c r="F182" i="12" l="1"/>
  <c r="F208" i="12" s="1"/>
  <c r="F118" i="12" s="1"/>
  <c r="G174" i="12"/>
  <c r="G175" i="12" s="1"/>
  <c r="F206" i="12"/>
  <c r="F236" i="12" s="1"/>
  <c r="J154" i="12"/>
  <c r="J57" i="12"/>
  <c r="J114" i="12" s="1"/>
  <c r="J95" i="12"/>
  <c r="K346" i="12" s="1"/>
  <c r="I67" i="12"/>
  <c r="H43" i="12"/>
  <c r="E252" i="12"/>
  <c r="F125" i="12"/>
  <c r="I89" i="12"/>
  <c r="J345" i="12" s="1"/>
  <c r="G58" i="12"/>
  <c r="G78" i="12"/>
  <c r="H351" i="12" s="1"/>
  <c r="F241" i="12"/>
  <c r="F240" i="12"/>
  <c r="F242" i="12"/>
  <c r="F239" i="12"/>
  <c r="F353" i="12"/>
  <c r="F355" i="12" s="1"/>
  <c r="J332" i="12"/>
  <c r="E246" i="12"/>
  <c r="K340" i="12"/>
  <c r="J135" i="12"/>
  <c r="J198" i="12"/>
  <c r="J110" i="12"/>
  <c r="J71" i="12"/>
  <c r="J86" i="12"/>
  <c r="J232" i="12"/>
  <c r="F83" i="12"/>
  <c r="F189" i="12"/>
  <c r="G357" i="12" s="1"/>
  <c r="I57" i="12"/>
  <c r="I114" i="12" s="1"/>
  <c r="G324" i="12"/>
  <c r="J324" i="12" s="1"/>
  <c r="F347" i="12" s="1"/>
  <c r="F193" i="12"/>
  <c r="F195" i="12" s="1"/>
  <c r="G347" i="12" s="1"/>
  <c r="G365" i="12"/>
  <c r="F115" i="12"/>
  <c r="I44" i="12"/>
  <c r="J64" i="12"/>
  <c r="J44" i="12" s="1"/>
  <c r="G194" i="12"/>
  <c r="H366" i="12" s="1"/>
  <c r="F183" i="12" l="1"/>
  <c r="F47" i="12"/>
  <c r="G193" i="12"/>
  <c r="G195" i="12" s="1"/>
  <c r="H347" i="12" s="1"/>
  <c r="F116" i="12"/>
  <c r="J89" i="12"/>
  <c r="K345" i="12" s="1"/>
  <c r="H194" i="12"/>
  <c r="I366" i="12" s="1"/>
  <c r="H58" i="12"/>
  <c r="H78" i="12"/>
  <c r="I351" i="12" s="1"/>
  <c r="G176" i="12"/>
  <c r="J43" i="12"/>
  <c r="E247" i="12"/>
  <c r="G83" i="12"/>
  <c r="G116" i="12" s="1"/>
  <c r="I43" i="12"/>
  <c r="F190" i="12"/>
  <c r="G187" i="12"/>
  <c r="H365" i="12"/>
  <c r="G115" i="12"/>
  <c r="E253" i="12"/>
  <c r="J67" i="12"/>
  <c r="G180" i="12" l="1"/>
  <c r="G181" i="12" s="1"/>
  <c r="G188" i="12"/>
  <c r="I58" i="12"/>
  <c r="I78" i="12"/>
  <c r="J351" i="12" s="1"/>
  <c r="H193" i="12"/>
  <c r="H195" i="12" s="1"/>
  <c r="I347" i="12" s="1"/>
  <c r="F244" i="12"/>
  <c r="F126" i="12"/>
  <c r="G364" i="12"/>
  <c r="E248" i="12"/>
  <c r="H174" i="12"/>
  <c r="G206" i="12"/>
  <c r="G236" i="12" s="1"/>
  <c r="F56" i="12"/>
  <c r="F60" i="12" s="1"/>
  <c r="J58" i="12"/>
  <c r="J78" i="12"/>
  <c r="K351" i="12" s="1"/>
  <c r="H83" i="12"/>
  <c r="H116" i="12" s="1"/>
  <c r="G47" i="12"/>
  <c r="E254" i="12"/>
  <c r="I365" i="12"/>
  <c r="H115" i="12"/>
  <c r="I194" i="12"/>
  <c r="J366" i="12" s="1"/>
  <c r="G207" i="12" l="1"/>
  <c r="G182" i="12"/>
  <c r="G208" i="12" s="1"/>
  <c r="G118" i="12" s="1"/>
  <c r="H47" i="12"/>
  <c r="I83" i="12"/>
  <c r="J194" i="12"/>
  <c r="K366" i="12" s="1"/>
  <c r="G56" i="12"/>
  <c r="G60" i="12" s="1"/>
  <c r="H175" i="12"/>
  <c r="H176" i="12" s="1"/>
  <c r="I174" i="12" s="1"/>
  <c r="I193" i="12"/>
  <c r="I195" i="12" s="1"/>
  <c r="J347" i="12" s="1"/>
  <c r="J365" i="12"/>
  <c r="I115" i="12"/>
  <c r="J83" i="12"/>
  <c r="K365" i="12"/>
  <c r="J115" i="12"/>
  <c r="F245" i="12"/>
  <c r="G189" i="12"/>
  <c r="H357" i="12" s="1"/>
  <c r="G183" i="12" l="1"/>
  <c r="H180" i="12" s="1"/>
  <c r="H181" i="12" s="1"/>
  <c r="H207" i="12" s="1"/>
  <c r="H242" i="12" s="1"/>
  <c r="G240" i="12"/>
  <c r="G238" i="12"/>
  <c r="G239" i="12"/>
  <c r="G241" i="12"/>
  <c r="G242" i="12"/>
  <c r="J116" i="12"/>
  <c r="I116" i="12"/>
  <c r="F246" i="12"/>
  <c r="I175" i="12"/>
  <c r="I176" i="12" s="1"/>
  <c r="J174" i="12" s="1"/>
  <c r="J47" i="12"/>
  <c r="G190" i="12"/>
  <c r="H187" i="12"/>
  <c r="H206" i="12"/>
  <c r="H236" i="12" s="1"/>
  <c r="H56" i="12"/>
  <c r="H60" i="12" s="1"/>
  <c r="J193" i="12"/>
  <c r="J195" i="12" s="1"/>
  <c r="K347" i="12" s="1"/>
  <c r="I47" i="12"/>
  <c r="H238" i="12" l="1"/>
  <c r="H182" i="12"/>
  <c r="H208" i="12" s="1"/>
  <c r="H118" i="12" s="1"/>
  <c r="H240" i="12"/>
  <c r="H241" i="12"/>
  <c r="H239" i="12"/>
  <c r="J56" i="12"/>
  <c r="J60" i="12" s="1"/>
  <c r="F215" i="12" s="1"/>
  <c r="J175" i="12"/>
  <c r="I56" i="12"/>
  <c r="I60" i="12" s="1"/>
  <c r="H188" i="12"/>
  <c r="H189" i="12" s="1"/>
  <c r="I357" i="12" s="1"/>
  <c r="G244" i="12"/>
  <c r="G126" i="12"/>
  <c r="H364" i="12"/>
  <c r="I206" i="12"/>
  <c r="I236" i="12" s="1"/>
  <c r="F247" i="12"/>
  <c r="H183" i="12" l="1"/>
  <c r="I180" i="12" s="1"/>
  <c r="I181" i="12" s="1"/>
  <c r="I207" i="12" s="1"/>
  <c r="I238" i="12" s="1"/>
  <c r="I187" i="12"/>
  <c r="H190" i="12"/>
  <c r="G215" i="12"/>
  <c r="F216" i="12"/>
  <c r="F248" i="12"/>
  <c r="G245" i="12"/>
  <c r="J176" i="12"/>
  <c r="E5" i="9"/>
  <c r="E4" i="9"/>
  <c r="B3" i="11"/>
  <c r="B19" i="11"/>
  <c r="B20" i="11" s="1"/>
  <c r="B21" i="11" s="1"/>
  <c r="B22" i="11" s="1"/>
  <c r="B23" i="11" s="1"/>
  <c r="B24" i="11" s="1"/>
  <c r="B25" i="11" s="1"/>
  <c r="B26" i="11" s="1"/>
  <c r="B27" i="11" s="1"/>
  <c r="I242" i="12" l="1"/>
  <c r="I239" i="12"/>
  <c r="I241" i="12"/>
  <c r="I240" i="12"/>
  <c r="I182" i="12"/>
  <c r="I208" i="12" s="1"/>
  <c r="I118" i="12" s="1"/>
  <c r="F221" i="12"/>
  <c r="G221" i="12" s="1"/>
  <c r="H221" i="12" s="1"/>
  <c r="I221" i="12" s="1"/>
  <c r="J221" i="12" s="1"/>
  <c r="J206" i="12"/>
  <c r="J236" i="12" s="1"/>
  <c r="H215" i="12"/>
  <c r="G216" i="12"/>
  <c r="H244" i="12"/>
  <c r="H126" i="12"/>
  <c r="I364" i="12"/>
  <c r="G246" i="12"/>
  <c r="I188" i="12"/>
  <c r="I189" i="12" s="1"/>
  <c r="J357" i="12" s="1"/>
  <c r="I183" i="12" l="1"/>
  <c r="J180" i="12" s="1"/>
  <c r="J181" i="12" s="1"/>
  <c r="J207" i="12" s="1"/>
  <c r="I215" i="12"/>
  <c r="H216" i="12"/>
  <c r="J187" i="12"/>
  <c r="I190" i="12"/>
  <c r="J364" i="12" s="1"/>
  <c r="H245" i="12"/>
  <c r="C236" i="12"/>
  <c r="I267" i="12" s="1"/>
  <c r="D236" i="12"/>
  <c r="J267" i="12" s="1"/>
  <c r="G247" i="12"/>
  <c r="J182" i="12" l="1"/>
  <c r="H246" i="12"/>
  <c r="I126" i="12"/>
  <c r="I244" i="12"/>
  <c r="J215" i="12"/>
  <c r="J216" i="12" s="1"/>
  <c r="I216" i="12"/>
  <c r="G248" i="12"/>
  <c r="J188" i="12"/>
  <c r="J208" i="12" l="1"/>
  <c r="J118" i="12" s="1"/>
  <c r="J183" i="12"/>
  <c r="F222" i="12" s="1"/>
  <c r="G222" i="12" s="1"/>
  <c r="H222" i="12" s="1"/>
  <c r="I222" i="12" s="1"/>
  <c r="J222" i="12" s="1"/>
  <c r="I245" i="12"/>
  <c r="H247" i="12"/>
  <c r="J189" i="12"/>
  <c r="K357" i="12" s="1"/>
  <c r="H248" i="12" l="1"/>
  <c r="F223" i="12"/>
  <c r="G223" i="12" s="1"/>
  <c r="H223" i="12" s="1"/>
  <c r="I223" i="12" s="1"/>
  <c r="J223" i="12" s="1"/>
  <c r="J190" i="12"/>
  <c r="I246" i="12"/>
  <c r="I247" i="12" l="1"/>
  <c r="J126" i="12"/>
  <c r="K364" i="12"/>
  <c r="I248" i="12" l="1"/>
  <c r="E18" i="11" l="1"/>
  <c r="E19" i="11"/>
  <c r="E20" i="11"/>
  <c r="E21" i="11"/>
  <c r="E22" i="11"/>
  <c r="E23" i="11"/>
  <c r="E24" i="11"/>
  <c r="E25" i="11"/>
  <c r="E26" i="11"/>
  <c r="E27" i="11"/>
  <c r="E9" i="11" l="1"/>
  <c r="E10" i="11" s="1"/>
  <c r="E28" i="11"/>
  <c r="E8" i="11" s="1"/>
  <c r="E11" i="11" l="1"/>
  <c r="E14" i="11" s="1"/>
  <c r="H18" i="12" s="1"/>
  <c r="I18" i="12" l="1"/>
  <c r="I20" i="12" s="1"/>
  <c r="I21" i="12" s="1"/>
  <c r="J18" i="12"/>
  <c r="J17" i="12" s="1"/>
  <c r="J12" i="12" s="1"/>
  <c r="J11" i="12" s="1"/>
  <c r="H11" i="12" s="1"/>
  <c r="H12" i="12" s="1"/>
  <c r="H17" i="12" s="1"/>
  <c r="C279" i="12"/>
  <c r="I325" i="12" l="1"/>
  <c r="C278" i="12"/>
  <c r="H36" i="12"/>
  <c r="D22" i="12" s="1"/>
  <c r="H20" i="12"/>
  <c r="D20" i="12"/>
  <c r="J279" i="12"/>
  <c r="G279" i="12"/>
  <c r="I279" i="12"/>
  <c r="F279" i="12"/>
  <c r="H279" i="12"/>
  <c r="E279" i="12"/>
  <c r="H21" i="12" l="1"/>
  <c r="E6" i="11"/>
  <c r="G335" i="12"/>
  <c r="G319" i="12" s="1"/>
  <c r="C283" i="12"/>
  <c r="C284" i="12" s="1"/>
  <c r="C280" i="12"/>
  <c r="C281" i="12" s="1"/>
  <c r="D23" i="12"/>
  <c r="D35" i="12" s="1"/>
  <c r="I335" i="12"/>
  <c r="H348" i="12"/>
  <c r="G348" i="12"/>
  <c r="I348" i="12"/>
  <c r="K348" i="12"/>
  <c r="J348" i="12"/>
  <c r="J325" i="12"/>
  <c r="F348" i="12" s="1"/>
  <c r="E256" i="12" l="1"/>
  <c r="C226" i="12"/>
  <c r="D226" i="12" s="1"/>
  <c r="H335" i="12"/>
  <c r="F271" i="12"/>
  <c r="C35" i="12"/>
  <c r="C36" i="12" s="1"/>
  <c r="D36" i="12"/>
  <c r="G269" i="12" l="1"/>
  <c r="F272" i="12"/>
  <c r="G272" i="12" s="1"/>
  <c r="G265" i="12"/>
  <c r="G270" i="12"/>
  <c r="G271" i="12"/>
  <c r="G264" i="12"/>
  <c r="G266" i="12"/>
  <c r="G268" i="12"/>
  <c r="G267" i="12"/>
  <c r="D227" i="12"/>
  <c r="E227" i="12" s="1"/>
  <c r="H270" i="12" s="1"/>
  <c r="H319" i="12"/>
  <c r="J319" i="12" s="1"/>
  <c r="J335" i="12"/>
  <c r="E257" i="12"/>
  <c r="E226" i="12" l="1"/>
  <c r="H271" i="12" s="1"/>
  <c r="H272" i="12" s="1"/>
  <c r="F358" i="12"/>
  <c r="J336" i="12"/>
  <c r="E258" i="12"/>
  <c r="F342" i="12"/>
  <c r="F349" i="12" s="1"/>
  <c r="J326" i="12"/>
  <c r="J337" i="12" l="1"/>
  <c r="E259" i="12"/>
  <c r="F359" i="12"/>
  <c r="F360" i="12" s="1"/>
  <c r="G362" i="12"/>
  <c r="E260" i="12" l="1"/>
  <c r="F48" i="12" l="1"/>
  <c r="G48" i="12"/>
  <c r="H48" i="12"/>
  <c r="I48" i="12"/>
  <c r="J48" i="12"/>
  <c r="F49" i="12"/>
  <c r="G49" i="12"/>
  <c r="H49" i="12"/>
  <c r="I49" i="12"/>
  <c r="J49" i="12"/>
  <c r="F51" i="12"/>
  <c r="G51" i="12"/>
  <c r="H51" i="12"/>
  <c r="I51" i="12"/>
  <c r="J51" i="12"/>
  <c r="F52" i="12"/>
  <c r="G52" i="12"/>
  <c r="H52" i="12"/>
  <c r="I52" i="12"/>
  <c r="J52" i="12"/>
  <c r="F53" i="12"/>
  <c r="G53" i="12"/>
  <c r="H53" i="12"/>
  <c r="I53" i="12"/>
  <c r="J53" i="12"/>
  <c r="F113" i="12"/>
  <c r="G113" i="12"/>
  <c r="H113" i="12"/>
  <c r="I113" i="12"/>
  <c r="J113" i="12"/>
  <c r="F119" i="12"/>
  <c r="G119" i="12"/>
  <c r="H119" i="12"/>
  <c r="I119" i="12"/>
  <c r="J119" i="12"/>
  <c r="G125" i="12"/>
  <c r="H125" i="12"/>
  <c r="I125" i="12"/>
  <c r="J125" i="12"/>
  <c r="F127" i="12"/>
  <c r="G127" i="12"/>
  <c r="H127" i="12"/>
  <c r="I127" i="12"/>
  <c r="J127" i="12"/>
  <c r="F128" i="12"/>
  <c r="G128" i="12"/>
  <c r="H128" i="12"/>
  <c r="I128" i="12"/>
  <c r="J128" i="12"/>
  <c r="F129" i="12"/>
  <c r="G129" i="12"/>
  <c r="H129" i="12"/>
  <c r="I129" i="12"/>
  <c r="J129" i="12"/>
  <c r="F130" i="12"/>
  <c r="G130" i="12"/>
  <c r="H130" i="12"/>
  <c r="I130" i="12"/>
  <c r="J130" i="12"/>
  <c r="F131" i="12"/>
  <c r="G131" i="12"/>
  <c r="H131" i="12"/>
  <c r="I131" i="12"/>
  <c r="J131" i="12"/>
  <c r="F132" i="12"/>
  <c r="G132" i="12"/>
  <c r="H132" i="12"/>
  <c r="I132" i="12"/>
  <c r="J132" i="12"/>
  <c r="G138" i="12"/>
  <c r="H138" i="12"/>
  <c r="I138" i="12"/>
  <c r="J138" i="12"/>
  <c r="F139" i="12"/>
  <c r="G139" i="12"/>
  <c r="H139" i="12"/>
  <c r="I139" i="12"/>
  <c r="J139" i="12"/>
  <c r="F140" i="12"/>
  <c r="G140" i="12"/>
  <c r="H140" i="12"/>
  <c r="I140" i="12"/>
  <c r="J140" i="12"/>
  <c r="F142" i="12"/>
  <c r="G142" i="12"/>
  <c r="H142" i="12"/>
  <c r="I142" i="12"/>
  <c r="J142" i="12"/>
  <c r="G145" i="12"/>
  <c r="H145" i="12"/>
  <c r="I145" i="12"/>
  <c r="J145" i="12"/>
  <c r="G147" i="12"/>
  <c r="H147" i="12"/>
  <c r="I147" i="12"/>
  <c r="J147" i="12"/>
  <c r="F148" i="12"/>
  <c r="G148" i="12"/>
  <c r="H148" i="12"/>
  <c r="I148" i="12"/>
  <c r="J148" i="12"/>
  <c r="F149" i="12"/>
  <c r="G149" i="12"/>
  <c r="H149" i="12"/>
  <c r="I149" i="12"/>
  <c r="J149" i="12"/>
  <c r="G151" i="12"/>
  <c r="H151" i="12"/>
  <c r="I151" i="12"/>
  <c r="J151" i="12"/>
  <c r="F152" i="12"/>
  <c r="G152" i="12"/>
  <c r="H152" i="12"/>
  <c r="I152" i="12"/>
  <c r="J152" i="12"/>
  <c r="F153" i="12"/>
  <c r="G153" i="12"/>
  <c r="H153" i="12"/>
  <c r="I153" i="12"/>
  <c r="J153" i="12"/>
  <c r="F155" i="12"/>
  <c r="G155" i="12"/>
  <c r="H155" i="12"/>
  <c r="I155" i="12"/>
  <c r="J155" i="12"/>
  <c r="G158" i="12"/>
  <c r="H158" i="12"/>
  <c r="I158" i="12"/>
  <c r="J158" i="12"/>
  <c r="G159" i="12"/>
  <c r="H159" i="12"/>
  <c r="I159" i="12"/>
  <c r="J159" i="12"/>
  <c r="F160" i="12"/>
  <c r="G160" i="12"/>
  <c r="H160" i="12"/>
  <c r="I160" i="12"/>
  <c r="J160" i="12"/>
  <c r="F161" i="12"/>
  <c r="G161" i="12"/>
  <c r="H161" i="12"/>
  <c r="I161" i="12"/>
  <c r="J161" i="12"/>
  <c r="F163" i="12"/>
  <c r="G163" i="12"/>
  <c r="H163" i="12"/>
  <c r="I163" i="12"/>
  <c r="J163" i="12"/>
  <c r="G166" i="12"/>
  <c r="H166" i="12"/>
  <c r="I166" i="12"/>
  <c r="J166" i="12"/>
  <c r="G167" i="12"/>
  <c r="H167" i="12"/>
  <c r="I167" i="12"/>
  <c r="J167" i="12"/>
  <c r="F168" i="12"/>
  <c r="G168" i="12"/>
  <c r="H168" i="12"/>
  <c r="I168" i="12"/>
  <c r="J168" i="12"/>
  <c r="F169" i="12"/>
  <c r="G169" i="12"/>
  <c r="H169" i="12"/>
  <c r="I169" i="12"/>
  <c r="J169" i="12"/>
  <c r="F171" i="12"/>
  <c r="G171" i="12"/>
  <c r="H171" i="12"/>
  <c r="I171" i="12"/>
  <c r="J171" i="12"/>
  <c r="F203" i="12"/>
  <c r="G203" i="12"/>
  <c r="H203" i="12"/>
  <c r="I203" i="12"/>
  <c r="J203" i="12"/>
  <c r="F204" i="12"/>
  <c r="G204" i="12"/>
  <c r="H204" i="12"/>
  <c r="I204" i="12"/>
  <c r="J204" i="12"/>
  <c r="F205" i="12"/>
  <c r="G205" i="12"/>
  <c r="H205" i="12"/>
  <c r="I205" i="12"/>
  <c r="J205" i="12"/>
  <c r="F218" i="12"/>
  <c r="G218" i="12"/>
  <c r="H218" i="12"/>
  <c r="I218" i="12"/>
  <c r="J218" i="12"/>
  <c r="F219" i="12"/>
  <c r="G219" i="12"/>
  <c r="H219" i="12"/>
  <c r="I219" i="12"/>
  <c r="J219" i="12"/>
  <c r="F220" i="12"/>
  <c r="G220" i="12"/>
  <c r="H220" i="12"/>
  <c r="I220" i="12"/>
  <c r="J220" i="12"/>
  <c r="F224" i="12"/>
  <c r="G224" i="12"/>
  <c r="H224" i="12"/>
  <c r="I224" i="12"/>
  <c r="J224" i="12"/>
  <c r="F225" i="12"/>
  <c r="G225" i="12"/>
  <c r="H225" i="12"/>
  <c r="I225" i="12"/>
  <c r="J225" i="12"/>
  <c r="F226" i="12"/>
  <c r="G226" i="12"/>
  <c r="H226" i="12"/>
  <c r="I226" i="12"/>
  <c r="J226" i="12"/>
  <c r="F227" i="12"/>
  <c r="G227" i="12"/>
  <c r="H227" i="12"/>
  <c r="I227" i="12"/>
  <c r="J227" i="12"/>
  <c r="F228" i="12"/>
  <c r="G228" i="12"/>
  <c r="H228" i="12"/>
  <c r="I228" i="12"/>
  <c r="J228" i="12"/>
  <c r="F229" i="12"/>
  <c r="G229" i="12"/>
  <c r="H229" i="12"/>
  <c r="I229" i="12"/>
  <c r="J229" i="12"/>
  <c r="C233" i="12"/>
  <c r="D233" i="12"/>
  <c r="F233" i="12"/>
  <c r="G233" i="12"/>
  <c r="H233" i="12"/>
  <c r="I233" i="12"/>
  <c r="J233" i="12"/>
  <c r="C234" i="12"/>
  <c r="D234" i="12"/>
  <c r="F234" i="12"/>
  <c r="G234" i="12"/>
  <c r="H234" i="12"/>
  <c r="I234" i="12"/>
  <c r="J234" i="12"/>
  <c r="C235" i="12"/>
  <c r="D235" i="12"/>
  <c r="F235" i="12"/>
  <c r="G235" i="12"/>
  <c r="H235" i="12"/>
  <c r="I235" i="12"/>
  <c r="J235" i="12"/>
  <c r="C238" i="12"/>
  <c r="D238" i="12"/>
  <c r="J238" i="12"/>
  <c r="C239" i="12"/>
  <c r="D239" i="12"/>
  <c r="J239" i="12"/>
  <c r="C240" i="12"/>
  <c r="D240" i="12"/>
  <c r="J240" i="12"/>
  <c r="C241" i="12"/>
  <c r="D241" i="12"/>
  <c r="J241" i="12"/>
  <c r="C242" i="12"/>
  <c r="D242" i="12"/>
  <c r="J242" i="12"/>
  <c r="C244" i="12"/>
  <c r="D244" i="12"/>
  <c r="J244" i="12"/>
  <c r="C245" i="12"/>
  <c r="D245" i="12"/>
  <c r="J245" i="12"/>
  <c r="C246" i="12"/>
  <c r="D246" i="12"/>
  <c r="J246" i="12"/>
  <c r="C247" i="12"/>
  <c r="D247" i="12"/>
  <c r="J247" i="12"/>
  <c r="C248" i="12"/>
  <c r="D248" i="12"/>
  <c r="J248" i="12"/>
  <c r="C250" i="12"/>
  <c r="D250" i="12"/>
  <c r="J250" i="12"/>
  <c r="C251" i="12"/>
  <c r="D251" i="12"/>
  <c r="J251" i="12"/>
  <c r="C252" i="12"/>
  <c r="D252" i="12"/>
  <c r="J252" i="12"/>
  <c r="C253" i="12"/>
  <c r="D253" i="12"/>
  <c r="J253" i="12"/>
  <c r="C254" i="12"/>
  <c r="D254" i="12"/>
  <c r="J254" i="12"/>
  <c r="C256" i="12"/>
  <c r="D256" i="12"/>
  <c r="J256" i="12"/>
  <c r="C257" i="12"/>
  <c r="D257" i="12"/>
  <c r="J257" i="12"/>
  <c r="C258" i="12"/>
  <c r="D258" i="12"/>
  <c r="J258" i="12"/>
  <c r="C259" i="12"/>
  <c r="D259" i="12"/>
  <c r="J259" i="12"/>
  <c r="C260" i="12"/>
  <c r="D260" i="12"/>
  <c r="J260" i="12"/>
  <c r="I264" i="12"/>
  <c r="J264" i="12"/>
  <c r="I265" i="12"/>
  <c r="J265" i="12"/>
  <c r="I266" i="12"/>
  <c r="J266" i="12"/>
  <c r="I268" i="12"/>
  <c r="J268" i="12"/>
  <c r="I269" i="12"/>
  <c r="J269" i="12"/>
  <c r="I270" i="12"/>
  <c r="J270" i="12"/>
  <c r="I271" i="12"/>
  <c r="J271" i="12"/>
  <c r="C277" i="12"/>
  <c r="E278" i="12"/>
  <c r="F278" i="12"/>
  <c r="G278" i="12"/>
  <c r="H278" i="12"/>
  <c r="I278" i="12"/>
  <c r="J278" i="12"/>
  <c r="E280" i="12"/>
  <c r="F280" i="12"/>
  <c r="G280" i="12"/>
  <c r="H280" i="12"/>
  <c r="I280" i="12"/>
  <c r="J280" i="12"/>
  <c r="E281" i="12"/>
  <c r="F281" i="12"/>
  <c r="G281" i="12"/>
  <c r="H281" i="12"/>
  <c r="I281" i="12"/>
  <c r="J281" i="12"/>
  <c r="E283" i="12"/>
  <c r="F283" i="12"/>
  <c r="G283" i="12"/>
  <c r="H283" i="12"/>
  <c r="I283" i="12"/>
  <c r="J283" i="12"/>
  <c r="E284" i="12"/>
  <c r="F284" i="12"/>
  <c r="G284" i="12"/>
  <c r="H284" i="12"/>
  <c r="I284" i="12"/>
  <c r="J284" i="12"/>
  <c r="E289" i="12"/>
  <c r="E299" i="12"/>
  <c r="E308" i="12"/>
  <c r="G342" i="12"/>
  <c r="H342" i="12"/>
  <c r="I342" i="12"/>
  <c r="J342" i="12"/>
  <c r="K342" i="12"/>
  <c r="G349" i="12"/>
  <c r="H349" i="12"/>
  <c r="I349" i="12"/>
  <c r="J349" i="12"/>
  <c r="K349" i="12"/>
  <c r="G354" i="12"/>
  <c r="H354" i="12"/>
  <c r="I354" i="12"/>
  <c r="J354" i="12"/>
  <c r="K354" i="12"/>
  <c r="G355" i="12"/>
  <c r="H355" i="12"/>
  <c r="I355" i="12"/>
  <c r="J355" i="12"/>
  <c r="K355" i="12"/>
  <c r="G358" i="12"/>
  <c r="H358" i="12"/>
  <c r="I358" i="12"/>
  <c r="J358" i="12"/>
  <c r="K358" i="12"/>
  <c r="G359" i="12"/>
  <c r="H359" i="12"/>
  <c r="I359" i="12"/>
  <c r="J359" i="12"/>
  <c r="K359" i="12"/>
  <c r="G360" i="12"/>
  <c r="H360" i="12"/>
  <c r="I360" i="12"/>
  <c r="J360" i="12"/>
  <c r="K360" i="12"/>
  <c r="H362" i="12"/>
  <c r="I362" i="12"/>
  <c r="J362" i="12"/>
  <c r="K362" i="12"/>
  <c r="G363" i="12"/>
  <c r="H363" i="12"/>
  <c r="I363" i="12"/>
  <c r="J363" i="12"/>
  <c r="K363" i="12"/>
  <c r="G367" i="12"/>
  <c r="H367" i="12"/>
  <c r="I367" i="12"/>
  <c r="J367" i="12"/>
  <c r="K367" i="12"/>
</calcChain>
</file>

<file path=xl/comments1.xml><?xml version="1.0" encoding="utf-8"?>
<comments xmlns="http://schemas.openxmlformats.org/spreadsheetml/2006/main">
  <authors>
    <author>Wall Street Prep</author>
  </authors>
  <commentList>
    <comment ref="H7" author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text>
        <r>
          <rPr>
            <b/>
            <sz val="9"/>
            <color indexed="81"/>
            <rFont val="Tahoma"/>
            <family val="2"/>
          </rPr>
          <t>Wall Street Prep:</t>
        </r>
        <r>
          <rPr>
            <sz val="9"/>
            <color indexed="81"/>
            <rFont val="Tahoma"/>
            <family val="2"/>
          </rPr>
          <t xml:space="preserve">
Input the last twelve months (LTM) EBITDA. </t>
        </r>
      </text>
    </comment>
    <comment ref="B14" author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text>
        <r>
          <rPr>
            <b/>
            <sz val="9"/>
            <color indexed="81"/>
            <rFont val="Tahoma"/>
            <family val="2"/>
          </rPr>
          <t>Wall Street Prep:</t>
        </r>
        <r>
          <rPr>
            <sz val="9"/>
            <color indexed="81"/>
            <rFont val="Tahoma"/>
            <family val="2"/>
          </rPr>
          <t xml:space="preserve">
Include all cash and equivalents as of most recent filing.</t>
        </r>
      </text>
    </comment>
    <comment ref="J26" author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text>
        <r>
          <rPr>
            <b/>
            <sz val="9"/>
            <color indexed="81"/>
            <rFont val="Tahoma"/>
            <family val="2"/>
          </rPr>
          <t>Wall Street Prep:</t>
        </r>
        <r>
          <rPr>
            <sz val="9"/>
            <color indexed="81"/>
            <rFont val="Tahoma"/>
            <family val="2"/>
          </rPr>
          <t xml:space="preserve">
$1.4 in excess cash used in BMC LBO</t>
        </r>
      </text>
    </comment>
    <comment ref="D28" authorId="0">
      <text>
        <r>
          <rPr>
            <b/>
            <sz val="9"/>
            <color indexed="81"/>
            <rFont val="Tahoma"/>
            <family val="2"/>
          </rPr>
          <t>Wall Street Prep:</t>
        </r>
        <r>
          <rPr>
            <sz val="9"/>
            <color indexed="81"/>
            <rFont val="Tahoma"/>
            <family val="2"/>
          </rPr>
          <t xml:space="preserve">
Up to $350m in availability on revolver with 5 year term</t>
        </r>
      </text>
    </comment>
    <comment ref="D29" authorId="0">
      <text>
        <r>
          <rPr>
            <b/>
            <sz val="9"/>
            <color indexed="81"/>
            <rFont val="Tahoma"/>
            <family val="2"/>
          </rPr>
          <t>Wall Street Prep:</t>
        </r>
        <r>
          <rPr>
            <sz val="9"/>
            <color indexed="81"/>
            <rFont val="Tahoma"/>
            <family val="2"/>
          </rPr>
          <t xml:space="preserve">
Originally $3.2b senior secured 7 year term loan reduced to $2.88b</t>
        </r>
      </text>
    </comment>
    <comment ref="D30" author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text>
        <r>
          <rPr>
            <b/>
            <sz val="9"/>
            <color indexed="81"/>
            <rFont val="Tahoma"/>
            <family val="2"/>
          </rPr>
          <t>Wall Street Prep:</t>
        </r>
        <r>
          <rPr>
            <sz val="9"/>
            <color indexed="81"/>
            <rFont val="Tahoma"/>
            <family val="2"/>
          </rPr>
          <t xml:space="preserve">
Includes amortization expense</t>
        </r>
      </text>
    </comment>
    <comment ref="D46" authorId="0">
      <text>
        <r>
          <rPr>
            <b/>
            <sz val="9"/>
            <color indexed="81"/>
            <rFont val="Tahoma"/>
            <family val="2"/>
          </rPr>
          <t>Wall Street Prep:</t>
        </r>
        <r>
          <rPr>
            <sz val="9"/>
            <color indexed="81"/>
            <rFont val="Tahoma"/>
            <family val="2"/>
          </rPr>
          <t xml:space="preserve">
Includes amortization expense</t>
        </r>
      </text>
    </comment>
    <comment ref="E46" authorId="0">
      <text>
        <r>
          <rPr>
            <b/>
            <sz val="9"/>
            <color indexed="81"/>
            <rFont val="Tahoma"/>
            <family val="2"/>
          </rPr>
          <t>Wall Street Prep:</t>
        </r>
        <r>
          <rPr>
            <sz val="9"/>
            <color indexed="81"/>
            <rFont val="Tahoma"/>
            <family val="2"/>
          </rPr>
          <t xml:space="preserve">
Includes amortization expense</t>
        </r>
      </text>
    </comment>
    <comment ref="F59" authorId="0">
      <text>
        <r>
          <rPr>
            <b/>
            <sz val="9"/>
            <color indexed="81"/>
            <rFont val="Tahoma"/>
            <family val="2"/>
          </rPr>
          <t>Wall Street Prep:</t>
        </r>
        <r>
          <rPr>
            <sz val="9"/>
            <color indexed="81"/>
            <rFont val="Tahoma"/>
            <family val="2"/>
          </rPr>
          <t xml:space="preserve">
BMC projections per Merger Proxy, p.72</t>
        </r>
      </text>
    </comment>
    <comment ref="G59" authorId="0">
      <text>
        <r>
          <rPr>
            <b/>
            <sz val="9"/>
            <color indexed="81"/>
            <rFont val="Tahoma"/>
            <family val="2"/>
          </rPr>
          <t>Wall Street Prep:</t>
        </r>
        <r>
          <rPr>
            <sz val="9"/>
            <color indexed="81"/>
            <rFont val="Tahoma"/>
            <family val="2"/>
          </rPr>
          <t xml:space="preserve">
BMC projections per Merger Proxy, p.72</t>
        </r>
      </text>
    </comment>
    <comment ref="H59" authorId="0">
      <text>
        <r>
          <rPr>
            <b/>
            <sz val="9"/>
            <color indexed="81"/>
            <rFont val="Tahoma"/>
            <family val="2"/>
          </rPr>
          <t>Wall Street Prep:</t>
        </r>
        <r>
          <rPr>
            <sz val="9"/>
            <color indexed="81"/>
            <rFont val="Tahoma"/>
            <family val="2"/>
          </rPr>
          <t xml:space="preserve">
BMC projections per Merger Proxy, p.72</t>
        </r>
      </text>
    </comment>
    <comment ref="I59" authorId="0">
      <text>
        <r>
          <rPr>
            <b/>
            <sz val="9"/>
            <color indexed="81"/>
            <rFont val="Tahoma"/>
            <family val="2"/>
          </rPr>
          <t>Wall Street Prep:</t>
        </r>
        <r>
          <rPr>
            <sz val="9"/>
            <color indexed="81"/>
            <rFont val="Tahoma"/>
            <family val="2"/>
          </rPr>
          <t xml:space="preserve">
BMC projections per Merger Proxy, p.72</t>
        </r>
      </text>
    </comment>
    <comment ref="J59" authorId="0">
      <text>
        <r>
          <rPr>
            <b/>
            <sz val="9"/>
            <color indexed="81"/>
            <rFont val="Tahoma"/>
            <family val="2"/>
          </rPr>
          <t>Wall Street Prep:</t>
        </r>
        <r>
          <rPr>
            <sz val="9"/>
            <color indexed="81"/>
            <rFont val="Tahoma"/>
            <family val="2"/>
          </rPr>
          <t xml:space="preserve">
BMC projections per Merger Proxy, p.72</t>
        </r>
      </text>
    </comment>
    <comment ref="F63" authorId="0">
      <text>
        <r>
          <rPr>
            <b/>
            <sz val="9"/>
            <color indexed="81"/>
            <rFont val="Tahoma"/>
            <family val="2"/>
          </rPr>
          <t>Wall Street Prep:</t>
        </r>
        <r>
          <rPr>
            <sz val="9"/>
            <color indexed="81"/>
            <rFont val="Tahoma"/>
            <family val="2"/>
          </rPr>
          <t xml:space="preserve">
BMC projections per Merger Proxy, p.72</t>
        </r>
      </text>
    </comment>
    <comment ref="G63" authorId="0">
      <text>
        <r>
          <rPr>
            <b/>
            <sz val="9"/>
            <color indexed="81"/>
            <rFont val="Tahoma"/>
            <family val="2"/>
          </rPr>
          <t>Wall Street Prep:</t>
        </r>
        <r>
          <rPr>
            <sz val="9"/>
            <color indexed="81"/>
            <rFont val="Tahoma"/>
            <family val="2"/>
          </rPr>
          <t xml:space="preserve">
BMC projections per Merger Proxy, p.72</t>
        </r>
      </text>
    </comment>
    <comment ref="H63" authorId="0">
      <text>
        <r>
          <rPr>
            <b/>
            <sz val="9"/>
            <color indexed="81"/>
            <rFont val="Tahoma"/>
            <family val="2"/>
          </rPr>
          <t>Wall Street Prep:</t>
        </r>
        <r>
          <rPr>
            <sz val="9"/>
            <color indexed="81"/>
            <rFont val="Tahoma"/>
            <family val="2"/>
          </rPr>
          <t xml:space="preserve">
BMC projections per Merger Proxy, p.72</t>
        </r>
      </text>
    </comment>
    <comment ref="I63" authorId="0">
      <text>
        <r>
          <rPr>
            <b/>
            <sz val="9"/>
            <color indexed="81"/>
            <rFont val="Tahoma"/>
            <family val="2"/>
          </rPr>
          <t>Wall Street Prep:</t>
        </r>
        <r>
          <rPr>
            <sz val="9"/>
            <color indexed="81"/>
            <rFont val="Tahoma"/>
            <family val="2"/>
          </rPr>
          <t xml:space="preserve">
BMC projections per Merger Proxy, p.72</t>
        </r>
      </text>
    </comment>
    <comment ref="J63" authorId="0">
      <text>
        <r>
          <rPr>
            <b/>
            <sz val="9"/>
            <color indexed="81"/>
            <rFont val="Tahoma"/>
            <family val="2"/>
          </rPr>
          <t>Wall Street Prep:</t>
        </r>
        <r>
          <rPr>
            <sz val="9"/>
            <color indexed="81"/>
            <rFont val="Tahoma"/>
            <family val="2"/>
          </rPr>
          <t xml:space="preserve">
BMC projections per Merger Proxy, p.72</t>
        </r>
      </text>
    </comment>
    <comment ref="F68" authorId="0">
      <text>
        <r>
          <rPr>
            <b/>
            <sz val="9"/>
            <color indexed="81"/>
            <rFont val="Tahoma"/>
            <family val="2"/>
          </rPr>
          <t>Wall Street Prep:</t>
        </r>
        <r>
          <rPr>
            <sz val="9"/>
            <color indexed="81"/>
            <rFont val="Tahoma"/>
            <family val="2"/>
          </rPr>
          <t xml:space="preserve">
Tried to get close to BMC projections per Merger Proxy, p.72</t>
        </r>
      </text>
    </comment>
    <comment ref="D74" author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text>
        <r>
          <rPr>
            <b/>
            <sz val="9"/>
            <color indexed="81"/>
            <rFont val="Tahoma"/>
            <family val="2"/>
          </rPr>
          <t>Wall Street Prep:</t>
        </r>
        <r>
          <rPr>
            <sz val="9"/>
            <color indexed="81"/>
            <rFont val="Tahoma"/>
            <family val="2"/>
          </rPr>
          <t xml:space="preserve">
Includes accrued expenses and both current and long term deferred revenue</t>
        </r>
      </text>
    </comment>
    <comment ref="E80" authorId="0">
      <text>
        <r>
          <rPr>
            <b/>
            <sz val="9"/>
            <color indexed="81"/>
            <rFont val="Tahoma"/>
            <family val="2"/>
          </rPr>
          <t>Wall Street Prep:</t>
        </r>
        <r>
          <rPr>
            <sz val="9"/>
            <color indexed="81"/>
            <rFont val="Tahoma"/>
            <family val="2"/>
          </rPr>
          <t xml:space="preserve">
Includes accrued expenses and both current and long term deferred revenue</t>
        </r>
      </text>
    </comment>
    <comment ref="F90" authorId="0">
      <text>
        <r>
          <rPr>
            <b/>
            <sz val="9"/>
            <color indexed="81"/>
            <rFont val="Tahoma"/>
            <family val="2"/>
          </rPr>
          <t>Wall Street Prep:</t>
        </r>
        <r>
          <rPr>
            <sz val="9"/>
            <color indexed="81"/>
            <rFont val="Tahoma"/>
            <family val="2"/>
          </rPr>
          <t xml:space="preserve">
Tried to approximate mangement guidance in Merger proxy p.72</t>
        </r>
      </text>
    </comment>
    <comment ref="G90" authorId="0">
      <text>
        <r>
          <rPr>
            <b/>
            <sz val="9"/>
            <color indexed="81"/>
            <rFont val="Tahoma"/>
            <family val="2"/>
          </rPr>
          <t>Wall Street Prep:</t>
        </r>
        <r>
          <rPr>
            <sz val="9"/>
            <color indexed="81"/>
            <rFont val="Tahoma"/>
            <family val="2"/>
          </rPr>
          <t xml:space="preserve">
Tried to approximate mangement guidance in Merger proxy p.72</t>
        </r>
      </text>
    </comment>
    <comment ref="H90" authorId="0">
      <text>
        <r>
          <rPr>
            <b/>
            <sz val="9"/>
            <color indexed="81"/>
            <rFont val="Tahoma"/>
            <family val="2"/>
          </rPr>
          <t>Wall Street Prep:</t>
        </r>
        <r>
          <rPr>
            <sz val="9"/>
            <color indexed="81"/>
            <rFont val="Tahoma"/>
            <family val="2"/>
          </rPr>
          <t xml:space="preserve">
Tried to approximate mangement guidance in Merger proxy p.72</t>
        </r>
      </text>
    </comment>
    <comment ref="I90" authorId="0">
      <text>
        <r>
          <rPr>
            <b/>
            <sz val="9"/>
            <color indexed="81"/>
            <rFont val="Tahoma"/>
            <family val="2"/>
          </rPr>
          <t>Wall Street Prep:</t>
        </r>
        <r>
          <rPr>
            <sz val="9"/>
            <color indexed="81"/>
            <rFont val="Tahoma"/>
            <family val="2"/>
          </rPr>
          <t xml:space="preserve">
Tried to approximate mangement guidance in Merger proxy p.72</t>
        </r>
      </text>
    </comment>
    <comment ref="J90" authorId="0">
      <text>
        <r>
          <rPr>
            <b/>
            <sz val="9"/>
            <color indexed="81"/>
            <rFont val="Tahoma"/>
            <family val="2"/>
          </rPr>
          <t>Wall Street Prep:</t>
        </r>
        <r>
          <rPr>
            <sz val="9"/>
            <color indexed="81"/>
            <rFont val="Tahoma"/>
            <family val="2"/>
          </rPr>
          <t xml:space="preserve">
Tried to approximate mangement guidance in Merger proxy p.72</t>
        </r>
      </text>
    </comment>
    <comment ref="C91" authorId="0">
      <text>
        <r>
          <rPr>
            <b/>
            <sz val="9"/>
            <color indexed="81"/>
            <rFont val="Tahoma"/>
            <family val="2"/>
          </rPr>
          <t>Wall Street Prep:</t>
        </r>
        <r>
          <rPr>
            <sz val="9"/>
            <color indexed="81"/>
            <rFont val="Tahoma"/>
            <family val="2"/>
          </rPr>
          <t xml:space="preserve">
Source: BMC 10K 2013 p. 72</t>
        </r>
      </text>
    </comment>
    <comment ref="D91" authorId="0">
      <text>
        <r>
          <rPr>
            <b/>
            <sz val="9"/>
            <color indexed="81"/>
            <rFont val="Tahoma"/>
            <family val="2"/>
          </rPr>
          <t>Wall Street Prep:</t>
        </r>
        <r>
          <rPr>
            <sz val="9"/>
            <color indexed="81"/>
            <rFont val="Tahoma"/>
            <family val="2"/>
          </rPr>
          <t xml:space="preserve">
Source: BMC 10K 2013 p. 72</t>
        </r>
      </text>
    </comment>
    <comment ref="E91" authorId="0">
      <text>
        <r>
          <rPr>
            <b/>
            <sz val="9"/>
            <color indexed="81"/>
            <rFont val="Tahoma"/>
            <family val="2"/>
          </rPr>
          <t>Wall Street Prep:</t>
        </r>
        <r>
          <rPr>
            <sz val="9"/>
            <color indexed="81"/>
            <rFont val="Tahoma"/>
            <family val="2"/>
          </rPr>
          <t xml:space="preserve">
Source: BMC 10K 2013 p. 72</t>
        </r>
      </text>
    </comment>
    <comment ref="K91" author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C96" authorId="0">
      <text>
        <r>
          <rPr>
            <b/>
            <sz val="9"/>
            <color indexed="81"/>
            <rFont val="Tahoma"/>
            <family val="2"/>
          </rPr>
          <t>Wall Street Prep:</t>
        </r>
        <r>
          <rPr>
            <sz val="9"/>
            <color indexed="81"/>
            <rFont val="Tahoma"/>
            <family val="2"/>
          </rPr>
          <t xml:space="preserve">
BMC 2013 10K, CFS.</t>
        </r>
      </text>
    </comment>
    <comment ref="D96" authorId="0">
      <text>
        <r>
          <rPr>
            <b/>
            <sz val="9"/>
            <color indexed="81"/>
            <rFont val="Tahoma"/>
            <family val="2"/>
          </rPr>
          <t>Wall Street Prep:</t>
        </r>
        <r>
          <rPr>
            <sz val="9"/>
            <color indexed="81"/>
            <rFont val="Tahoma"/>
            <family val="2"/>
          </rPr>
          <t xml:space="preserve">
BMC 2013 10K, CFS.</t>
        </r>
      </text>
    </comment>
    <comment ref="E96" authorId="0">
      <text>
        <r>
          <rPr>
            <b/>
            <sz val="9"/>
            <color indexed="81"/>
            <rFont val="Tahoma"/>
            <family val="2"/>
          </rPr>
          <t>Wall Street Prep:</t>
        </r>
        <r>
          <rPr>
            <sz val="9"/>
            <color indexed="81"/>
            <rFont val="Tahoma"/>
            <family val="2"/>
          </rPr>
          <t xml:space="preserve">
BMC 2013 10K, CFS.</t>
        </r>
      </text>
    </comment>
    <comment ref="F96" authorId="0">
      <text>
        <r>
          <rPr>
            <b/>
            <sz val="9"/>
            <color indexed="81"/>
            <rFont val="Tahoma"/>
            <family val="2"/>
          </rPr>
          <t>Wall Street Prep:</t>
        </r>
        <r>
          <rPr>
            <sz val="9"/>
            <color indexed="81"/>
            <rFont val="Tahoma"/>
            <family val="2"/>
          </rPr>
          <t xml:space="preserve">
BMC projections per Merger Proxy, p.72</t>
        </r>
      </text>
    </comment>
    <comment ref="G96" authorId="0">
      <text>
        <r>
          <rPr>
            <b/>
            <sz val="9"/>
            <color indexed="81"/>
            <rFont val="Tahoma"/>
            <family val="2"/>
          </rPr>
          <t>Wall Street Prep:</t>
        </r>
        <r>
          <rPr>
            <sz val="9"/>
            <color indexed="81"/>
            <rFont val="Tahoma"/>
            <family val="2"/>
          </rPr>
          <t xml:space="preserve">
BMC projections per Merger Proxy, p.72</t>
        </r>
      </text>
    </comment>
    <comment ref="H96" authorId="0">
      <text>
        <r>
          <rPr>
            <b/>
            <sz val="9"/>
            <color indexed="81"/>
            <rFont val="Tahoma"/>
            <family val="2"/>
          </rPr>
          <t>Wall Street Prep:</t>
        </r>
        <r>
          <rPr>
            <sz val="9"/>
            <color indexed="81"/>
            <rFont val="Tahoma"/>
            <family val="2"/>
          </rPr>
          <t xml:space="preserve">
BMC projections per Merger Proxy, p.72</t>
        </r>
      </text>
    </comment>
    <comment ref="I96" authorId="0">
      <text>
        <r>
          <rPr>
            <b/>
            <sz val="9"/>
            <color indexed="81"/>
            <rFont val="Tahoma"/>
            <family val="2"/>
          </rPr>
          <t>Wall Street Prep:</t>
        </r>
        <r>
          <rPr>
            <sz val="9"/>
            <color indexed="81"/>
            <rFont val="Tahoma"/>
            <family val="2"/>
          </rPr>
          <t xml:space="preserve">
BMC projections per Merger Proxy, p.72</t>
        </r>
      </text>
    </comment>
    <comment ref="J96" authorId="0">
      <text>
        <r>
          <rPr>
            <b/>
            <sz val="9"/>
            <color indexed="81"/>
            <rFont val="Tahoma"/>
            <family val="2"/>
          </rPr>
          <t>Wall Street Prep:</t>
        </r>
        <r>
          <rPr>
            <sz val="9"/>
            <color indexed="81"/>
            <rFont val="Tahoma"/>
            <family val="2"/>
          </rPr>
          <t xml:space="preserve">
BMC projections per Merger Proxy, p.72</t>
        </r>
      </text>
    </comment>
    <comment ref="C97" authorId="0">
      <text>
        <r>
          <rPr>
            <b/>
            <sz val="9"/>
            <color indexed="81"/>
            <rFont val="Tahoma"/>
            <family val="2"/>
          </rPr>
          <t>Wall Street Prep:</t>
        </r>
        <r>
          <rPr>
            <sz val="9"/>
            <color indexed="81"/>
            <rFont val="Tahoma"/>
            <family val="2"/>
          </rPr>
          <t xml:space="preserve">
Source: BMC 2013 10K p. 60 </t>
        </r>
      </text>
    </comment>
    <comment ref="D97" authorId="0">
      <text>
        <r>
          <rPr>
            <b/>
            <sz val="9"/>
            <color indexed="81"/>
            <rFont val="Tahoma"/>
            <family val="2"/>
          </rPr>
          <t>Wall Street Prep:</t>
        </r>
        <r>
          <rPr>
            <sz val="9"/>
            <color indexed="81"/>
            <rFont val="Tahoma"/>
            <family val="2"/>
          </rPr>
          <t xml:space="preserve">
Source: BMC 2013 10K p. 60 </t>
        </r>
      </text>
    </comment>
    <comment ref="E97" authorId="0">
      <text>
        <r>
          <rPr>
            <b/>
            <sz val="9"/>
            <color indexed="81"/>
            <rFont val="Tahoma"/>
            <family val="2"/>
          </rPr>
          <t>Wall Street Prep:</t>
        </r>
        <r>
          <rPr>
            <sz val="9"/>
            <color indexed="81"/>
            <rFont val="Tahoma"/>
            <family val="2"/>
          </rPr>
          <t xml:space="preserve">
Source: BMC 2013 10K p. 60 </t>
        </r>
      </text>
    </comment>
    <comment ref="K97" author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F103" authorId="0">
      <text>
        <r>
          <rPr>
            <b/>
            <sz val="9"/>
            <color indexed="81"/>
            <rFont val="Tahoma"/>
            <family val="2"/>
          </rPr>
          <t>Wall Street Prep:</t>
        </r>
        <r>
          <rPr>
            <sz val="9"/>
            <color indexed="81"/>
            <rFont val="Tahoma"/>
            <family val="2"/>
          </rPr>
          <t xml:space="preserve">
BMC projections per Merger Proxy, p.72</t>
        </r>
      </text>
    </comment>
    <comment ref="G103" authorId="0">
      <text>
        <r>
          <rPr>
            <b/>
            <sz val="9"/>
            <color indexed="81"/>
            <rFont val="Tahoma"/>
            <family val="2"/>
          </rPr>
          <t>Wall Street Prep:</t>
        </r>
        <r>
          <rPr>
            <sz val="9"/>
            <color indexed="81"/>
            <rFont val="Tahoma"/>
            <family val="2"/>
          </rPr>
          <t xml:space="preserve">
BMC projections per Merger Proxy, p.72</t>
        </r>
      </text>
    </comment>
    <comment ref="H103" authorId="0">
      <text>
        <r>
          <rPr>
            <b/>
            <sz val="9"/>
            <color indexed="81"/>
            <rFont val="Tahoma"/>
            <family val="2"/>
          </rPr>
          <t>Wall Street Prep:</t>
        </r>
        <r>
          <rPr>
            <sz val="9"/>
            <color indexed="81"/>
            <rFont val="Tahoma"/>
            <family val="2"/>
          </rPr>
          <t xml:space="preserve">
BMC projections per Merger Proxy, p.72</t>
        </r>
      </text>
    </comment>
    <comment ref="I103" authorId="0">
      <text>
        <r>
          <rPr>
            <b/>
            <sz val="9"/>
            <color indexed="81"/>
            <rFont val="Tahoma"/>
            <family val="2"/>
          </rPr>
          <t>Wall Street Prep:</t>
        </r>
        <r>
          <rPr>
            <sz val="9"/>
            <color indexed="81"/>
            <rFont val="Tahoma"/>
            <family val="2"/>
          </rPr>
          <t xml:space="preserve">
BMC projections per Merger Proxy, p.72</t>
        </r>
      </text>
    </comment>
    <comment ref="J103" authorId="0">
      <text>
        <r>
          <rPr>
            <b/>
            <sz val="9"/>
            <color indexed="81"/>
            <rFont val="Tahoma"/>
            <family val="2"/>
          </rPr>
          <t>Wall Street Prep:</t>
        </r>
        <r>
          <rPr>
            <sz val="9"/>
            <color indexed="81"/>
            <rFont val="Tahoma"/>
            <family val="2"/>
          </rPr>
          <t xml:space="preserve">
BMC projections per Merger Proxy, p.72</t>
        </r>
      </text>
    </comment>
    <comment ref="D105" authorId="0">
      <text>
        <r>
          <rPr>
            <b/>
            <sz val="9"/>
            <color indexed="81"/>
            <rFont val="Tahoma"/>
            <family val="2"/>
          </rPr>
          <t>Wall Street Prep:</t>
        </r>
        <r>
          <rPr>
            <sz val="9"/>
            <color indexed="81"/>
            <rFont val="Tahoma"/>
            <family val="2"/>
          </rPr>
          <t xml:space="preserve">
Includes goodwill and other assets </t>
        </r>
      </text>
    </comment>
    <comment ref="E105" authorId="0">
      <text>
        <r>
          <rPr>
            <b/>
            <sz val="9"/>
            <color indexed="81"/>
            <rFont val="Tahoma"/>
            <family val="2"/>
          </rPr>
          <t>Wall Street Prep:</t>
        </r>
        <r>
          <rPr>
            <sz val="9"/>
            <color indexed="81"/>
            <rFont val="Tahoma"/>
            <family val="2"/>
          </rPr>
          <t xml:space="preserve">
Includes goodwill and other assets </t>
        </r>
      </text>
    </comment>
    <comment ref="E162" authorId="0">
      <text>
        <r>
          <rPr>
            <b/>
            <sz val="9"/>
            <color indexed="81"/>
            <rFont val="Tahoma"/>
            <family val="2"/>
          </rPr>
          <t>Wall Street Prep:</t>
        </r>
        <r>
          <rPr>
            <sz val="9"/>
            <color indexed="81"/>
            <rFont val="Tahoma"/>
            <family val="2"/>
          </rPr>
          <t xml:space="preserve">
% of available cash to be used.</t>
        </r>
      </text>
    </comment>
    <comment ref="E170" authorId="0">
      <text>
        <r>
          <rPr>
            <b/>
            <sz val="9"/>
            <color indexed="81"/>
            <rFont val="Tahoma"/>
            <family val="2"/>
          </rPr>
          <t>Wall Street Prep:</t>
        </r>
        <r>
          <rPr>
            <sz val="9"/>
            <color indexed="81"/>
            <rFont val="Tahoma"/>
            <family val="2"/>
          </rPr>
          <t xml:space="preserve">
% of available cash to be used.</t>
        </r>
      </text>
    </comment>
    <comment ref="F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text>
        <r>
          <rPr>
            <b/>
            <sz val="9"/>
            <color indexed="81"/>
            <rFont val="Tahoma"/>
            <family val="2"/>
          </rPr>
          <t>Wall Street Prep:</t>
        </r>
        <r>
          <rPr>
            <sz val="9"/>
            <color indexed="81"/>
            <rFont val="Tahoma"/>
            <family val="2"/>
          </rPr>
          <t xml:space="preserve">
Fully diluted</t>
        </r>
      </text>
    </comment>
    <comment ref="E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18" author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18" author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0" authorId="0">
      <text>
        <r>
          <rPr>
            <b/>
            <sz val="9"/>
            <color indexed="81"/>
            <rFont val="Tahoma"/>
            <family val="2"/>
          </rPr>
          <t>Wall Street Prep:</t>
        </r>
        <r>
          <rPr>
            <sz val="9"/>
            <color indexed="81"/>
            <rFont val="Tahoma"/>
            <family val="2"/>
          </rPr>
          <t xml:space="preserve">
Includes DTLs created in the LBO</t>
        </r>
      </text>
    </comment>
    <comment ref="B331" authorId="0">
      <text>
        <r>
          <rPr>
            <b/>
            <sz val="9"/>
            <color indexed="81"/>
            <rFont val="Tahoma"/>
            <family val="2"/>
          </rPr>
          <t>Wall Street Prep:</t>
        </r>
        <r>
          <rPr>
            <sz val="9"/>
            <color indexed="81"/>
            <rFont val="Tahoma"/>
            <family val="2"/>
          </rPr>
          <t xml:space="preserve">
Include legacy noncontrolling interests and preferred stock for simplicty</t>
        </r>
      </text>
    </comment>
    <comment ref="G335" authorId="0">
      <text>
        <r>
          <rPr>
            <b/>
            <sz val="9"/>
            <color indexed="81"/>
            <rFont val="Tahoma"/>
            <family val="2"/>
          </rPr>
          <t>Wall Street Prep:</t>
        </r>
        <r>
          <rPr>
            <sz val="9"/>
            <color indexed="81"/>
            <rFont val="Tahoma"/>
            <family val="2"/>
          </rPr>
          <t xml:space="preserve">
Excludes management rollover</t>
        </r>
      </text>
    </comment>
    <comment ref="F347" authorId="0">
      <text>
        <r>
          <rPr>
            <b/>
            <sz val="9"/>
            <color indexed="81"/>
            <rFont val="Tahoma"/>
            <family val="2"/>
          </rPr>
          <t>Wall Street Prep:</t>
        </r>
        <r>
          <rPr>
            <sz val="9"/>
            <color indexed="81"/>
            <rFont val="Tahoma"/>
            <family val="2"/>
          </rPr>
          <t xml:space="preserve">
Includes capitalized financing fees</t>
        </r>
      </text>
    </comment>
    <comment ref="G347" authorId="0">
      <text>
        <r>
          <rPr>
            <b/>
            <sz val="9"/>
            <color indexed="81"/>
            <rFont val="Tahoma"/>
            <family val="2"/>
          </rPr>
          <t>Wall Street Prep:</t>
        </r>
        <r>
          <rPr>
            <sz val="9"/>
            <color indexed="81"/>
            <rFont val="Tahoma"/>
            <family val="2"/>
          </rPr>
          <t xml:space="preserve">
Includes capitalized financing fees</t>
        </r>
      </text>
    </comment>
    <comment ref="H347" authorId="0">
      <text>
        <r>
          <rPr>
            <b/>
            <sz val="9"/>
            <color indexed="81"/>
            <rFont val="Tahoma"/>
            <family val="2"/>
          </rPr>
          <t>Wall Street Prep:</t>
        </r>
        <r>
          <rPr>
            <sz val="9"/>
            <color indexed="81"/>
            <rFont val="Tahoma"/>
            <family val="2"/>
          </rPr>
          <t xml:space="preserve">
Includes capitalized financing fees</t>
        </r>
      </text>
    </comment>
    <comment ref="I347" authorId="0">
      <text>
        <r>
          <rPr>
            <b/>
            <sz val="9"/>
            <color indexed="81"/>
            <rFont val="Tahoma"/>
            <family val="2"/>
          </rPr>
          <t>Wall Street Prep:</t>
        </r>
        <r>
          <rPr>
            <sz val="9"/>
            <color indexed="81"/>
            <rFont val="Tahoma"/>
            <family val="2"/>
          </rPr>
          <t xml:space="preserve">
Includes capitalized financing fees</t>
        </r>
      </text>
    </comment>
    <comment ref="J347" authorId="0">
      <text>
        <r>
          <rPr>
            <b/>
            <sz val="9"/>
            <color indexed="81"/>
            <rFont val="Tahoma"/>
            <family val="2"/>
          </rPr>
          <t>Wall Street Prep:</t>
        </r>
        <r>
          <rPr>
            <sz val="9"/>
            <color indexed="81"/>
            <rFont val="Tahoma"/>
            <family val="2"/>
          </rPr>
          <t xml:space="preserve">
Includes capitalized financing fees</t>
        </r>
      </text>
    </comment>
    <comment ref="K347" authorId="0">
      <text>
        <r>
          <rPr>
            <b/>
            <sz val="9"/>
            <color indexed="81"/>
            <rFont val="Tahoma"/>
            <family val="2"/>
          </rPr>
          <t>Wall Street Prep:</t>
        </r>
        <r>
          <rPr>
            <sz val="9"/>
            <color indexed="81"/>
            <rFont val="Tahoma"/>
            <family val="2"/>
          </rPr>
          <t xml:space="preserve">
Includes capitalized financing fees</t>
        </r>
      </text>
    </comment>
    <comment ref="F348" authorId="0">
      <text>
        <r>
          <rPr>
            <b/>
            <sz val="9"/>
            <color indexed="81"/>
            <rFont val="Tahoma"/>
            <family val="2"/>
          </rPr>
          <t>Wall Street Prep:</t>
        </r>
        <r>
          <rPr>
            <sz val="9"/>
            <color indexed="81"/>
            <rFont val="Tahoma"/>
            <family val="2"/>
          </rPr>
          <t xml:space="preserve">
Includes goodwill created in the LBO </t>
        </r>
      </text>
    </comment>
    <comment ref="G348" authorId="0">
      <text>
        <r>
          <rPr>
            <b/>
            <sz val="9"/>
            <color indexed="81"/>
            <rFont val="Tahoma"/>
            <family val="2"/>
          </rPr>
          <t>Wall Street Prep:</t>
        </r>
        <r>
          <rPr>
            <sz val="9"/>
            <color indexed="81"/>
            <rFont val="Tahoma"/>
            <family val="2"/>
          </rPr>
          <t xml:space="preserve">
Includes goodwill created in the LBO </t>
        </r>
      </text>
    </comment>
    <comment ref="H348" authorId="0">
      <text>
        <r>
          <rPr>
            <b/>
            <sz val="9"/>
            <color indexed="81"/>
            <rFont val="Tahoma"/>
            <family val="2"/>
          </rPr>
          <t>Wall Street Prep:</t>
        </r>
        <r>
          <rPr>
            <sz val="9"/>
            <color indexed="81"/>
            <rFont val="Tahoma"/>
            <family val="2"/>
          </rPr>
          <t xml:space="preserve">
Includes goodwill created in the LBO </t>
        </r>
      </text>
    </comment>
    <comment ref="I348" authorId="0">
      <text>
        <r>
          <rPr>
            <b/>
            <sz val="9"/>
            <color indexed="81"/>
            <rFont val="Tahoma"/>
            <family val="2"/>
          </rPr>
          <t>Wall Street Prep:</t>
        </r>
        <r>
          <rPr>
            <sz val="9"/>
            <color indexed="81"/>
            <rFont val="Tahoma"/>
            <family val="2"/>
          </rPr>
          <t xml:space="preserve">
Includes goodwill created in the LBO </t>
        </r>
      </text>
    </comment>
    <comment ref="J348" authorId="0">
      <text>
        <r>
          <rPr>
            <b/>
            <sz val="9"/>
            <color indexed="81"/>
            <rFont val="Tahoma"/>
            <family val="2"/>
          </rPr>
          <t>Wall Street Prep:</t>
        </r>
        <r>
          <rPr>
            <sz val="9"/>
            <color indexed="81"/>
            <rFont val="Tahoma"/>
            <family val="2"/>
          </rPr>
          <t xml:space="preserve">
Includes goodwill created in the LBO </t>
        </r>
      </text>
    </comment>
    <comment ref="K348" authorId="0">
      <text>
        <r>
          <rPr>
            <b/>
            <sz val="9"/>
            <color indexed="81"/>
            <rFont val="Tahoma"/>
            <family val="2"/>
          </rPr>
          <t>Wall Street Prep:</t>
        </r>
        <r>
          <rPr>
            <sz val="9"/>
            <color indexed="81"/>
            <rFont val="Tahoma"/>
            <family val="2"/>
          </rPr>
          <t xml:space="preserve">
Includes goodwill created in the LBO </t>
        </r>
      </text>
    </comment>
    <comment ref="F354" authorId="0">
      <text>
        <r>
          <rPr>
            <b/>
            <sz val="9"/>
            <color indexed="81"/>
            <rFont val="Tahoma"/>
            <family val="2"/>
          </rPr>
          <t>Wall Street Prep:</t>
        </r>
        <r>
          <rPr>
            <sz val="9"/>
            <color indexed="81"/>
            <rFont val="Tahoma"/>
            <family val="2"/>
          </rPr>
          <t xml:space="preserve">
Include all LBO created debt tranches</t>
        </r>
      </text>
    </comment>
    <comment ref="G354" authorId="0">
      <text>
        <r>
          <rPr>
            <b/>
            <sz val="9"/>
            <color indexed="81"/>
            <rFont val="Tahoma"/>
            <family val="2"/>
          </rPr>
          <t>Wall Street Prep:</t>
        </r>
        <r>
          <rPr>
            <sz val="9"/>
            <color indexed="81"/>
            <rFont val="Tahoma"/>
            <family val="2"/>
          </rPr>
          <t xml:space="preserve">
Include all LBO created debt tranches</t>
        </r>
      </text>
    </comment>
    <comment ref="H354" authorId="0">
      <text>
        <r>
          <rPr>
            <b/>
            <sz val="9"/>
            <color indexed="81"/>
            <rFont val="Tahoma"/>
            <family val="2"/>
          </rPr>
          <t>Wall Street Prep:</t>
        </r>
        <r>
          <rPr>
            <sz val="9"/>
            <color indexed="81"/>
            <rFont val="Tahoma"/>
            <family val="2"/>
          </rPr>
          <t xml:space="preserve">
Include all LBO created debt tranches</t>
        </r>
      </text>
    </comment>
    <comment ref="I354" authorId="0">
      <text>
        <r>
          <rPr>
            <b/>
            <sz val="9"/>
            <color indexed="81"/>
            <rFont val="Tahoma"/>
            <family val="2"/>
          </rPr>
          <t>Wall Street Prep:</t>
        </r>
        <r>
          <rPr>
            <sz val="9"/>
            <color indexed="81"/>
            <rFont val="Tahoma"/>
            <family val="2"/>
          </rPr>
          <t xml:space="preserve">
Include all LBO created debt tranches</t>
        </r>
      </text>
    </comment>
    <comment ref="J354" authorId="0">
      <text>
        <r>
          <rPr>
            <b/>
            <sz val="9"/>
            <color indexed="81"/>
            <rFont val="Tahoma"/>
            <family val="2"/>
          </rPr>
          <t>Wall Street Prep:</t>
        </r>
        <r>
          <rPr>
            <sz val="9"/>
            <color indexed="81"/>
            <rFont val="Tahoma"/>
            <family val="2"/>
          </rPr>
          <t xml:space="preserve">
Include all LBO created debt tranches</t>
        </r>
      </text>
    </comment>
    <comment ref="K354" authorId="0">
      <text>
        <r>
          <rPr>
            <b/>
            <sz val="9"/>
            <color indexed="81"/>
            <rFont val="Tahoma"/>
            <family val="2"/>
          </rPr>
          <t>Wall Street Prep:</t>
        </r>
        <r>
          <rPr>
            <sz val="9"/>
            <color indexed="81"/>
            <rFont val="Tahoma"/>
            <family val="2"/>
          </rPr>
          <t xml:space="preserve">
Include all LBO created debt tranches</t>
        </r>
      </text>
    </comment>
    <comment ref="G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58" author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2.xml><?xml version="1.0" encoding="utf-8"?>
<comments xmlns="http://schemas.openxmlformats.org/spreadsheetml/2006/main">
  <authors>
    <author>Wall Street Prep</author>
  </authors>
  <commentList>
    <comment ref="E5" author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<sst xmlns="http://schemas.openxmlformats.org/spreadsheetml/2006/main" count="322" uniqueCount="258">
  <si>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</si>
  <si>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</si>
  <si>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</si>
  <si>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</si>
  <si>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</si>
  <si>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</si>
  <si>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</si>
  <si>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</si>
  <si>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</si>
  <si>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</si>
  <si>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</si>
  <si>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</si>
  <si>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</si>
  <si>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</si>
  <si>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</si>
  <si>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</si>
  <si>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</si>
  <si>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</si>
  <si>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</si>
  <si>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</si>
  <si>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</si>
  <si>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</si>
  <si>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</si>
  <si>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</si>
  <si>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</si>
  <si>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</si>
  <si>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</si>
  <si>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</si>
  <si>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</si>
  <si>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</si>
  <si>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</si>
  <si>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</si>
  <si>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</si>
  <si>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</si>
  <si>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</si>
  <si>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</si>
  <si>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</si>
  <si>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</si>
  <si>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</si>
  <si>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</si>
  <si>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</si>
  <si>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</si>
  <si>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</si>
  <si>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</si>
  <si>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</si>
  <si>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</si>
  <si>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</si>
  <si>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</si>
  <si>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</si>
  <si>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</si>
  <si>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</si>
  <si>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</si>
  <si>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</si>
  <si>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</si>
  <si>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</si>
  <si>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</si>
  <si>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</si>
  <si>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</si>
  <si>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</si>
  <si>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</si>
  <si>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</si>
  <si>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</si>
  <si>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</si>
  <si>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</si>
  <si>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</si>
  <si>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</si>
  <si>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</si>
  <si>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</si>
  <si>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</si>
  <si>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</si>
  <si>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</si>
  <si>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</si>
  <si>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</si>
  <si>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</si>
  <si>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</si>
  <si>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</si>
  <si>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</si>
  <si>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</si>
  <si>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</si>
  <si>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</si>
  <si>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</si>
  <si>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</si>
  <si>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</si>
  <si>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</si>
  <si>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</si>
  <si>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</si>
  <si>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</si>
  <si>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</si>
  <si>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</si>
  <si>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</si>
  <si>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</si>
  <si>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</si>
  <si>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</si>
  <si>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</si>
  <si>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</si>
  <si>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</si>
  <si>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</si>
  <si>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</si>
  <si>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</si>
  <si>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</si>
  <si>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</si>
  <si>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</si>
  <si>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</si>
  <si>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</si>
  <si>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</si>
  <si>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</si>
  <si>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</si>
  <si>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</si>
  <si>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</si>
  <si>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</si>
  <si>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</si>
  <si>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</si>
  <si>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</si>
  <si>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</si>
  <si>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</si>
  <si>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</si>
  <si>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</si>
  <si>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</si>
  <si>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</si>
  <si>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</si>
  <si>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</si>
  <si>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</si>
  <si>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</si>
  <si>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</si>
  <si>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</si>
  <si>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</si>
  <si>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</si>
  <si>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</si>
  <si>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</si>
  <si>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</si>
  <si>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</si>
  <si>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</si>
  <si>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</si>
  <si>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</si>
  <si>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</si>
  <si>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</si>
  <si>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</si>
  <si>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</si>
  <si>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</si>
  <si>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</si>
  <si>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</si>
  <si>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</si>
  <si>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</si>
  <si>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</si>
  <si>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</si>
  <si>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</si>
  <si>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</si>
  <si>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</si>
  <si>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</si>
  <si>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</si>
  <si>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</si>
  <si>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</si>
  <si>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</si>
  <si>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</si>
  <si>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</si>
  <si>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</si>
  <si>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</si>
  <si>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</si>
  <si>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</si>
  <si>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</si>
  <si>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</si>
  <si>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</si>
  <si>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</si>
  <si>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</si>
  <si>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</si>
  <si>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</si>
  <si>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</si>
  <si>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</si>
  <si>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</si>
  <si>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</si>
  <si>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</si>
  <si>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</si>
  <si>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</si>
  <si>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</si>
  <si>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</si>
  <si>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</si>
  <si>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</si>
  <si>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</si>
  <si>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</si>
  <si>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</si>
  <si>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</si>
  <si>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</si>
  <si>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</si>
  <si>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</si>
  <si>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</si>
  <si>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</si>
  <si>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</si>
  <si>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</si>
  <si>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</si>
  <si>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</si>
  <si>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</si>
  <si>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</si>
  <si>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</si>
  <si>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</si>
  <si>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</si>
  <si>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</si>
  <si>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</si>
  <si>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</si>
  <si>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</si>
  <si>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</si>
  <si>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</si>
  <si>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</si>
  <si>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</si>
  <si>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</si>
  <si>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</si>
  <si>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</si>
  <si>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</si>
  <si>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</si>
  <si>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</si>
  <si>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</si>
  <si>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</si>
  <si>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</si>
  <si>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</si>
  <si>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</si>
  <si>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</si>
  <si>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</si>
  <si>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 xml:space="preserve">Purchases of intangible assets and capitalized software development costs </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</si>
  <si>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</si>
  <si>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</si>
  <si>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</si>
  <si>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</si>
  <si>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</si>
  <si>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</si>
  <si>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</si>
  <si>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</si>
  <si>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</si>
  <si>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</si>
  <si>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</si>
  <si>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</si>
  <si>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</si>
  <si>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</si>
  <si>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</si>
  <si>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</si>
  <si>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</si>
  <si>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</si>
  <si>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</si>
  <si>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</si>
  <si>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</si>
  <si>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</si>
  <si>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</si>
  <si>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</si>
  <si>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</si>
  <si>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</si>
  <si>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</si>
  <si>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</si>
  <si>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</si>
  <si>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</si>
  <si>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</si>
  <si>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</si>
  <si>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</si>
  <si>
    <t>Model-derived offer value sanity check</t>
  </si>
  <si>
    <t>% Other Assets</t>
  </si>
  <si>
    <t>Equity, BOP</t>
  </si>
  <si>
    <t>Less: Dividends</t>
  </si>
  <si>
    <t>Plus: Net income</t>
  </si>
  <si>
    <t>Plus: SBC</t>
  </si>
  <si>
    <t>Less: Financing fee amortization</t>
  </si>
  <si>
    <t>Equity, EOP</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</si>
</sst>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quot;Approach&quot;\ 0"/>
    <numFmt numFmtId="235" formatCode="0.0"/>
    <numFmt numFmtId="236" formatCode="0\ &quot;yrs&quot;"/>
    <numFmt numFmtId="237" formatCode="&quot;Tranche&quot;\ 0"/>
    <numFmt numFmtId="238" formatCode="&quot;Assumed exit on &quot;[$-409]mmmm\ d\,\ yyyy;@"/>
    <numFmt numFmtId="239" formatCode="0\A"/>
  </numFmts>
  <fonts count="87">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u/>
      <sz val="9"/>
      <color indexed="81"/>
      <name val="Tahoma"/>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25">
    <xf numFmtId="0" fontId="0" fillId="0" borderId="0" xfId="0"/>
    <xf numFmtId="0" fontId="2" fillId="0" borderId="1" xfId="0" applyFont="1" applyBorder="1"/>
    <xf numFmtId="14" fontId="3" fillId="0" borderId="0" xfId="0" applyNumberFormat="1" applyFont="1" applyFill="1" applyBorder="1" applyAlignment="1">
      <alignment horizontal="left"/>
    </xf>
    <xf numFmtId="0" fontId="6" fillId="0" borderId="0" xfId="0" applyFont="1" applyFill="1" applyBorder="1"/>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37" fontId="71" fillId="0" borderId="0" xfId="0" applyNumberFormat="1" applyFont="1"/>
    <xf numFmtId="0" fontId="68" fillId="0" borderId="0" xfId="0" applyFont="1"/>
    <xf numFmtId="230" fontId="5" fillId="0" borderId="0" xfId="0" applyNumberFormat="1"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37" fontId="0" fillId="0" borderId="0" xfId="0" applyNumberFormat="1"/>
    <xf numFmtId="169" fontId="0" fillId="0" borderId="0" xfId="0" applyNumberFormat="1"/>
    <xf numFmtId="169" fontId="68" fillId="0" borderId="0" xfId="0" applyNumberFormat="1" applyFont="1"/>
    <xf numFmtId="230" fontId="0"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0" fontId="0" fillId="0" borderId="31"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7" fillId="0" borderId="0" xfId="0" applyFont="1" applyFill="1" applyBorder="1" applyAlignment="1">
      <alignment horizontal="left" indent="1"/>
    </xf>
    <xf numFmtId="0" fontId="5" fillId="0" borderId="0" xfId="0" applyFont="1"/>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77"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37" fontId="5" fillId="0" borderId="0" xfId="0" applyNumberFormat="1" applyFont="1" applyFill="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8"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75" fontId="0" fillId="0" borderId="0" xfId="0" applyNumberFormat="1" applyFont="1" applyFill="1" applyBorder="1"/>
    <xf numFmtId="175"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0" fontId="80" fillId="0" borderId="0" xfId="0" applyFont="1" applyAlignment="1">
      <alignment horizontal="right"/>
    </xf>
    <xf numFmtId="210" fontId="5" fillId="0" borderId="0" xfId="0" applyNumberFormat="1" applyFont="1" applyBorder="1"/>
    <xf numFmtId="210" fontId="68"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1" fillId="0" borderId="0" xfId="0" applyFont="1" applyBorder="1" applyAlignment="1">
      <alignment horizontal="centerContinuous"/>
    </xf>
    <xf numFmtId="0" fontId="79" fillId="0" borderId="22"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1" fillId="0" borderId="0" xfId="0" applyFont="1" applyBorder="1"/>
    <xf numFmtId="0" fontId="77" fillId="0" borderId="0" xfId="0" applyFont="1" applyAlignment="1">
      <alignment horizontal="right"/>
    </xf>
    <xf numFmtId="210" fontId="68" fillId="0" borderId="2" xfId="0" applyNumberFormat="1" applyFont="1" applyBorder="1"/>
    <xf numFmtId="166" fontId="1" fillId="0" borderId="0" xfId="0" applyNumberFormat="1" applyFont="1"/>
    <xf numFmtId="235"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2"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9" fontId="1" fillId="0" borderId="0" xfId="0" applyNumberFormat="1" applyFont="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77" fillId="0" borderId="2" xfId="0" applyFont="1" applyBorder="1" applyAlignment="1">
      <alignment horizontal="centerContinuous"/>
    </xf>
    <xf numFmtId="174" fontId="69" fillId="0" borderId="2" xfId="0" applyNumberFormat="1" applyFont="1" applyBorder="1" applyAlignment="1">
      <alignment horizontal="centerContinuous"/>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6" fontId="5" fillId="0" borderId="0" xfId="0" applyNumberFormat="1" applyFont="1" applyFill="1"/>
    <xf numFmtId="231" fontId="84"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8" fillId="0" borderId="0" xfId="186" applyNumberFormat="1" applyFont="1" applyBorder="1" applyAlignment="1" applyProtection="1">
      <alignment horizontal="center"/>
      <protection locked="0"/>
    </xf>
    <xf numFmtId="231" fontId="78" fillId="0" borderId="0" xfId="186" applyNumberFormat="1" applyFont="1" applyFill="1" applyBorder="1" applyAlignment="1" applyProtection="1">
      <alignment horizontal="center"/>
      <protection locked="0"/>
    </xf>
    <xf numFmtId="231" fontId="85"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4" fontId="7" fillId="31" borderId="27" xfId="0" applyNumberFormat="1" applyFont="1" applyFill="1" applyBorder="1" applyAlignment="1">
      <alignment horizontal="center"/>
    </xf>
    <xf numFmtId="230" fontId="80" fillId="0" borderId="0" xfId="0" applyNumberFormat="1" applyFont="1" applyFill="1" applyBorder="1" applyAlignment="1">
      <alignment horizontal="center"/>
    </xf>
    <xf numFmtId="165" fontId="0" fillId="0" borderId="24" xfId="0" applyNumberFormat="1" applyFont="1" applyBorder="1" applyAlignment="1">
      <alignment horizontal="center"/>
    </xf>
    <xf numFmtId="238"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77"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14" fontId="5" fillId="0" borderId="0" xfId="0" applyNumberFormat="1" applyFont="1"/>
    <xf numFmtId="2" fontId="7" fillId="0" borderId="0" xfId="0" applyNumberFormat="1" applyFont="1"/>
    <xf numFmtId="210" fontId="4" fillId="0" borderId="2" xfId="0" applyNumberFormat="1" applyFont="1" applyFill="1" applyBorder="1"/>
    <xf numFmtId="230" fontId="5" fillId="0" borderId="0" xfId="0" applyNumberFormat="1" applyFont="1" applyFill="1"/>
    <xf numFmtId="239" fontId="1" fillId="0" borderId="0" xfId="0" applyNumberFormat="1" applyFont="1" applyBorder="1"/>
    <xf numFmtId="210" fontId="0" fillId="0" borderId="0" xfId="0" applyNumberFormat="1"/>
    <xf numFmtId="210" fontId="6" fillId="0" borderId="0" xfId="0" applyNumberFormat="1" applyFont="1" applyFill="1" applyAlignment="1"/>
    <xf numFmtId="210" fontId="0" fillId="0" borderId="0" xfId="0" applyNumberFormat="1" applyFont="1" applyFill="1"/>
    <xf numFmtId="233" fontId="4" fillId="0" borderId="0" xfId="0" applyNumberFormat="1" applyFont="1" applyFill="1"/>
    <xf numFmtId="233" fontId="4" fillId="0" borderId="0" xfId="0" applyNumberFormat="1" applyFont="1" applyFill="1" applyBorder="1"/>
    <xf numFmtId="175" fontId="5" fillId="0" borderId="0" xfId="0" applyNumberFormat="1" applyFont="1" applyFill="1" applyBorder="1" applyAlignment="1">
      <alignment horizontal="right"/>
    </xf>
    <xf numFmtId="174" fontId="0" fillId="0" borderId="0" xfId="0" applyNumberFormat="1" applyFont="1"/>
    <xf numFmtId="210" fontId="0" fillId="0" borderId="29" xfId="0" applyNumberFormat="1" applyFont="1" applyBorder="1" applyAlignment="1">
      <alignment horizontal="center"/>
    </xf>
    <xf numFmtId="0" fontId="0" fillId="0" borderId="0" xfId="0" applyAlignment="1">
      <alignment horizontal="right"/>
    </xf>
    <xf numFmtId="170" fontId="0" fillId="0" borderId="0" xfId="0" applyNumberFormat="1" applyFont="1" applyAlignment="1">
      <alignment horizontal="center"/>
    </xf>
    <xf numFmtId="0" fontId="7" fillId="31" borderId="27" xfId="0" applyFont="1" applyFill="1" applyBorder="1" applyAlignment="1">
      <alignment horizontal="center" vertical="center"/>
    </xf>
    <xf numFmtId="0" fontId="7" fillId="31" borderId="27" xfId="0" applyFont="1" applyFill="1" applyBorder="1"/>
    <xf numFmtId="231" fontId="0" fillId="0" borderId="0" xfId="0" applyNumberFormat="1" applyFont="1"/>
    <xf numFmtId="175" fontId="4" fillId="32" borderId="0" xfId="0" applyNumberFormat="1" applyFont="1" applyFill="1"/>
    <xf numFmtId="175" fontId="5" fillId="32" borderId="0" xfId="0" applyNumberFormat="1" applyFont="1" applyFill="1"/>
    <xf numFmtId="231" fontId="78" fillId="32" borderId="0" xfId="186" applyNumberFormat="1" applyFont="1" applyFill="1" applyBorder="1" applyAlignment="1" applyProtection="1">
      <alignment horizontal="center"/>
      <protection locked="0"/>
    </xf>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ont>
        <color theme="0"/>
      </font>
    </dxf>
    <dxf>
      <font>
        <color theme="0" tint="-0.24994659260841701"/>
      </font>
      <fill>
        <patternFill>
          <bgColor theme="0" tint="-0.24994659260841701"/>
        </patternFill>
      </fill>
    </dxf>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7"/>
  <sheetViews>
    <sheetView tabSelected="1" zoomScaleNormal="100" workbookViewId="0"/>
  </sheetViews>
  <sheetFormatPr defaultRowHeight="15"/>
  <cols>
    <col min="1" max="1" width="1.7109375" style="8" customWidth="1"/>
    <col min="2" max="2" width="40.140625" style="8" customWidth="1"/>
    <col min="3" max="10" width="15.7109375" style="8" customWidth="1"/>
    <col min="11" max="12" width="12.85546875" style="8" customWidth="1"/>
    <col min="13" max="16384" width="9.140625" style="8"/>
  </cols>
  <sheetData>
    <row r="1" spans="2:10" ht="15.75" thickBot="1"/>
    <row r="2" spans="2:10" ht="27" thickBot="1">
      <c r="B2" s="1" t="str">
        <f>"Leveraged buyout model for "&amp;D6</f>
        <v>Leveraged buyout model for BMC</v>
      </c>
      <c r="C2" s="9"/>
      <c r="D2" s="9"/>
      <c r="E2" s="9"/>
      <c r="F2" s="9"/>
      <c r="G2" s="9"/>
      <c r="H2" s="9"/>
      <c r="I2" s="9"/>
      <c r="J2" s="9"/>
    </row>
    <row r="3" spans="2:10">
      <c r="B3" s="2" t="s">
        <v>0</v>
      </c>
      <c r="C3" s="10"/>
      <c r="F3" s="11"/>
      <c r="G3" s="11"/>
      <c r="H3" s="11"/>
      <c r="I3" s="11"/>
      <c r="J3" s="11"/>
    </row>
    <row r="4" spans="2:10">
      <c r="B4" s="12"/>
      <c r="D4" s="10"/>
    </row>
    <row r="5" spans="2:10">
      <c r="B5" s="13" t="s">
        <v>123</v>
      </c>
      <c r="C5" s="15"/>
      <c r="D5" s="15"/>
      <c r="E5" s="11"/>
      <c r="F5" s="97" t="s">
        <v>124</v>
      </c>
      <c r="G5" s="15"/>
      <c r="H5" s="15"/>
      <c r="I5" s="15"/>
      <c r="J5" s="15"/>
    </row>
    <row r="6" spans="2:10">
      <c r="B6" s="103" t="s">
        <v>1</v>
      </c>
      <c r="D6" s="317" t="s">
        <v>169</v>
      </c>
      <c r="E6" s="11"/>
    </row>
    <row r="7" spans="2:10">
      <c r="B7" s="103" t="s">
        <v>121</v>
      </c>
      <c r="D7" s="317" t="s">
        <v>169</v>
      </c>
      <c r="E7" s="11"/>
      <c r="F7" s="63" t="s">
        <v>195</v>
      </c>
      <c r="H7" s="279">
        <v>2</v>
      </c>
      <c r="I7" s="193">
        <v>1</v>
      </c>
      <c r="J7" s="194">
        <v>2</v>
      </c>
    </row>
    <row r="8" spans="2:10">
      <c r="B8" s="83" t="s">
        <v>122</v>
      </c>
      <c r="D8" s="79">
        <v>45.42</v>
      </c>
      <c r="E8" s="11"/>
      <c r="H8" s="280" t="str">
        <f>CHOOSE(H7,I8,J8)</f>
        <v>Explicit offer/share</v>
      </c>
      <c r="I8" s="195" t="s">
        <v>197</v>
      </c>
      <c r="J8" s="195" t="s">
        <v>198</v>
      </c>
    </row>
    <row r="9" spans="2:10">
      <c r="B9" s="103" t="s">
        <v>194</v>
      </c>
      <c r="D9" s="304">
        <v>41400</v>
      </c>
      <c r="E9" s="11"/>
      <c r="H9" s="11"/>
    </row>
    <row r="10" spans="2:10">
      <c r="B10" s="83" t="s">
        <v>2</v>
      </c>
      <c r="D10" s="5" t="s">
        <v>3</v>
      </c>
      <c r="E10" s="11"/>
      <c r="F10" s="4" t="s">
        <v>67</v>
      </c>
      <c r="H10" s="69">
        <f>D13</f>
        <v>882.70000000000027</v>
      </c>
      <c r="I10" s="40">
        <f>D13</f>
        <v>882.70000000000027</v>
      </c>
      <c r="J10" s="69">
        <f>D13</f>
        <v>882.70000000000027</v>
      </c>
    </row>
    <row r="11" spans="2:10">
      <c r="E11" s="11"/>
      <c r="F11" s="4" t="s">
        <v>118</v>
      </c>
      <c r="H11" s="72">
        <f>CHOOSE(H7,I11,J11)</f>
        <v>7.3252818058230416</v>
      </c>
      <c r="I11" s="64">
        <v>7.3</v>
      </c>
      <c r="J11" s="72">
        <f>J12/J10</f>
        <v>7.3252818058230416</v>
      </c>
    </row>
    <row r="12" spans="2:10">
      <c r="B12" s="13" t="s">
        <v>239</v>
      </c>
      <c r="C12" s="15"/>
      <c r="D12" s="13"/>
      <c r="E12" s="11"/>
      <c r="F12" s="3" t="s">
        <v>55</v>
      </c>
      <c r="H12" s="56">
        <f>H10*H11</f>
        <v>6466.0262500000008</v>
      </c>
      <c r="I12" s="56">
        <f>I10*I11</f>
        <v>6443.7100000000019</v>
      </c>
      <c r="J12" s="56">
        <f>J17-J14-J15</f>
        <v>6466.0262500000008</v>
      </c>
    </row>
    <row r="13" spans="2:10">
      <c r="B13" s="83" t="s">
        <v>237</v>
      </c>
      <c r="D13" s="171">
        <f>E60</f>
        <v>882.70000000000027</v>
      </c>
      <c r="E13" s="11"/>
      <c r="H13"/>
      <c r="I13"/>
      <c r="J13"/>
    </row>
    <row r="14" spans="2:10">
      <c r="B14" s="83" t="s">
        <v>249</v>
      </c>
      <c r="D14" s="50">
        <v>-1306</v>
      </c>
      <c r="E14" s="11"/>
      <c r="F14" s="83" t="s">
        <v>193</v>
      </c>
      <c r="H14" s="69">
        <f>D14</f>
        <v>-1306</v>
      </c>
      <c r="I14" s="69">
        <f>D14</f>
        <v>-1306</v>
      </c>
      <c r="J14" s="69">
        <f>D14</f>
        <v>-1306</v>
      </c>
    </row>
    <row r="15" spans="2:10">
      <c r="B15" s="83" t="s">
        <v>46</v>
      </c>
      <c r="D15" s="50">
        <f>1379.2+131.2+71.5</f>
        <v>1581.9</v>
      </c>
      <c r="E15" s="11"/>
      <c r="F15" s="83" t="s">
        <v>191</v>
      </c>
      <c r="H15" s="69">
        <f>D15</f>
        <v>1581.9</v>
      </c>
      <c r="I15" s="69">
        <f>D15</f>
        <v>1581.9</v>
      </c>
      <c r="J15" s="69">
        <f>D15</f>
        <v>1581.9</v>
      </c>
    </row>
    <row r="16" spans="2:10">
      <c r="B16" s="34" t="s">
        <v>238</v>
      </c>
      <c r="D16" s="172">
        <v>180</v>
      </c>
      <c r="E16" s="11"/>
      <c r="H16"/>
      <c r="I16"/>
      <c r="J16"/>
    </row>
    <row r="17" spans="2:18">
      <c r="B17" s="83" t="s">
        <v>196</v>
      </c>
      <c r="D17" s="307">
        <v>7.3</v>
      </c>
      <c r="E17" s="11"/>
      <c r="F17" s="3" t="s">
        <v>69</v>
      </c>
      <c r="H17" s="56">
        <f>H12+H14+H15</f>
        <v>6741.9262500000004</v>
      </c>
      <c r="I17" s="56">
        <f>I12+I14+I15</f>
        <v>6719.6100000000024</v>
      </c>
      <c r="J17" s="56">
        <f>J20*J18</f>
        <v>6741.9262500000004</v>
      </c>
    </row>
    <row r="18" spans="2:18">
      <c r="C18" s="177"/>
      <c r="F18" s="8" t="s">
        <v>18</v>
      </c>
      <c r="H18" s="188">
        <f>Shares!E14</f>
        <v>145.77137837837839</v>
      </c>
      <c r="I18" s="171">
        <f>$H$18</f>
        <v>145.77137837837839</v>
      </c>
      <c r="J18" s="171">
        <f t="shared" ref="J18" si="0">$H$18</f>
        <v>145.77137837837839</v>
      </c>
      <c r="K18" s="192"/>
      <c r="L18" s="192"/>
    </row>
    <row r="19" spans="2:18">
      <c r="B19" s="97" t="s">
        <v>157</v>
      </c>
      <c r="C19" s="15"/>
      <c r="D19" s="15"/>
      <c r="H19"/>
      <c r="I19"/>
      <c r="J19"/>
      <c r="K19" s="192"/>
      <c r="L19" s="192"/>
    </row>
    <row r="20" spans="2:18">
      <c r="B20" s="32" t="s">
        <v>70</v>
      </c>
      <c r="D20" s="85">
        <f>H17</f>
        <v>6741.9262500000004</v>
      </c>
      <c r="E20" s="6"/>
      <c r="F20" s="3" t="s">
        <v>119</v>
      </c>
      <c r="H20" s="249">
        <f>H17/H18</f>
        <v>46.25</v>
      </c>
      <c r="I20" s="249">
        <f>I17/I18</f>
        <v>46.096909247561122</v>
      </c>
      <c r="J20" s="305">
        <v>46.25</v>
      </c>
      <c r="K20" s="192"/>
      <c r="L20" s="192"/>
    </row>
    <row r="21" spans="2:18">
      <c r="B21" s="32" t="s">
        <v>72</v>
      </c>
      <c r="D21" s="85">
        <f>-(D14)</f>
        <v>1306</v>
      </c>
      <c r="E21" s="6"/>
      <c r="F21" s="102" t="s">
        <v>120</v>
      </c>
      <c r="H21" s="6">
        <f>H20/$D$8-1</f>
        <v>1.8273888154997753E-2</v>
      </c>
      <c r="I21" s="6">
        <f>I20/$D$8-1</f>
        <v>1.4903329977127289E-2</v>
      </c>
      <c r="J21" s="6">
        <f>J20/$D$8-1</f>
        <v>1.8273888154997753E-2</v>
      </c>
      <c r="K21" s="192"/>
      <c r="L21" s="192"/>
    </row>
    <row r="22" spans="2:18">
      <c r="B22" s="32" t="s">
        <v>244</v>
      </c>
      <c r="D22" s="306">
        <f>H33+H36</f>
        <v>204.52769000000004</v>
      </c>
      <c r="H22" s="102"/>
      <c r="J22" s="191"/>
      <c r="K22" s="192"/>
      <c r="L22" s="192"/>
    </row>
    <row r="23" spans="2:18">
      <c r="B23" s="24" t="s">
        <v>74</v>
      </c>
      <c r="D23" s="108">
        <f>SUM(D20:D22)</f>
        <v>8252.4539400000012</v>
      </c>
      <c r="H23" s="102"/>
      <c r="J23" s="191"/>
      <c r="K23" s="192"/>
      <c r="L23" s="192"/>
    </row>
    <row r="24" spans="2:18">
      <c r="C24" s="177"/>
      <c r="H24" s="102"/>
      <c r="J24" s="191"/>
      <c r="K24" s="192"/>
      <c r="L24" s="192"/>
    </row>
    <row r="25" spans="2:18">
      <c r="B25" s="97" t="s">
        <v>156</v>
      </c>
      <c r="C25" s="15"/>
      <c r="D25" s="15"/>
      <c r="E25" s="85"/>
      <c r="F25" s="13" t="s">
        <v>240</v>
      </c>
      <c r="G25" s="15"/>
      <c r="H25" s="15"/>
      <c r="I25" s="15"/>
      <c r="J25" s="15"/>
    </row>
    <row r="26" spans="2:18" ht="16.5">
      <c r="C26" s="104" t="s">
        <v>129</v>
      </c>
      <c r="D26" s="105" t="s">
        <v>130</v>
      </c>
      <c r="G26" s="238" t="s">
        <v>224</v>
      </c>
      <c r="H26" s="238" t="s">
        <v>242</v>
      </c>
      <c r="I26" s="238" t="s">
        <v>223</v>
      </c>
      <c r="J26" s="238" t="s">
        <v>227</v>
      </c>
    </row>
    <row r="27" spans="2:18">
      <c r="B27" s="83" t="s">
        <v>71</v>
      </c>
      <c r="C27" s="265">
        <f>D27/D13</f>
        <v>1.5881953098447941</v>
      </c>
      <c r="D27" s="82">
        <f>MAX(D15-D16,0)</f>
        <v>1401.9</v>
      </c>
      <c r="F27" s="63" t="s">
        <v>222</v>
      </c>
    </row>
    <row r="28" spans="2:18">
      <c r="B28" s="83" t="s">
        <v>28</v>
      </c>
      <c r="C28" s="266">
        <v>0</v>
      </c>
      <c r="D28" s="85">
        <f>C28*$D$13</f>
        <v>0</v>
      </c>
      <c r="F28" s="34" t="str">
        <f>B28</f>
        <v>Revolver</v>
      </c>
      <c r="G28" s="174">
        <v>0.01</v>
      </c>
      <c r="H28" s="82">
        <f>D28*G28</f>
        <v>0</v>
      </c>
      <c r="I28" s="264">
        <v>5</v>
      </c>
      <c r="J28" s="236">
        <f>IFERROR(G28*D28/I28, "NM")</f>
        <v>0</v>
      </c>
    </row>
    <row r="29" spans="2:18">
      <c r="B29" s="30" t="s">
        <v>85</v>
      </c>
      <c r="C29" s="267">
        <v>3.27</v>
      </c>
      <c r="D29" s="85">
        <f t="shared" ref="D29:D34" si="1">C29*$D$13</f>
        <v>2886.429000000001</v>
      </c>
      <c r="F29" s="34" t="str">
        <f>B29</f>
        <v>Term Loan A</v>
      </c>
      <c r="G29" s="174">
        <v>1.4999999999999999E-2</v>
      </c>
      <c r="H29" s="82">
        <f>D29*G29</f>
        <v>43.296435000000017</v>
      </c>
      <c r="I29" s="264">
        <v>7</v>
      </c>
      <c r="J29" s="236">
        <f>IFERROR(G29*D29/I29, "NM")</f>
        <v>6.1852050000000025</v>
      </c>
    </row>
    <row r="30" spans="2:18">
      <c r="B30" s="30" t="s">
        <v>86</v>
      </c>
      <c r="C30" s="267">
        <v>0.76</v>
      </c>
      <c r="D30" s="85">
        <f t="shared" si="1"/>
        <v>670.8520000000002</v>
      </c>
      <c r="F30" s="34" t="str">
        <f>B30</f>
        <v>Term Loan B</v>
      </c>
      <c r="G30" s="174">
        <v>1.4999999999999999E-2</v>
      </c>
      <c r="H30" s="82">
        <f>D30*G30</f>
        <v>10.062780000000002</v>
      </c>
      <c r="I30" s="264">
        <v>7</v>
      </c>
      <c r="J30" s="236">
        <f>IFERROR(G30*D30/I30, "NM")</f>
        <v>1.4375400000000003</v>
      </c>
      <c r="P30" s="24"/>
      <c r="R30" s="108"/>
    </row>
    <row r="31" spans="2:18">
      <c r="B31" s="30" t="s">
        <v>87</v>
      </c>
      <c r="C31" s="267">
        <v>1.85</v>
      </c>
      <c r="D31" s="85">
        <f t="shared" si="1"/>
        <v>1632.9950000000006</v>
      </c>
      <c r="F31" s="34" t="str">
        <f>B31</f>
        <v>Senior Note</v>
      </c>
      <c r="G31" s="174">
        <v>0.01</v>
      </c>
      <c r="H31" s="82">
        <f>D31*G31</f>
        <v>16.329950000000007</v>
      </c>
      <c r="I31" s="264">
        <v>8</v>
      </c>
      <c r="J31" s="236">
        <f>IFERROR(G31*D31/I31, "NM")</f>
        <v>2.0412437500000009</v>
      </c>
      <c r="P31" s="24"/>
      <c r="R31" s="108"/>
    </row>
    <row r="32" spans="2:18">
      <c r="B32" s="30" t="s">
        <v>88</v>
      </c>
      <c r="C32" s="324"/>
      <c r="D32" s="85">
        <f t="shared" si="1"/>
        <v>0</v>
      </c>
      <c r="F32" s="34" t="str">
        <f>B32</f>
        <v>Sub Note</v>
      </c>
      <c r="G32" s="174">
        <v>0</v>
      </c>
      <c r="H32" s="189">
        <f>D32*G32</f>
        <v>0</v>
      </c>
      <c r="I32" s="264"/>
      <c r="J32" s="270" t="str">
        <f>IFERROR(G32*D32/I32, "NM")</f>
        <v>NM</v>
      </c>
      <c r="P32" s="24"/>
      <c r="R32" s="108"/>
    </row>
    <row r="33" spans="1:18">
      <c r="B33" s="30" t="s">
        <v>113</v>
      </c>
      <c r="C33" s="267">
        <v>0</v>
      </c>
      <c r="D33" s="85">
        <f t="shared" si="1"/>
        <v>0</v>
      </c>
      <c r="F33" s="271" t="s">
        <v>222</v>
      </c>
      <c r="H33" s="170">
        <f>SUM(H28:H32)</f>
        <v>69.689165000000031</v>
      </c>
      <c r="I33" s="67"/>
      <c r="J33" s="82">
        <f>SUM(J28:J32)</f>
        <v>9.6639887500000032</v>
      </c>
      <c r="P33" s="24"/>
      <c r="R33" s="108"/>
    </row>
    <row r="34" spans="1:18">
      <c r="B34" s="32" t="s">
        <v>159</v>
      </c>
      <c r="C34" s="268">
        <v>0</v>
      </c>
      <c r="D34" s="215">
        <f t="shared" si="1"/>
        <v>0</v>
      </c>
      <c r="H34" s="170"/>
      <c r="P34" s="24"/>
      <c r="R34" s="108"/>
    </row>
    <row r="35" spans="1:18" ht="16.5">
      <c r="B35" s="30" t="s">
        <v>73</v>
      </c>
      <c r="C35" s="265">
        <f>D35/D13</f>
        <v>1.8809085079868568</v>
      </c>
      <c r="D35" s="189">
        <f>D23-SUM(D27:D34)</f>
        <v>1660.277939999999</v>
      </c>
      <c r="E35" s="321"/>
      <c r="F35" s="34"/>
      <c r="G35" s="238" t="s">
        <v>241</v>
      </c>
      <c r="H35" s="238" t="s">
        <v>242</v>
      </c>
      <c r="P35" s="24"/>
      <c r="R35" s="108"/>
    </row>
    <row r="36" spans="1:18">
      <c r="B36" s="44" t="s">
        <v>131</v>
      </c>
      <c r="C36" s="269">
        <f>SUM(C27:C35)</f>
        <v>9.3491038178316508</v>
      </c>
      <c r="D36" s="220">
        <f>SUM(D27:D35)</f>
        <v>8252.4539400000012</v>
      </c>
      <c r="F36" s="271" t="s">
        <v>243</v>
      </c>
      <c r="G36" s="272">
        <v>0.02</v>
      </c>
      <c r="H36" s="170">
        <f>G36*H17</f>
        <v>134.838525</v>
      </c>
    </row>
    <row r="37" spans="1:18">
      <c r="E37" s="11"/>
      <c r="K37" s="11"/>
    </row>
    <row r="38" spans="1:18">
      <c r="A38" s="8" t="s">
        <v>54</v>
      </c>
      <c r="B38" s="13" t="s">
        <v>4</v>
      </c>
      <c r="C38" s="14"/>
      <c r="D38" s="15"/>
      <c r="E38" s="15"/>
      <c r="F38" s="15"/>
      <c r="G38" s="15"/>
      <c r="H38" s="15"/>
      <c r="I38" s="15"/>
      <c r="J38" s="15"/>
      <c r="K38" s="11"/>
    </row>
    <row r="39" spans="1:18">
      <c r="B39" s="11" t="s">
        <v>5</v>
      </c>
      <c r="C39" s="16">
        <f>D39-1</f>
        <v>2011</v>
      </c>
      <c r="D39" s="16">
        <f>E39-1</f>
        <v>2012</v>
      </c>
      <c r="E39" s="308">
        <f>YEAR(E40)</f>
        <v>2013</v>
      </c>
      <c r="F39" s="17">
        <f>E39+1</f>
        <v>2014</v>
      </c>
      <c r="G39" s="17">
        <f>F39+1</f>
        <v>2015</v>
      </c>
      <c r="H39" s="17">
        <f>G39+1</f>
        <v>2016</v>
      </c>
      <c r="I39" s="17">
        <f>H39+1</f>
        <v>2017</v>
      </c>
      <c r="J39" s="17">
        <f>I39+1</f>
        <v>2018</v>
      </c>
      <c r="K39" s="11"/>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c r="K40" s="11"/>
    </row>
    <row r="41" spans="1:18">
      <c r="B41" s="21"/>
      <c r="C41" s="22"/>
      <c r="D41" s="22"/>
      <c r="E41" s="23"/>
      <c r="F41" s="23"/>
      <c r="G41" s="23"/>
      <c r="H41" s="23"/>
      <c r="I41" s="23"/>
      <c r="J41" s="23"/>
      <c r="K41" s="11"/>
    </row>
    <row r="42" spans="1:18">
      <c r="B42" s="11" t="s">
        <v>7</v>
      </c>
      <c r="C42" s="164">
        <v>2065.3000000000002</v>
      </c>
      <c r="D42" s="164">
        <v>2172</v>
      </c>
      <c r="E42" s="164">
        <v>2201.4</v>
      </c>
      <c r="F42" s="165">
        <f>E42*(1+F63)</f>
        <v>2278.4490000000001</v>
      </c>
      <c r="G42" s="165">
        <f>F42*(1+G63)</f>
        <v>2403.7636950000001</v>
      </c>
      <c r="H42" s="165">
        <f>G42*(1+H63)</f>
        <v>2547.9895167000004</v>
      </c>
      <c r="I42" s="165">
        <f>H42*(1+I63)</f>
        <v>2675.3889925350004</v>
      </c>
      <c r="J42" s="165">
        <f>I42*(1+J63)</f>
        <v>2803.8076641766806</v>
      </c>
    </row>
    <row r="43" spans="1:18">
      <c r="B43" s="11" t="s">
        <v>8</v>
      </c>
      <c r="C43" s="164">
        <f>-(129.8+169.4+186)</f>
        <v>-485.20000000000005</v>
      </c>
      <c r="D43" s="164">
        <f>-(158.4+198.5+212)</f>
        <v>-568.9</v>
      </c>
      <c r="E43" s="164">
        <f>-(159.6+208.4+224)</f>
        <v>-592</v>
      </c>
      <c r="F43" s="165">
        <f>F44-F42</f>
        <v>-581.59219970234994</v>
      </c>
      <c r="G43" s="165">
        <f t="shared" ref="G43:J43" si="2">G44-G42</f>
        <v>-601.56095221097917</v>
      </c>
      <c r="H43" s="165">
        <f t="shared" si="2"/>
        <v>-624.91466176013796</v>
      </c>
      <c r="I43" s="165">
        <f t="shared" si="2"/>
        <v>-642.78344988546974</v>
      </c>
      <c r="J43" s="165">
        <f t="shared" si="2"/>
        <v>-659.61801715908905</v>
      </c>
    </row>
    <row r="44" spans="1:18">
      <c r="B44" s="24" t="s">
        <v>9</v>
      </c>
      <c r="C44" s="163">
        <f>SUM(C42:C43)</f>
        <v>1580.1000000000001</v>
      </c>
      <c r="D44" s="163">
        <f>SUM(D42:D43)</f>
        <v>1603.1</v>
      </c>
      <c r="E44" s="163">
        <f>SUM(E42:E43)</f>
        <v>1609.4</v>
      </c>
      <c r="F44" s="163">
        <f>F64*F42</f>
        <v>1696.8568002976501</v>
      </c>
      <c r="G44" s="163">
        <f>G64*G42</f>
        <v>1802.2027427890209</v>
      </c>
      <c r="H44" s="163">
        <f>H64*H42</f>
        <v>1923.0748549398625</v>
      </c>
      <c r="I44" s="163">
        <f>I64*I42</f>
        <v>2032.6055426495307</v>
      </c>
      <c r="J44" s="163">
        <f>J64*J42</f>
        <v>2144.1896470175916</v>
      </c>
    </row>
    <row r="45" spans="1:18">
      <c r="B45" s="25" t="s">
        <v>10</v>
      </c>
      <c r="C45" s="164">
        <v>-181.6</v>
      </c>
      <c r="D45" s="164">
        <v>-165.2</v>
      </c>
      <c r="E45" s="164">
        <v>-174.6</v>
      </c>
      <c r="F45" s="165">
        <f>-(F65*F42)</f>
        <v>-184.78313334862591</v>
      </c>
      <c r="G45" s="165">
        <f>-(G65*G42)</f>
        <v>-194.94620568280035</v>
      </c>
      <c r="H45" s="165">
        <f>-(H65*H42)</f>
        <v>-206.64297802376839</v>
      </c>
      <c r="I45" s="165">
        <f>-(I65*I42)</f>
        <v>-216.97512692495681</v>
      </c>
      <c r="J45" s="165">
        <f>-(J65*J42)</f>
        <v>-227.38993301735476</v>
      </c>
    </row>
    <row r="46" spans="1:18">
      <c r="B46" s="25" t="s">
        <v>11</v>
      </c>
      <c r="C46" s="164">
        <f>-(611.4+220.7+33.6)</f>
        <v>-865.69999999999993</v>
      </c>
      <c r="D46" s="164">
        <f>-(634+217.9+42.1)</f>
        <v>-894</v>
      </c>
      <c r="E46" s="164">
        <f>-(686.9+238.7+43.8)</f>
        <v>-969.39999999999986</v>
      </c>
      <c r="F46" s="165">
        <f>-(F66*F42)</f>
        <v>-965.39603068528015</v>
      </c>
      <c r="G46" s="165">
        <f>-(G66*G42)</f>
        <v>-994.45517542297057</v>
      </c>
      <c r="H46" s="165">
        <f>-(H66*H42)</f>
        <v>-1028.6425907813489</v>
      </c>
      <c r="I46" s="165">
        <f>-(I66*I42)</f>
        <v>-1053.3208303950664</v>
      </c>
      <c r="J46" s="165">
        <f>-(J66*J42)</f>
        <v>-1075.8421536122628</v>
      </c>
    </row>
    <row r="47" spans="1:18">
      <c r="B47" s="24" t="s">
        <v>12</v>
      </c>
      <c r="C47" s="163">
        <f t="shared" ref="C47:J47" si="3">SUM(C44:C46)</f>
        <v>532.8000000000003</v>
      </c>
      <c r="D47" s="163">
        <f t="shared" si="3"/>
        <v>543.89999999999986</v>
      </c>
      <c r="E47" s="163">
        <f t="shared" si="3"/>
        <v>465.40000000000032</v>
      </c>
      <c r="F47" s="163">
        <f t="shared" si="3"/>
        <v>546.67763626374415</v>
      </c>
      <c r="G47" s="163">
        <f t="shared" si="3"/>
        <v>612.80136168324998</v>
      </c>
      <c r="H47" s="163">
        <f t="shared" si="3"/>
        <v>687.78928613474523</v>
      </c>
      <c r="I47" s="163">
        <f t="shared" si="3"/>
        <v>762.3095853295074</v>
      </c>
      <c r="J47" s="163">
        <f t="shared" si="3"/>
        <v>840.95756038797413</v>
      </c>
      <c r="K47" s="40"/>
    </row>
    <row r="48" spans="1:18">
      <c r="B48" s="11" t="s">
        <v>13</v>
      </c>
      <c r="C48" s="164">
        <v>15</v>
      </c>
      <c r="D48" s="164">
        <v>10.6</v>
      </c>
      <c r="E48" s="164">
        <v>8.3000000000000007</v>
      </c>
      <c r="F48" s="85">
        <f ca="1">F142</f>
        <v>0.92867132867132884</v>
      </c>
      <c r="G48" s="85">
        <f t="shared" ref="G48:J48" ca="1" si="4">G142</f>
        <v>0.92867132867132884</v>
      </c>
      <c r="H48" s="85">
        <f t="shared" ca="1" si="4"/>
        <v>0.92867132867132884</v>
      </c>
      <c r="I48" s="85">
        <f t="shared" ca="1" si="4"/>
        <v>0.92867132867132884</v>
      </c>
      <c r="J48" s="85">
        <f t="shared" ca="1" si="4"/>
        <v>0.92867132867132884</v>
      </c>
    </row>
    <row r="49" spans="2:16">
      <c r="B49" s="11" t="s">
        <v>14</v>
      </c>
      <c r="C49" s="164">
        <v>-19.8</v>
      </c>
      <c r="D49" s="164">
        <v>-23.3</v>
      </c>
      <c r="E49" s="164">
        <v>-47.8</v>
      </c>
      <c r="F49" s="85">
        <f ca="1">-(SUM(F203:F208))</f>
        <v>-296.99705111580545</v>
      </c>
      <c r="G49" s="85">
        <f t="shared" ref="G49" ca="1" si="5">-(SUM(G203:G208))</f>
        <v>-276.12445625249643</v>
      </c>
      <c r="H49" s="85">
        <f ca="1">-(SUM(H203:H208))</f>
        <v>-257.21593531159476</v>
      </c>
      <c r="I49" s="85">
        <f ca="1">-(SUM(I203:I208))</f>
        <v>-231.45326322550088</v>
      </c>
      <c r="J49" s="85">
        <f ca="1">-(SUM(J203:J208))</f>
        <v>-193.18317511728173</v>
      </c>
    </row>
    <row r="50" spans="2:16">
      <c r="B50" s="25" t="s">
        <v>170</v>
      </c>
      <c r="C50" s="164">
        <v>3.3</v>
      </c>
      <c r="D50" s="164">
        <v>-1.2</v>
      </c>
      <c r="E50" s="164">
        <v>2</v>
      </c>
      <c r="F50" s="196">
        <v>0</v>
      </c>
      <c r="G50" s="196">
        <v>0</v>
      </c>
      <c r="H50" s="196">
        <v>0</v>
      </c>
      <c r="I50" s="196">
        <v>0</v>
      </c>
      <c r="J50" s="196">
        <v>0</v>
      </c>
    </row>
    <row r="51" spans="2:16">
      <c r="B51" s="24" t="s">
        <v>15</v>
      </c>
      <c r="C51" s="163">
        <f t="shared" ref="C51:J51" si="6">SUM(C47:C50)</f>
        <v>531.3000000000003</v>
      </c>
      <c r="D51" s="163">
        <f t="shared" si="6"/>
        <v>529.99999999999989</v>
      </c>
      <c r="E51" s="163">
        <f t="shared" si="6"/>
        <v>427.90000000000032</v>
      </c>
      <c r="F51" s="163">
        <f t="shared" ca="1" si="6"/>
        <v>250.60925647661008</v>
      </c>
      <c r="G51" s="163">
        <f t="shared" ca="1" si="6"/>
        <v>337.60557675942493</v>
      </c>
      <c r="H51" s="163">
        <f t="shared" ca="1" si="6"/>
        <v>431.50202215182185</v>
      </c>
      <c r="I51" s="163">
        <f t="shared" ca="1" si="6"/>
        <v>531.78499343267788</v>
      </c>
      <c r="J51" s="163">
        <f t="shared" ca="1" si="6"/>
        <v>648.70305659936378</v>
      </c>
    </row>
    <row r="52" spans="2:16">
      <c r="B52" s="11" t="s">
        <v>16</v>
      </c>
      <c r="C52" s="164">
        <v>-75.099999999999994</v>
      </c>
      <c r="D52" s="164">
        <v>-129</v>
      </c>
      <c r="E52" s="164">
        <v>-96.9</v>
      </c>
      <c r="F52" s="165">
        <f ca="1">-(F67*F51)</f>
        <v>-56.751663829360837</v>
      </c>
      <c r="G52" s="165">
        <f ca="1">-(G67*G51)</f>
        <v>-76.452396326216999</v>
      </c>
      <c r="H52" s="165">
        <f ca="1">-(H67*H51)</f>
        <v>-97.715695130898595</v>
      </c>
      <c r="I52" s="165">
        <f ca="1">-(I67*I51)</f>
        <v>-120.42525324521256</v>
      </c>
      <c r="J52" s="165">
        <f ca="1">-(J67*J51)</f>
        <v>-146.90190741873874</v>
      </c>
    </row>
    <row r="53" spans="2:16">
      <c r="B53" s="24" t="s">
        <v>17</v>
      </c>
      <c r="C53" s="166">
        <f t="shared" ref="C53:F53" si="7">SUM(C51:C52)</f>
        <v>456.20000000000027</v>
      </c>
      <c r="D53" s="166">
        <f t="shared" si="7"/>
        <v>400.99999999999989</v>
      </c>
      <c r="E53" s="166">
        <f t="shared" si="7"/>
        <v>331.00000000000034</v>
      </c>
      <c r="F53" s="166">
        <f t="shared" ca="1" si="7"/>
        <v>193.85759264724925</v>
      </c>
      <c r="G53" s="166">
        <f t="shared" ref="G53:J53" ca="1" si="8">SUM(G51:G52)</f>
        <v>261.15318043320792</v>
      </c>
      <c r="H53" s="166">
        <f t="shared" ca="1" si="8"/>
        <v>333.78632702092324</v>
      </c>
      <c r="I53" s="166">
        <f t="shared" ca="1" si="8"/>
        <v>411.35974018746532</v>
      </c>
      <c r="J53" s="166">
        <f t="shared" ca="1" si="8"/>
        <v>501.80114918062503</v>
      </c>
    </row>
    <row r="54" spans="2:16">
      <c r="C54" s="40"/>
      <c r="D54" s="40"/>
      <c r="E54" s="40"/>
      <c r="F54" s="40"/>
      <c r="G54" s="40"/>
      <c r="H54" s="40"/>
      <c r="I54" s="40"/>
      <c r="J54" s="40"/>
    </row>
    <row r="55" spans="2:16">
      <c r="B55" s="33" t="s">
        <v>175</v>
      </c>
      <c r="C55" s="40"/>
      <c r="D55" s="40"/>
      <c r="E55" s="40"/>
      <c r="L55" s="62">
        <f>150+85</f>
        <v>235</v>
      </c>
      <c r="M55" s="62">
        <f>136+80</f>
        <v>216</v>
      </c>
      <c r="N55" s="62">
        <f>133+77</f>
        <v>210</v>
      </c>
      <c r="O55" s="62">
        <f>141+68</f>
        <v>209</v>
      </c>
      <c r="P55" s="62">
        <f>146+57</f>
        <v>203</v>
      </c>
    </row>
    <row r="56" spans="2:16">
      <c r="B56" s="53" t="s">
        <v>174</v>
      </c>
      <c r="C56" s="170">
        <f t="shared" ref="C56:J56" si="9">C47</f>
        <v>532.8000000000003</v>
      </c>
      <c r="D56" s="170">
        <f t="shared" si="9"/>
        <v>543.89999999999986</v>
      </c>
      <c r="E56" s="170">
        <f t="shared" si="9"/>
        <v>465.40000000000032</v>
      </c>
      <c r="F56" s="170">
        <f t="shared" si="9"/>
        <v>546.67763626374415</v>
      </c>
      <c r="G56" s="170">
        <f t="shared" si="9"/>
        <v>612.80136168324998</v>
      </c>
      <c r="H56" s="170">
        <f t="shared" si="9"/>
        <v>687.78928613474523</v>
      </c>
      <c r="I56" s="170">
        <f t="shared" si="9"/>
        <v>762.3095853295074</v>
      </c>
      <c r="J56" s="170">
        <f t="shared" si="9"/>
        <v>840.95756038797413</v>
      </c>
      <c r="K56"/>
    </row>
    <row r="57" spans="2:16">
      <c r="B57" s="34" t="s">
        <v>36</v>
      </c>
      <c r="C57" s="169">
        <v>190</v>
      </c>
      <c r="D57" s="169">
        <f>224.6</f>
        <v>224.6</v>
      </c>
      <c r="E57" s="169">
        <f>229</f>
        <v>229</v>
      </c>
      <c r="F57" s="309">
        <f>-(F91+F97+F103)</f>
        <v>223.94686822877298</v>
      </c>
      <c r="G57" s="309">
        <f t="shared" ref="G57:J57" si="10">-(G91+G97+G103)</f>
        <v>220.60103174603177</v>
      </c>
      <c r="H57" s="309">
        <f t="shared" si="10"/>
        <v>222.40078105316201</v>
      </c>
      <c r="I57" s="309">
        <f t="shared" si="10"/>
        <v>224.19373141849334</v>
      </c>
      <c r="J57" s="309">
        <f t="shared" si="10"/>
        <v>223.00000000000003</v>
      </c>
      <c r="K57"/>
    </row>
    <row r="58" spans="2:16">
      <c r="B58" s="34" t="s">
        <v>25</v>
      </c>
      <c r="C58" s="167">
        <v>106.5</v>
      </c>
      <c r="D58" s="167">
        <v>127.2</v>
      </c>
      <c r="E58" s="167">
        <v>147.4</v>
      </c>
      <c r="F58" s="82">
        <f>-(F68*SUM(F43,F45:F46))</f>
        <v>161.0547368274718</v>
      </c>
      <c r="G58" s="82">
        <f>-(G68*SUM(G43,G45:G46))</f>
        <v>162.08209116516588</v>
      </c>
      <c r="H58" s="82">
        <f>-(H68*SUM(H43,H45:H46))</f>
        <v>163.69762028974245</v>
      </c>
      <c r="I58" s="82">
        <f>-(I68*SUM(I43,I45:I46))</f>
        <v>163.56828931606964</v>
      </c>
      <c r="J58" s="82">
        <f>-(J68*SUM(J43,J45:J46))</f>
        <v>162.91655861446264</v>
      </c>
      <c r="K58"/>
    </row>
    <row r="59" spans="2:16">
      <c r="B59" s="34" t="s">
        <v>171</v>
      </c>
      <c r="C59" s="167">
        <v>14.3</v>
      </c>
      <c r="D59" s="167">
        <v>10.8</v>
      </c>
      <c r="E59" s="167">
        <f>36+4.9</f>
        <v>40.9</v>
      </c>
      <c r="F59" s="167">
        <v>16</v>
      </c>
      <c r="G59" s="167">
        <v>5</v>
      </c>
      <c r="H59" s="167">
        <v>5</v>
      </c>
      <c r="I59" s="167">
        <v>0</v>
      </c>
      <c r="J59" s="167">
        <v>0</v>
      </c>
      <c r="K59"/>
    </row>
    <row r="60" spans="2:16">
      <c r="B60" s="91" t="s">
        <v>26</v>
      </c>
      <c r="C60" s="168">
        <f t="shared" ref="C60:J60" si="11">SUM(C56:C59)</f>
        <v>843.60000000000025</v>
      </c>
      <c r="D60" s="168">
        <f t="shared" si="11"/>
        <v>906.49999999999989</v>
      </c>
      <c r="E60" s="168">
        <f t="shared" si="11"/>
        <v>882.70000000000027</v>
      </c>
      <c r="F60" s="168">
        <f t="shared" si="11"/>
        <v>947.67924131998893</v>
      </c>
      <c r="G60" s="168">
        <f t="shared" si="11"/>
        <v>1000.4844845944476</v>
      </c>
      <c r="H60" s="168">
        <f t="shared" si="11"/>
        <v>1078.8876874776497</v>
      </c>
      <c r="I60" s="168">
        <f t="shared" si="11"/>
        <v>1150.0716060640705</v>
      </c>
      <c r="J60" s="168">
        <f t="shared" si="11"/>
        <v>1226.8741190024368</v>
      </c>
      <c r="K60"/>
    </row>
    <row r="61" spans="2:16">
      <c r="B61" s="35"/>
      <c r="C61"/>
      <c r="D61"/>
      <c r="E61"/>
      <c r="F61"/>
      <c r="G61"/>
      <c r="H61"/>
      <c r="I61"/>
      <c r="J61"/>
      <c r="K61"/>
    </row>
    <row r="62" spans="2:16">
      <c r="B62" s="29" t="s">
        <v>19</v>
      </c>
      <c r="C62"/>
      <c r="D62"/>
      <c r="E62"/>
      <c r="F62" s="82"/>
      <c r="K62" s="77" t="s">
        <v>134</v>
      </c>
    </row>
    <row r="63" spans="2:16">
      <c r="B63" s="45" t="s">
        <v>20</v>
      </c>
      <c r="C63" s="6"/>
      <c r="D63" s="6">
        <f>D42/C42-1</f>
        <v>5.1663196630029384E-2</v>
      </c>
      <c r="E63" s="6">
        <f>E42/D42-1</f>
        <v>1.3535911602210016E-2</v>
      </c>
      <c r="F63" s="81">
        <v>3.5000000000000003E-2</v>
      </c>
      <c r="G63" s="81">
        <v>5.5E-2</v>
      </c>
      <c r="H63" s="81">
        <v>0.06</v>
      </c>
      <c r="I63" s="81">
        <v>0.05</v>
      </c>
      <c r="J63" s="81">
        <v>4.8000000000000001E-2</v>
      </c>
      <c r="K63" s="41"/>
    </row>
    <row r="64" spans="2:16">
      <c r="B64" s="45" t="s">
        <v>21</v>
      </c>
      <c r="C64" s="6">
        <f>C44/C42</f>
        <v>0.76507044981358641</v>
      </c>
      <c r="D64" s="6">
        <f>D44/D42</f>
        <v>0.7380755064456721</v>
      </c>
      <c r="E64" s="6">
        <f>E44/E42</f>
        <v>0.73108022167711462</v>
      </c>
      <c r="F64" s="160">
        <f>AVERAGE(C64:E64)</f>
        <v>0.74474205931212423</v>
      </c>
      <c r="G64" s="160">
        <f t="shared" ref="G64:J68" si="12">F64+$K64</f>
        <v>0.74974205931212423</v>
      </c>
      <c r="H64" s="160">
        <f t="shared" si="12"/>
        <v>0.75474205931212424</v>
      </c>
      <c r="I64" s="160">
        <f t="shared" si="12"/>
        <v>0.75974205931212424</v>
      </c>
      <c r="J64" s="160">
        <f t="shared" si="12"/>
        <v>0.76474205931212424</v>
      </c>
      <c r="K64" s="41">
        <v>5.0000000000000001E-3</v>
      </c>
    </row>
    <row r="65" spans="2:11">
      <c r="B65" s="43" t="s">
        <v>22</v>
      </c>
      <c r="C65" s="6">
        <f>-(C45/C42)</f>
        <v>8.7929114414370776E-2</v>
      </c>
      <c r="D65" s="6">
        <f>-(D45/D42)</f>
        <v>7.605893186003683E-2</v>
      </c>
      <c r="E65" s="6">
        <f>-(E45/E42)</f>
        <v>7.9313164349959109E-2</v>
      </c>
      <c r="F65" s="160">
        <f>AVERAGE(C65:E65)</f>
        <v>8.1100403541455576E-2</v>
      </c>
      <c r="G65" s="160">
        <f t="shared" si="12"/>
        <v>8.1100403541455576E-2</v>
      </c>
      <c r="H65" s="160">
        <f t="shared" si="12"/>
        <v>8.1100403541455576E-2</v>
      </c>
      <c r="I65" s="160">
        <f t="shared" si="12"/>
        <v>8.1100403541455576E-2</v>
      </c>
      <c r="J65" s="160">
        <f t="shared" si="12"/>
        <v>8.1100403541455576E-2</v>
      </c>
      <c r="K65" s="41">
        <v>0</v>
      </c>
    </row>
    <row r="66" spans="2:11">
      <c r="B66" s="45" t="s">
        <v>23</v>
      </c>
      <c r="C66" s="6">
        <f>-(C46/C42)</f>
        <v>0.41916428606013645</v>
      </c>
      <c r="D66" s="6">
        <f>-(D46/D42)</f>
        <v>0.41160220994475138</v>
      </c>
      <c r="E66" s="6">
        <f>-(E46/E42)</f>
        <v>0.44035613700372483</v>
      </c>
      <c r="F66" s="160">
        <f>AVERAGE(C66:E66)</f>
        <v>0.42370754433620422</v>
      </c>
      <c r="G66" s="160">
        <f t="shared" si="12"/>
        <v>0.41370754433620421</v>
      </c>
      <c r="H66" s="160">
        <f t="shared" si="12"/>
        <v>0.4037075443362042</v>
      </c>
      <c r="I66" s="160">
        <f t="shared" si="12"/>
        <v>0.3937075443362042</v>
      </c>
      <c r="J66" s="160">
        <f t="shared" si="12"/>
        <v>0.38370754433620419</v>
      </c>
      <c r="K66" s="41">
        <v>-0.01</v>
      </c>
    </row>
    <row r="67" spans="2:11">
      <c r="B67" s="45" t="s">
        <v>24</v>
      </c>
      <c r="C67" s="6">
        <f>-(C52/C51)</f>
        <v>0.14135140222096734</v>
      </c>
      <c r="D67" s="6">
        <f>-(D52/D51)</f>
        <v>0.2433962264150944</v>
      </c>
      <c r="E67" s="6">
        <f>-(E52/E51)</f>
        <v>0.2264547791540078</v>
      </c>
      <c r="F67" s="81">
        <f>E67</f>
        <v>0.2264547791540078</v>
      </c>
      <c r="G67" s="160">
        <f t="shared" si="12"/>
        <v>0.2264547791540078</v>
      </c>
      <c r="H67" s="160">
        <f t="shared" si="12"/>
        <v>0.2264547791540078</v>
      </c>
      <c r="I67" s="160">
        <f t="shared" si="12"/>
        <v>0.2264547791540078</v>
      </c>
      <c r="J67" s="160">
        <f t="shared" si="12"/>
        <v>0.2264547791540078</v>
      </c>
      <c r="K67" s="41">
        <v>0</v>
      </c>
    </row>
    <row r="68" spans="2:11">
      <c r="B68" s="45" t="s">
        <v>34</v>
      </c>
      <c r="C68" s="6">
        <f>-(C58/SUM(C43,C45:C46))</f>
        <v>6.949429037520391E-2</v>
      </c>
      <c r="D68" s="6">
        <f>-(D58/SUM(D43,D45:D46))</f>
        <v>7.8127879122904004E-2</v>
      </c>
      <c r="E68" s="6">
        <f>-(E58/SUM(E43,E45:E46))</f>
        <v>8.4907834101382487E-2</v>
      </c>
      <c r="F68" s="81">
        <v>9.2999999999999999E-2</v>
      </c>
      <c r="G68" s="160">
        <f t="shared" si="12"/>
        <v>9.0499999999999997E-2</v>
      </c>
      <c r="H68" s="160">
        <f t="shared" si="12"/>
        <v>8.7999999999999995E-2</v>
      </c>
      <c r="I68" s="160">
        <f t="shared" si="12"/>
        <v>8.5499999999999993E-2</v>
      </c>
      <c r="J68" s="160">
        <f t="shared" si="12"/>
        <v>8.299999999999999E-2</v>
      </c>
      <c r="K68" s="41">
        <v>-2.5000000000000001E-3</v>
      </c>
    </row>
    <row r="69" spans="2:11">
      <c r="B69" s="35"/>
      <c r="C69" s="36"/>
      <c r="D69" s="36"/>
      <c r="E69" s="36"/>
      <c r="F69" s="36"/>
      <c r="G69" s="36"/>
      <c r="H69" s="36"/>
      <c r="I69" s="36"/>
      <c r="J69" s="36"/>
    </row>
    <row r="70" spans="2:11">
      <c r="B70" s="95" t="s">
        <v>29</v>
      </c>
      <c r="C70" s="250"/>
      <c r="D70" s="250"/>
      <c r="E70" s="250"/>
      <c r="F70" s="250"/>
      <c r="G70" s="250"/>
      <c r="H70" s="250"/>
      <c r="I70" s="250"/>
      <c r="J70" s="250"/>
    </row>
    <row r="71" spans="2:11">
      <c r="B71" s="11" t="s">
        <v>5</v>
      </c>
      <c r="C71" s="36"/>
      <c r="D71" s="16">
        <f>D$39</f>
        <v>2012</v>
      </c>
      <c r="E71" s="16">
        <f t="shared" ref="E71:J71" si="13">E$39</f>
        <v>2013</v>
      </c>
      <c r="F71" s="17">
        <f t="shared" si="13"/>
        <v>2014</v>
      </c>
      <c r="G71" s="17">
        <f t="shared" si="13"/>
        <v>2015</v>
      </c>
      <c r="H71" s="17">
        <f t="shared" si="13"/>
        <v>2016</v>
      </c>
      <c r="I71" s="17">
        <f t="shared" si="13"/>
        <v>2017</v>
      </c>
      <c r="J71" s="17">
        <f t="shared" si="13"/>
        <v>2018</v>
      </c>
    </row>
    <row r="72" spans="2:11">
      <c r="B72" s="18" t="s">
        <v>6</v>
      </c>
      <c r="C72" s="250"/>
      <c r="D72" s="20">
        <f>D$40</f>
        <v>40999</v>
      </c>
      <c r="E72" s="20">
        <f t="shared" ref="E72:J72" si="14">E$40</f>
        <v>41364</v>
      </c>
      <c r="F72" s="20">
        <f t="shared" si="14"/>
        <v>41729</v>
      </c>
      <c r="G72" s="20">
        <f t="shared" si="14"/>
        <v>42094</v>
      </c>
      <c r="H72" s="20">
        <f t="shared" si="14"/>
        <v>42460</v>
      </c>
      <c r="I72" s="20">
        <f t="shared" si="14"/>
        <v>42825</v>
      </c>
      <c r="J72" s="20">
        <f t="shared" si="14"/>
        <v>43190</v>
      </c>
    </row>
    <row r="73" spans="2:11">
      <c r="B73" s="21"/>
      <c r="C73" s="36"/>
      <c r="D73" s="36"/>
      <c r="E73" s="36"/>
      <c r="F73" s="36"/>
      <c r="G73" s="36"/>
      <c r="H73" s="36"/>
      <c r="I73" s="36"/>
      <c r="J73" s="36"/>
    </row>
    <row r="74" spans="2:11">
      <c r="B74" s="57" t="s">
        <v>77</v>
      </c>
      <c r="C74" s="47"/>
      <c r="D74" s="161">
        <f>296.7+108+80.1</f>
        <v>484.79999999999995</v>
      </c>
      <c r="E74" s="161">
        <f>265.5+110.4+67.8</f>
        <v>443.7</v>
      </c>
      <c r="F74" s="170">
        <f>IF(F75,F75*F42,E74*(1+F63))</f>
        <v>459.22949999999997</v>
      </c>
      <c r="G74" s="170">
        <f>IF(G75,G75*G42,F74*(1+G63))</f>
        <v>484.4871225</v>
      </c>
      <c r="H74" s="170">
        <f>IF(H75,H75*H42,G74*(1+H63))</f>
        <v>513.55634985000006</v>
      </c>
      <c r="I74" s="170">
        <f>IF(I75,I75*I42,H74*(1+I63))</f>
        <v>539.23416734250009</v>
      </c>
      <c r="J74" s="170">
        <f>IF(J75,J75*J42,I74*(1+J63))</f>
        <v>565.11740737494006</v>
      </c>
    </row>
    <row r="75" spans="2:11">
      <c r="B75" s="61" t="s">
        <v>31</v>
      </c>
      <c r="C75" s="49"/>
      <c r="D75" s="6">
        <f>D74/D42</f>
        <v>0.22320441988950274</v>
      </c>
      <c r="E75" s="6">
        <f>E74/E42</f>
        <v>0.20155355682747342</v>
      </c>
      <c r="F75" s="41">
        <f>E75</f>
        <v>0.20155355682747342</v>
      </c>
      <c r="G75" s="41">
        <f t="shared" ref="G75:J75" si="15">F75</f>
        <v>0.20155355682747342</v>
      </c>
      <c r="H75" s="41">
        <f t="shared" si="15"/>
        <v>0.20155355682747342</v>
      </c>
      <c r="I75" s="41">
        <f t="shared" si="15"/>
        <v>0.20155355682747342</v>
      </c>
      <c r="J75" s="41">
        <f t="shared" si="15"/>
        <v>0.20155355682747342</v>
      </c>
    </row>
    <row r="76" spans="2:11">
      <c r="B76" s="57" t="s">
        <v>172</v>
      </c>
      <c r="C76" s="47"/>
      <c r="D76" s="161">
        <v>195.1</v>
      </c>
      <c r="E76" s="161">
        <v>213.1</v>
      </c>
      <c r="F76" s="170">
        <f>IF(F77,F77*F42,E76*(1+F63))</f>
        <v>220.55850000000001</v>
      </c>
      <c r="G76" s="170">
        <f>IF(G77,G77*G42,F76*(1+G63))</f>
        <v>232.68921750000001</v>
      </c>
      <c r="H76" s="170">
        <f>IF(H77,H77*H42,G76*(1+H63))</f>
        <v>246.65057055000003</v>
      </c>
      <c r="I76" s="170">
        <f>IF(I77,I77*I42,H76*(1+I63))</f>
        <v>258.98309907750001</v>
      </c>
      <c r="J76" s="170">
        <f>IF(J77,J77*J42,I76*(1+J63))</f>
        <v>271.41428783322004</v>
      </c>
    </row>
    <row r="77" spans="2:11">
      <c r="B77" s="61" t="s">
        <v>173</v>
      </c>
      <c r="C77" s="49"/>
      <c r="D77" s="6">
        <f>D76/D42</f>
        <v>8.9825046040515652E-2</v>
      </c>
      <c r="E77" s="6">
        <f>E76/E42</f>
        <v>9.6802035068592709E-2</v>
      </c>
      <c r="F77" s="41">
        <f>E77</f>
        <v>9.6802035068592709E-2</v>
      </c>
      <c r="G77" s="41">
        <f t="shared" ref="G77:J77" si="16">F77</f>
        <v>9.6802035068592709E-2</v>
      </c>
      <c r="H77" s="41">
        <f t="shared" si="16"/>
        <v>9.6802035068592709E-2</v>
      </c>
      <c r="I77" s="41">
        <f t="shared" si="16"/>
        <v>9.6802035068592709E-2</v>
      </c>
      <c r="J77" s="41">
        <f t="shared" si="16"/>
        <v>9.6802035068592709E-2</v>
      </c>
    </row>
    <row r="78" spans="2:11">
      <c r="B78" s="57" t="s">
        <v>76</v>
      </c>
      <c r="C78" s="47"/>
      <c r="D78" s="161">
        <f>31.5+1.2</f>
        <v>32.700000000000003</v>
      </c>
      <c r="E78" s="161">
        <f>31.6+10.5</f>
        <v>42.1</v>
      </c>
      <c r="F78" s="170">
        <f>IF(F79,-(F79*F43),E78*F43/E43)</f>
        <v>41.35985068829212</v>
      </c>
      <c r="G78" s="170">
        <f>IF(G79,-(G79*G43),F78*G43/F43)</f>
        <v>42.77992582446322</v>
      </c>
      <c r="H78" s="170">
        <f>IF(H79,-(H79*H43),G78*H43/G43)</f>
        <v>44.440721723144954</v>
      </c>
      <c r="I78" s="170">
        <f>IF(I79,-(I79*I43),H78*I43/H43)</f>
        <v>45.711458175976823</v>
      </c>
      <c r="J78" s="170">
        <f>IF(J79,-(J79*J43),I78*J43/I43)</f>
        <v>46.908646152698736</v>
      </c>
    </row>
    <row r="79" spans="2:11">
      <c r="B79" s="61" t="s">
        <v>32</v>
      </c>
      <c r="C79" s="49"/>
      <c r="D79" s="6">
        <f>-(D78/D43)</f>
        <v>5.7479346106521362E-2</v>
      </c>
      <c r="E79" s="6">
        <f>-(E78/E43)</f>
        <v>7.1114864864864874E-2</v>
      </c>
      <c r="F79" s="41">
        <f>E79</f>
        <v>7.1114864864864874E-2</v>
      </c>
      <c r="G79" s="41">
        <f t="shared" ref="G79:J79" si="17">F79</f>
        <v>7.1114864864864874E-2</v>
      </c>
      <c r="H79" s="41">
        <f t="shared" si="17"/>
        <v>7.1114864864864874E-2</v>
      </c>
      <c r="I79" s="41">
        <f t="shared" si="17"/>
        <v>7.1114864864864874E-2</v>
      </c>
      <c r="J79" s="41">
        <f t="shared" si="17"/>
        <v>7.1114864864864874E-2</v>
      </c>
    </row>
    <row r="80" spans="2:11">
      <c r="B80" s="57" t="s">
        <v>75</v>
      </c>
      <c r="C80" s="88"/>
      <c r="D80" s="161">
        <f>319.4+1059.5+934.4</f>
        <v>2313.3000000000002</v>
      </c>
      <c r="E80" s="161">
        <f>326.4+1038.6+936.7</f>
        <v>2301.6999999999998</v>
      </c>
      <c r="F80" s="170">
        <f>IF(F81,F81*F42,E80*(1+F63))</f>
        <v>2382.2594999999997</v>
      </c>
      <c r="G80" s="170">
        <f>IF(G81,G81*G42,F80*(1+G63))</f>
        <v>2513.2837724999995</v>
      </c>
      <c r="H80" s="170">
        <f>IF(H81,H81*H42,G80*(1+H63))</f>
        <v>2664.0807988500001</v>
      </c>
      <c r="I80" s="170">
        <f>IF(I81,I81*I42,H80*(1+I63))</f>
        <v>2797.2848387925001</v>
      </c>
      <c r="J80" s="170">
        <f>IF(J81,J81*J42,I80*(1+J63))</f>
        <v>2931.5545110545399</v>
      </c>
    </row>
    <row r="81" spans="2:12">
      <c r="B81" s="61" t="s">
        <v>83</v>
      </c>
      <c r="C81" s="49"/>
      <c r="D81" s="6">
        <f>D80/D42</f>
        <v>1.0650552486187845</v>
      </c>
      <c r="E81" s="7">
        <f>E80/E42</f>
        <v>1.0455619151449076</v>
      </c>
      <c r="F81" s="177">
        <f>E81</f>
        <v>1.0455619151449076</v>
      </c>
      <c r="G81" s="177">
        <f t="shared" ref="G81:J81" si="18">F81</f>
        <v>1.0455619151449076</v>
      </c>
      <c r="H81" s="177">
        <f t="shared" si="18"/>
        <v>1.0455619151449076</v>
      </c>
      <c r="I81" s="177">
        <f t="shared" si="18"/>
        <v>1.0455619151449076</v>
      </c>
      <c r="J81" s="177">
        <f t="shared" si="18"/>
        <v>1.0455619151449076</v>
      </c>
    </row>
    <row r="82" spans="2:12">
      <c r="B82" s="61"/>
      <c r="C82" s="49"/>
      <c r="D82" s="6"/>
      <c r="E82" s="7"/>
      <c r="F82"/>
      <c r="G82"/>
      <c r="H82"/>
      <c r="I82"/>
      <c r="J82"/>
    </row>
    <row r="83" spans="2:12">
      <c r="B83" s="146" t="s">
        <v>126</v>
      </c>
      <c r="C83" s="21"/>
      <c r="D83" s="252">
        <f t="shared" ref="D83:E83" si="19">D74+D76+-D78-D80</f>
        <v>-1666.1000000000004</v>
      </c>
      <c r="E83" s="252">
        <f t="shared" si="19"/>
        <v>-1687</v>
      </c>
      <c r="F83" s="309">
        <f>F74+F76-F78-F80</f>
        <v>-1743.8313506882919</v>
      </c>
      <c r="G83" s="309">
        <f t="shared" ref="G83:J83" si="20">G74+G76-G78-G80</f>
        <v>-1838.8873583244626</v>
      </c>
      <c r="H83" s="309">
        <f t="shared" si="20"/>
        <v>-1948.314600173145</v>
      </c>
      <c r="I83" s="309">
        <f t="shared" si="20"/>
        <v>-2044.7790305484768</v>
      </c>
      <c r="J83" s="309">
        <f t="shared" si="20"/>
        <v>-2141.9314619990787</v>
      </c>
    </row>
    <row r="84" spans="2:12">
      <c r="B84" s="25"/>
      <c r="D84" s="50"/>
      <c r="E84" s="50"/>
      <c r="F84" s="40"/>
      <c r="G84" s="40"/>
      <c r="H84" s="40"/>
      <c r="I84" s="40"/>
      <c r="J84" s="40"/>
    </row>
    <row r="85" spans="2:12">
      <c r="B85" s="251" t="s">
        <v>181</v>
      </c>
      <c r="C85" s="96"/>
      <c r="D85" s="96"/>
      <c r="E85" s="96"/>
      <c r="F85" s="86"/>
      <c r="G85" s="86"/>
      <c r="H85" s="86"/>
      <c r="I85" s="86"/>
      <c r="J85" s="86"/>
    </row>
    <row r="86" spans="2:12">
      <c r="B86" s="11" t="s">
        <v>5</v>
      </c>
      <c r="C86" s="16">
        <f>C$39</f>
        <v>2011</v>
      </c>
      <c r="D86" s="16">
        <f>D$39</f>
        <v>2012</v>
      </c>
      <c r="E86" s="16">
        <f t="shared" ref="E86:J86" si="21">E$39</f>
        <v>2013</v>
      </c>
      <c r="F86" s="17">
        <f t="shared" si="21"/>
        <v>2014</v>
      </c>
      <c r="G86" s="17">
        <f t="shared" si="21"/>
        <v>2015</v>
      </c>
      <c r="H86" s="17">
        <f t="shared" si="21"/>
        <v>2016</v>
      </c>
      <c r="I86" s="17">
        <f t="shared" si="21"/>
        <v>2017</v>
      </c>
      <c r="J86" s="17">
        <f t="shared" si="21"/>
        <v>2018</v>
      </c>
    </row>
    <row r="87" spans="2:12">
      <c r="B87" s="18" t="s">
        <v>6</v>
      </c>
      <c r="C87" s="20">
        <f>C$40</f>
        <v>40633</v>
      </c>
      <c r="D87" s="20">
        <f>D$40</f>
        <v>40999</v>
      </c>
      <c r="E87" s="20">
        <f t="shared" ref="E87:J87" si="22">E$40</f>
        <v>41364</v>
      </c>
      <c r="F87" s="20">
        <f t="shared" si="22"/>
        <v>41729</v>
      </c>
      <c r="G87" s="20">
        <f t="shared" si="22"/>
        <v>42094</v>
      </c>
      <c r="H87" s="20">
        <f t="shared" si="22"/>
        <v>42460</v>
      </c>
      <c r="I87" s="20">
        <f t="shared" si="22"/>
        <v>42825</v>
      </c>
      <c r="J87" s="20">
        <f t="shared" si="22"/>
        <v>43190</v>
      </c>
    </row>
    <row r="88" spans="2:12">
      <c r="B88" s="89"/>
    </row>
    <row r="89" spans="2:12">
      <c r="B89" s="57" t="s">
        <v>80</v>
      </c>
      <c r="C89" s="28"/>
      <c r="D89" s="161">
        <v>87.8</v>
      </c>
      <c r="E89" s="161">
        <v>85.2</v>
      </c>
      <c r="F89" s="170">
        <f>E89+F90+F91</f>
        <v>73.144489795918361</v>
      </c>
      <c r="G89" s="170">
        <f t="shared" ref="G89:J89" si="23">F89+G90+G91</f>
        <v>63.407346938775504</v>
      </c>
      <c r="H89" s="170">
        <f t="shared" si="23"/>
        <v>56.452244897959183</v>
      </c>
      <c r="I89" s="170">
        <f t="shared" si="23"/>
        <v>53.090612244897969</v>
      </c>
      <c r="J89" s="170">
        <f t="shared" si="23"/>
        <v>53.090612244897976</v>
      </c>
      <c r="L89" s="170"/>
    </row>
    <row r="90" spans="2:12">
      <c r="B90" s="87" t="s">
        <v>38</v>
      </c>
      <c r="C90" s="167">
        <v>22</v>
      </c>
      <c r="D90" s="167">
        <v>26.5</v>
      </c>
      <c r="E90" s="167">
        <v>24.5</v>
      </c>
      <c r="F90" s="167">
        <v>26</v>
      </c>
      <c r="G90" s="167">
        <v>28</v>
      </c>
      <c r="H90" s="167">
        <v>30</v>
      </c>
      <c r="I90" s="167">
        <v>29</v>
      </c>
      <c r="J90" s="167">
        <v>31</v>
      </c>
      <c r="L90" s="309"/>
    </row>
    <row r="91" spans="2:12">
      <c r="B91" s="87" t="s">
        <v>79</v>
      </c>
      <c r="C91" s="167">
        <v>-39.1</v>
      </c>
      <c r="D91" s="167">
        <v>-37.799999999999997</v>
      </c>
      <c r="E91" s="167">
        <v>-38.700000000000003</v>
      </c>
      <c r="F91" s="171">
        <f>-(F90*F93)</f>
        <v>-38.055510204081635</v>
      </c>
      <c r="G91" s="171">
        <f>-(G90*G93)</f>
        <v>-37.737142857142857</v>
      </c>
      <c r="H91" s="171">
        <f>-(H90*H93)</f>
        <v>-36.955102040816321</v>
      </c>
      <c r="I91" s="171">
        <f>-(I90*I93)</f>
        <v>-32.361632653061221</v>
      </c>
      <c r="J91" s="171">
        <f>-(J90*J93)</f>
        <v>-30.999999999999993</v>
      </c>
      <c r="K91" s="77" t="s">
        <v>179</v>
      </c>
      <c r="L91" s="309"/>
    </row>
    <row r="92" spans="2:12">
      <c r="B92" s="89" t="s">
        <v>182</v>
      </c>
      <c r="C92" s="7">
        <f t="shared" ref="C92:J92" si="24">C90/C42</f>
        <v>1.0652205490727738E-2</v>
      </c>
      <c r="D92" s="7">
        <f t="shared" si="24"/>
        <v>1.220073664825046E-2</v>
      </c>
      <c r="E92" s="7">
        <f t="shared" si="24"/>
        <v>1.1129281366403197E-2</v>
      </c>
      <c r="F92" s="7">
        <f t="shared" si="24"/>
        <v>1.1411271439474836E-2</v>
      </c>
      <c r="G92" s="7">
        <f t="shared" si="24"/>
        <v>1.1648399573652766E-2</v>
      </c>
      <c r="H92" s="7">
        <f t="shared" si="24"/>
        <v>1.177398878738487E-2</v>
      </c>
      <c r="I92" s="7">
        <f t="shared" si="24"/>
        <v>1.0839545232830516E-2</v>
      </c>
      <c r="J92" s="7">
        <f t="shared" si="24"/>
        <v>1.1056393202742366E-2</v>
      </c>
      <c r="K92" s="181" t="s">
        <v>160</v>
      </c>
    </row>
    <row r="93" spans="2:12">
      <c r="B93" s="89" t="s">
        <v>158</v>
      </c>
      <c r="C93" s="71">
        <f>-(C91/C90)</f>
        <v>1.7772727272727273</v>
      </c>
      <c r="D93" s="71">
        <f>-(D91/D90)</f>
        <v>1.4264150943396225</v>
      </c>
      <c r="E93" s="71">
        <f>-(E91/E90)</f>
        <v>1.5795918367346939</v>
      </c>
      <c r="F93" s="71">
        <f>E93+$K$93</f>
        <v>1.4636734693877551</v>
      </c>
      <c r="G93" s="71">
        <f t="shared" ref="G93:J93" si="25">F93+$K$93</f>
        <v>1.3477551020408163</v>
      </c>
      <c r="H93" s="71">
        <f t="shared" si="25"/>
        <v>1.2318367346938774</v>
      </c>
      <c r="I93" s="71">
        <f t="shared" si="25"/>
        <v>1.1159183673469386</v>
      </c>
      <c r="J93" s="71">
        <f t="shared" si="25"/>
        <v>0.99999999999999978</v>
      </c>
      <c r="K93" s="149">
        <f>IF(K92="Yes",(1-E93)/COLUMNS(F93:J93),0)</f>
        <v>-0.11591836734693879</v>
      </c>
    </row>
    <row r="94" spans="2:12">
      <c r="B94" s="89"/>
      <c r="C94" s="71"/>
      <c r="D94" s="71"/>
      <c r="E94" s="71"/>
      <c r="F94"/>
      <c r="G94"/>
      <c r="H94"/>
      <c r="I94"/>
      <c r="J94"/>
      <c r="K94"/>
    </row>
    <row r="95" spans="2:12">
      <c r="B95" s="57" t="s">
        <v>199</v>
      </c>
      <c r="C95" s="56"/>
      <c r="D95" s="161">
        <v>244.7</v>
      </c>
      <c r="E95" s="161">
        <v>271.39999999999998</v>
      </c>
      <c r="F95" s="170">
        <f>E95+F96+F97</f>
        <v>286.50864197530859</v>
      </c>
      <c r="G95" s="170">
        <f t="shared" ref="G95:J95" si="26">F95+G96+G97</f>
        <v>297.64475308641971</v>
      </c>
      <c r="H95" s="170">
        <f t="shared" si="26"/>
        <v>305.19907407407402</v>
      </c>
      <c r="I95" s="170">
        <f t="shared" si="26"/>
        <v>309.36697530864188</v>
      </c>
      <c r="J95" s="170">
        <f t="shared" si="26"/>
        <v>309.36697530864183</v>
      </c>
    </row>
    <row r="96" spans="2:12">
      <c r="B96" s="87" t="s">
        <v>176</v>
      </c>
      <c r="C96" s="167">
        <v>115.8</v>
      </c>
      <c r="D96" s="167">
        <f>132.5</f>
        <v>132.5</v>
      </c>
      <c r="E96" s="167">
        <f>129.6</f>
        <v>129.6</v>
      </c>
      <c r="F96" s="167">
        <v>116</v>
      </c>
      <c r="G96" s="167">
        <v>114</v>
      </c>
      <c r="H96" s="167">
        <v>116</v>
      </c>
      <c r="I96" s="167">
        <v>128</v>
      </c>
      <c r="J96" s="167">
        <v>135</v>
      </c>
    </row>
    <row r="97" spans="2:11">
      <c r="B97" s="87" t="s">
        <v>78</v>
      </c>
      <c r="C97" s="169">
        <v>-75.7</v>
      </c>
      <c r="D97" s="167">
        <v>-93.6</v>
      </c>
      <c r="E97" s="167">
        <v>-108.5</v>
      </c>
      <c r="F97" s="82">
        <f>-(F99*F96)</f>
        <v>-100.89135802469136</v>
      </c>
      <c r="G97" s="82">
        <f t="shared" ref="G97:J97" si="27">-(G99*G96)</f>
        <v>-102.86388888888889</v>
      </c>
      <c r="H97" s="82">
        <f t="shared" si="27"/>
        <v>-108.44567901234569</v>
      </c>
      <c r="I97" s="82">
        <f t="shared" si="27"/>
        <v>-123.83209876543212</v>
      </c>
      <c r="J97" s="82">
        <f t="shared" si="27"/>
        <v>-135.00000000000003</v>
      </c>
      <c r="K97" s="77" t="s">
        <v>179</v>
      </c>
    </row>
    <row r="98" spans="2:11">
      <c r="B98" s="89" t="s">
        <v>177</v>
      </c>
      <c r="C98" s="175">
        <f t="shared" ref="C98:J98" si="28">C96/C42</f>
        <v>5.6069336173921458E-2</v>
      </c>
      <c r="D98" s="175">
        <f t="shared" si="28"/>
        <v>6.1003683241252299E-2</v>
      </c>
      <c r="E98" s="175">
        <f t="shared" si="28"/>
        <v>5.8871627146361398E-2</v>
      </c>
      <c r="F98" s="70">
        <f t="shared" si="28"/>
        <v>5.0911826422272342E-2</v>
      </c>
      <c r="G98" s="70">
        <f t="shared" si="28"/>
        <v>4.7425626835586265E-2</v>
      </c>
      <c r="H98" s="70">
        <f t="shared" si="28"/>
        <v>4.5526089977888165E-2</v>
      </c>
      <c r="I98" s="70">
        <f t="shared" si="28"/>
        <v>4.7843509993182966E-2</v>
      </c>
      <c r="J98" s="70">
        <f t="shared" si="28"/>
        <v>4.8148809108716752E-2</v>
      </c>
      <c r="K98" s="181" t="s">
        <v>160</v>
      </c>
    </row>
    <row r="99" spans="2:11">
      <c r="B99" s="89" t="s">
        <v>178</v>
      </c>
      <c r="C99" s="71">
        <f>-(C97/C96)</f>
        <v>0.65371329879101903</v>
      </c>
      <c r="D99" s="71">
        <f>-(D97/D96)</f>
        <v>0.70641509433962257</v>
      </c>
      <c r="E99" s="71">
        <f>-(E97/E96)</f>
        <v>0.83719135802469136</v>
      </c>
      <c r="F99" s="71">
        <f>E99+$K$99</f>
        <v>0.86975308641975313</v>
      </c>
      <c r="G99" s="71">
        <f t="shared" ref="G99:J99" si="29">F99+$K$99</f>
        <v>0.9023148148148149</v>
      </c>
      <c r="H99" s="71">
        <f t="shared" si="29"/>
        <v>0.93487654320987668</v>
      </c>
      <c r="I99" s="71">
        <f t="shared" si="29"/>
        <v>0.96743827160493845</v>
      </c>
      <c r="J99" s="71">
        <f t="shared" si="29"/>
        <v>1.0000000000000002</v>
      </c>
      <c r="K99" s="149">
        <f>IF(K98="Yes",(1-E99)/COLUMNS(F99:J99),0)</f>
        <v>3.2561728395061731E-2</v>
      </c>
    </row>
    <row r="100" spans="2:11">
      <c r="B100" s="89"/>
      <c r="C100" s="71"/>
      <c r="D100" s="71"/>
      <c r="E100" s="71"/>
      <c r="F100"/>
      <c r="G100"/>
      <c r="H100"/>
      <c r="I100"/>
      <c r="J100"/>
      <c r="K100"/>
    </row>
    <row r="101" spans="2:11">
      <c r="B101" s="57" t="s">
        <v>180</v>
      </c>
      <c r="D101" s="161">
        <v>257.5</v>
      </c>
      <c r="E101" s="161">
        <v>189.8</v>
      </c>
      <c r="F101" s="170">
        <f>E101+F102+F103</f>
        <v>189.8</v>
      </c>
      <c r="G101" s="170">
        <f t="shared" ref="G101:J101" si="30">F101+G102+G103</f>
        <v>189.8</v>
      </c>
      <c r="H101" s="170">
        <f t="shared" si="30"/>
        <v>189.8</v>
      </c>
      <c r="I101" s="170">
        <f t="shared" si="30"/>
        <v>189.8</v>
      </c>
      <c r="J101" s="170">
        <f t="shared" si="30"/>
        <v>189.8</v>
      </c>
      <c r="K101"/>
    </row>
    <row r="102" spans="2:11">
      <c r="B102" s="87" t="s">
        <v>176</v>
      </c>
      <c r="C102" s="213">
        <v>0</v>
      </c>
      <c r="D102" s="167">
        <v>0</v>
      </c>
      <c r="E102" s="167">
        <v>0</v>
      </c>
      <c r="F102" s="167">
        <f>-(F103)</f>
        <v>85</v>
      </c>
      <c r="G102" s="167">
        <f t="shared" ref="G102:J102" si="31">-(G103)</f>
        <v>80</v>
      </c>
      <c r="H102" s="167">
        <f t="shared" si="31"/>
        <v>77</v>
      </c>
      <c r="I102" s="167">
        <f t="shared" si="31"/>
        <v>68</v>
      </c>
      <c r="J102" s="167">
        <f t="shared" si="31"/>
        <v>57</v>
      </c>
      <c r="K102"/>
    </row>
    <row r="103" spans="2:11">
      <c r="B103" s="87" t="s">
        <v>78</v>
      </c>
      <c r="C103" s="167">
        <v>-79.099999999999994</v>
      </c>
      <c r="D103" s="167">
        <v>-97.7</v>
      </c>
      <c r="E103" s="167">
        <v>-86.9</v>
      </c>
      <c r="F103" s="167">
        <v>-85</v>
      </c>
      <c r="G103" s="167">
        <v>-80</v>
      </c>
      <c r="H103" s="167">
        <v>-77</v>
      </c>
      <c r="I103" s="167">
        <v>-68</v>
      </c>
      <c r="J103" s="167">
        <v>-57</v>
      </c>
      <c r="K103"/>
    </row>
    <row r="104" spans="2:11">
      <c r="B104" s="34"/>
      <c r="C104" s="85"/>
      <c r="D104" s="85"/>
      <c r="E104" s="85"/>
      <c r="F104"/>
      <c r="G104"/>
      <c r="H104"/>
      <c r="I104"/>
      <c r="J104"/>
      <c r="K104"/>
    </row>
    <row r="105" spans="2:11">
      <c r="B105" s="137" t="s">
        <v>204</v>
      </c>
      <c r="D105" s="161">
        <f>240.2+1700.1</f>
        <v>1940.3</v>
      </c>
      <c r="E105" s="161">
        <f>229.3+1705.9</f>
        <v>1935.2</v>
      </c>
      <c r="F105" s="161">
        <f>E105</f>
        <v>1935.2</v>
      </c>
      <c r="G105" s="161">
        <f t="shared" ref="G105:J105" si="32">F105</f>
        <v>1935.2</v>
      </c>
      <c r="H105" s="161">
        <f t="shared" si="32"/>
        <v>1935.2</v>
      </c>
      <c r="I105" s="161">
        <f t="shared" si="32"/>
        <v>1935.2</v>
      </c>
      <c r="J105" s="161">
        <f t="shared" si="32"/>
        <v>1935.2</v>
      </c>
      <c r="K105"/>
    </row>
    <row r="106" spans="2:11">
      <c r="B106" s="137"/>
      <c r="D106" s="161"/>
      <c r="E106" s="161"/>
      <c r="F106" s="161"/>
      <c r="G106" s="161"/>
      <c r="H106" s="161"/>
      <c r="I106" s="161"/>
      <c r="J106" s="161"/>
      <c r="K106"/>
    </row>
    <row r="107" spans="2:11">
      <c r="B107" s="57" t="s">
        <v>82</v>
      </c>
      <c r="D107" s="161">
        <v>232.4</v>
      </c>
      <c r="E107" s="161">
        <v>252</v>
      </c>
      <c r="F107" s="168">
        <f>E107</f>
        <v>252</v>
      </c>
      <c r="G107" s="168">
        <f t="shared" ref="G107:J107" si="33">F107</f>
        <v>252</v>
      </c>
      <c r="H107" s="168">
        <f t="shared" si="33"/>
        <v>252</v>
      </c>
      <c r="I107" s="168">
        <f t="shared" si="33"/>
        <v>252</v>
      </c>
      <c r="J107" s="168">
        <f t="shared" si="33"/>
        <v>252</v>
      </c>
      <c r="K107"/>
    </row>
    <row r="108" spans="2:11">
      <c r="B108" s="30"/>
      <c r="C108" s="50"/>
      <c r="D108" s="50"/>
      <c r="E108" s="50"/>
      <c r="F108" s="40"/>
      <c r="G108" s="40"/>
      <c r="H108" s="40"/>
      <c r="I108" s="40"/>
      <c r="J108" s="40"/>
    </row>
    <row r="109" spans="2:11">
      <c r="B109" s="13" t="s">
        <v>35</v>
      </c>
      <c r="C109" s="20"/>
      <c r="D109" s="20"/>
      <c r="E109" s="20"/>
      <c r="F109" s="20"/>
      <c r="G109" s="20"/>
      <c r="H109" s="20"/>
      <c r="I109" s="20"/>
      <c r="J109" s="20"/>
    </row>
    <row r="110" spans="2:11">
      <c r="B110" s="42" t="str">
        <f>B39</f>
        <v xml:space="preserve">Fiscal year  </v>
      </c>
      <c r="C110" s="37"/>
      <c r="D110" s="37"/>
      <c r="E110" s="37"/>
      <c r="F110" s="38">
        <f t="shared" ref="F110:J111" si="34">F39</f>
        <v>2014</v>
      </c>
      <c r="G110" s="38">
        <f t="shared" si="34"/>
        <v>2015</v>
      </c>
      <c r="H110" s="38">
        <f t="shared" si="34"/>
        <v>2016</v>
      </c>
      <c r="I110" s="38">
        <f t="shared" si="34"/>
        <v>2017</v>
      </c>
      <c r="J110" s="38">
        <f t="shared" si="34"/>
        <v>2018</v>
      </c>
    </row>
    <row r="111" spans="2:11">
      <c r="B111" s="15" t="str">
        <f>B40</f>
        <v>Fiscal year end date</v>
      </c>
      <c r="C111" s="39"/>
      <c r="D111" s="39"/>
      <c r="E111" s="39"/>
      <c r="F111" s="39">
        <f t="shared" si="34"/>
        <v>41729</v>
      </c>
      <c r="G111" s="39">
        <f t="shared" si="34"/>
        <v>42094</v>
      </c>
      <c r="H111" s="39">
        <f t="shared" si="34"/>
        <v>42460</v>
      </c>
      <c r="I111" s="39">
        <f t="shared" si="34"/>
        <v>42825</v>
      </c>
      <c r="J111" s="39">
        <f t="shared" si="34"/>
        <v>43190</v>
      </c>
    </row>
    <row r="113" spans="2:10">
      <c r="B113" s="11" t="s">
        <v>17</v>
      </c>
      <c r="C113" s="54"/>
      <c r="D113" s="54"/>
      <c r="E113" s="54"/>
      <c r="F113" s="85">
        <f ca="1">F53</f>
        <v>193.85759264724925</v>
      </c>
      <c r="G113" s="85">
        <f ca="1">G53</f>
        <v>261.15318043320792</v>
      </c>
      <c r="H113" s="85">
        <f ca="1">H53</f>
        <v>333.78632702092324</v>
      </c>
      <c r="I113" s="85">
        <f ca="1">I53</f>
        <v>411.35974018746532</v>
      </c>
      <c r="J113" s="85">
        <f ca="1">J53</f>
        <v>501.80114918062503</v>
      </c>
    </row>
    <row r="114" spans="2:10">
      <c r="B114" s="11" t="s">
        <v>36</v>
      </c>
      <c r="C114" s="54"/>
      <c r="D114" s="54"/>
      <c r="E114" s="54"/>
      <c r="F114" s="48">
        <f t="shared" ref="F114:J115" si="35">F57</f>
        <v>223.94686822877298</v>
      </c>
      <c r="G114" s="48">
        <f t="shared" si="35"/>
        <v>220.60103174603177</v>
      </c>
      <c r="H114" s="48">
        <f t="shared" si="35"/>
        <v>222.40078105316201</v>
      </c>
      <c r="I114" s="48">
        <f t="shared" si="35"/>
        <v>224.19373141849334</v>
      </c>
      <c r="J114" s="48">
        <f t="shared" si="35"/>
        <v>223.00000000000003</v>
      </c>
    </row>
    <row r="115" spans="2:10">
      <c r="B115" s="11" t="s">
        <v>25</v>
      </c>
      <c r="C115" s="54"/>
      <c r="D115" s="54"/>
      <c r="E115" s="54"/>
      <c r="F115" s="85">
        <f t="shared" si="35"/>
        <v>161.0547368274718</v>
      </c>
      <c r="G115" s="85">
        <f t="shared" si="35"/>
        <v>162.08209116516588</v>
      </c>
      <c r="H115" s="85">
        <f t="shared" si="35"/>
        <v>163.69762028974245</v>
      </c>
      <c r="I115" s="85">
        <f t="shared" si="35"/>
        <v>163.56828931606964</v>
      </c>
      <c r="J115" s="85">
        <f t="shared" si="35"/>
        <v>162.91655861446264</v>
      </c>
    </row>
    <row r="116" spans="2:10">
      <c r="B116" s="11" t="s">
        <v>81</v>
      </c>
      <c r="C116" s="26"/>
      <c r="D116" s="26"/>
      <c r="E116" s="26"/>
      <c r="F116" s="85">
        <f>E83-F83</f>
        <v>56.831350688291877</v>
      </c>
      <c r="G116" s="85">
        <f>F83-G83</f>
        <v>95.056007636170762</v>
      </c>
      <c r="H116" s="85">
        <f>G83-H83</f>
        <v>109.42724184868234</v>
      </c>
      <c r="I116" s="85">
        <f>H83-I83</f>
        <v>96.464430375331858</v>
      </c>
      <c r="J116" s="85">
        <f>I83-J83</f>
        <v>97.152431450601853</v>
      </c>
    </row>
    <row r="117" spans="2:10">
      <c r="B117" s="25" t="s">
        <v>127</v>
      </c>
      <c r="C117" s="26"/>
      <c r="D117" s="26"/>
      <c r="E117" s="26"/>
      <c r="F117" s="85">
        <f>E105-F105+F107-E107</f>
        <v>0</v>
      </c>
      <c r="G117" s="85">
        <f>F105-G105+G107-F107</f>
        <v>0</v>
      </c>
      <c r="H117" s="85">
        <f>G105-H105+H107-G107</f>
        <v>0</v>
      </c>
      <c r="I117" s="85">
        <f>H105-I105+I107-H107</f>
        <v>0</v>
      </c>
      <c r="J117" s="85">
        <f>I105-J105+J107-I107</f>
        <v>0</v>
      </c>
    </row>
    <row r="118" spans="2:10">
      <c r="B118" s="25" t="s">
        <v>148</v>
      </c>
      <c r="C118" s="26"/>
      <c r="D118" s="26"/>
      <c r="E118" s="26"/>
      <c r="F118" s="215">
        <f>F208</f>
        <v>0</v>
      </c>
      <c r="G118" s="215">
        <f t="shared" ref="G118:J118" si="36">G208</f>
        <v>0</v>
      </c>
      <c r="H118" s="215">
        <f t="shared" si="36"/>
        <v>0</v>
      </c>
      <c r="I118" s="215">
        <f t="shared" si="36"/>
        <v>0</v>
      </c>
      <c r="J118" s="215">
        <f t="shared" si="36"/>
        <v>0</v>
      </c>
    </row>
    <row r="119" spans="2:10">
      <c r="B119" s="24" t="s">
        <v>37</v>
      </c>
      <c r="F119" s="108">
        <f ca="1">SUM(F113:F118)</f>
        <v>635.69054839178591</v>
      </c>
      <c r="G119" s="108">
        <f ca="1">SUM(G113:G118)</f>
        <v>738.89231098057633</v>
      </c>
      <c r="H119" s="108">
        <f ca="1">SUM(H113:H118)</f>
        <v>829.31197021251</v>
      </c>
      <c r="I119" s="108">
        <f ca="1">SUM(I113:I118)</f>
        <v>895.58619129736007</v>
      </c>
      <c r="J119" s="108">
        <f ca="1">SUM(J113:J118)</f>
        <v>984.87013924568964</v>
      </c>
    </row>
    <row r="120" spans="2:10">
      <c r="B120" s="11"/>
    </row>
    <row r="121" spans="2:10">
      <c r="B121" s="11" t="s">
        <v>38</v>
      </c>
      <c r="F121" s="82">
        <f>-(F90)</f>
        <v>-26</v>
      </c>
      <c r="G121" s="82">
        <f>-(G90)</f>
        <v>-28</v>
      </c>
      <c r="H121" s="82">
        <f>-(H90)</f>
        <v>-30</v>
      </c>
      <c r="I121" s="82">
        <f>-(I90)</f>
        <v>-29</v>
      </c>
      <c r="J121" s="82">
        <f>-(J90)</f>
        <v>-31</v>
      </c>
    </row>
    <row r="122" spans="2:10">
      <c r="B122" s="11" t="s">
        <v>216</v>
      </c>
      <c r="F122" s="82">
        <f>-(F96+F102)</f>
        <v>-201</v>
      </c>
      <c r="G122" s="82">
        <f>-(G96+G102)</f>
        <v>-194</v>
      </c>
      <c r="H122" s="82">
        <f>-(H96+H102)</f>
        <v>-193</v>
      </c>
      <c r="I122" s="82">
        <f>-(I96+I102)</f>
        <v>-196</v>
      </c>
      <c r="J122" s="82">
        <f>-(J96+J102)</f>
        <v>-192</v>
      </c>
    </row>
    <row r="123" spans="2:10">
      <c r="B123" s="24" t="s">
        <v>39</v>
      </c>
      <c r="F123" s="170">
        <f>SUM(F121:F122)</f>
        <v>-227</v>
      </c>
      <c r="G123" s="170">
        <f>SUM(G121:G122)</f>
        <v>-222</v>
      </c>
      <c r="H123" s="170">
        <f>SUM(H121:H122)</f>
        <v>-223</v>
      </c>
      <c r="I123" s="170">
        <f>SUM(I121:I122)</f>
        <v>-225</v>
      </c>
      <c r="J123" s="170">
        <f>SUM(J121:J122)</f>
        <v>-223</v>
      </c>
    </row>
    <row r="124" spans="2:10">
      <c r="B124" s="11"/>
    </row>
    <row r="125" spans="2:10">
      <c r="B125" s="11" t="s">
        <v>97</v>
      </c>
      <c r="F125" s="82">
        <f>-(F159+F167+F175+F181)</f>
        <v>-322.1855000000001</v>
      </c>
      <c r="G125" s="82">
        <f ca="1">-(G159+G167+G175+G181)</f>
        <v>-177.86405000000008</v>
      </c>
      <c r="H125" s="82">
        <f ca="1">-(H159+H167+H175+H181)</f>
        <v>-177.86405000000008</v>
      </c>
      <c r="I125" s="82">
        <f ca="1">-(I159+I167+I175+I181)</f>
        <v>-177.86405000000008</v>
      </c>
      <c r="J125" s="82">
        <f ca="1">-(J159+J167+J175+J181)</f>
        <v>-177.86405000000008</v>
      </c>
    </row>
    <row r="126" spans="2:10">
      <c r="B126" s="25" t="s">
        <v>161</v>
      </c>
      <c r="F126" s="311">
        <f>-F190</f>
        <v>0</v>
      </c>
      <c r="G126" s="311">
        <f t="shared" ref="G126:J126" si="37">-G190</f>
        <v>0</v>
      </c>
      <c r="H126" s="311">
        <f t="shared" si="37"/>
        <v>0</v>
      </c>
      <c r="I126" s="311">
        <f t="shared" si="37"/>
        <v>0</v>
      </c>
      <c r="J126" s="311">
        <f t="shared" si="37"/>
        <v>0</v>
      </c>
    </row>
    <row r="127" spans="2:10">
      <c r="B127" s="147" t="s">
        <v>102</v>
      </c>
      <c r="C127" s="28"/>
      <c r="D127" s="28"/>
      <c r="E127" s="28"/>
      <c r="F127" s="170">
        <f ca="1">F119+F123+SUM(F125:F126)</f>
        <v>86.505048391785806</v>
      </c>
      <c r="G127" s="170">
        <f ca="1">G119+G123+SUM(G125:G126)</f>
        <v>339.02826098057625</v>
      </c>
      <c r="H127" s="170">
        <f ca="1">H119+H123+SUM(H125:H126)</f>
        <v>428.44792021250993</v>
      </c>
      <c r="I127" s="170">
        <f ca="1">I119+I123+SUM(I125:I126)</f>
        <v>492.72214129736</v>
      </c>
      <c r="J127" s="170">
        <f ca="1">J119+J123+SUM(J125:J126)</f>
        <v>584.00608924568951</v>
      </c>
    </row>
    <row r="128" spans="2:10">
      <c r="B128" s="11" t="s">
        <v>28</v>
      </c>
      <c r="F128" s="85">
        <f ca="1">F152</f>
        <v>0</v>
      </c>
      <c r="G128" s="85">
        <f ca="1">G152</f>
        <v>0</v>
      </c>
      <c r="H128" s="85">
        <f ca="1">H152</f>
        <v>0</v>
      </c>
      <c r="I128" s="85">
        <f ca="1">I152</f>
        <v>0</v>
      </c>
      <c r="J128" s="85">
        <f ca="1">J152</f>
        <v>0</v>
      </c>
    </row>
    <row r="129" spans="2:10">
      <c r="B129" s="147" t="s">
        <v>99</v>
      </c>
      <c r="C129" s="28"/>
      <c r="D129" s="28"/>
      <c r="E129" s="28"/>
      <c r="F129" s="108">
        <f ca="1">SUM(F127:F128)</f>
        <v>86.505048391785806</v>
      </c>
      <c r="G129" s="108">
        <f ca="1">SUM(G127:G128)</f>
        <v>339.02826098057625</v>
      </c>
      <c r="H129" s="108">
        <f ca="1">SUM(H127:H128)</f>
        <v>428.44792021250993</v>
      </c>
      <c r="I129" s="108">
        <f ca="1">SUM(I127:I128)</f>
        <v>492.72214129736</v>
      </c>
      <c r="J129" s="108">
        <f ca="1">SUM(J127:J128)</f>
        <v>584.00608924568951</v>
      </c>
    </row>
    <row r="130" spans="2:10">
      <c r="B130" s="43" t="s">
        <v>101</v>
      </c>
      <c r="F130" s="85">
        <f ca="1">-(F160)</f>
        <v>-86.505048391785806</v>
      </c>
      <c r="G130" s="85">
        <f ca="1">-(G160)</f>
        <v>-339.02826098057625</v>
      </c>
      <c r="H130" s="85">
        <f ca="1">-(H160)</f>
        <v>-428.44792021250993</v>
      </c>
      <c r="I130" s="85">
        <f ca="1">-(I160)</f>
        <v>-492.72214129736</v>
      </c>
      <c r="J130" s="85">
        <f ca="1">-(J160)</f>
        <v>-584.00608924568951</v>
      </c>
    </row>
    <row r="131" spans="2:10">
      <c r="B131" s="43" t="s">
        <v>103</v>
      </c>
      <c r="F131" s="85">
        <f ca="1">-(F168)</f>
        <v>0</v>
      </c>
      <c r="G131" s="85">
        <f ca="1">-(G168)</f>
        <v>0</v>
      </c>
      <c r="H131" s="85">
        <f ca="1">-(H168)</f>
        <v>0</v>
      </c>
      <c r="I131" s="85">
        <f ca="1">-(I168)</f>
        <v>0</v>
      </c>
      <c r="J131" s="85">
        <f ca="1">-(J168)</f>
        <v>0</v>
      </c>
    </row>
    <row r="132" spans="2:10">
      <c r="B132" s="28" t="s">
        <v>40</v>
      </c>
      <c r="F132" s="170">
        <f ca="1">SUM(F129:F131)</f>
        <v>0</v>
      </c>
      <c r="G132" s="170">
        <f ca="1">SUM(G129:G131)</f>
        <v>0</v>
      </c>
      <c r="H132" s="170">
        <f ca="1">SUM(H129:H131)</f>
        <v>0</v>
      </c>
      <c r="I132" s="170">
        <f ca="1">SUM(I129:I131)</f>
        <v>0</v>
      </c>
      <c r="J132" s="170">
        <f ca="1">SUM(J129:J131)</f>
        <v>0</v>
      </c>
    </row>
    <row r="133" spans="2:10">
      <c r="B133" s="28"/>
      <c r="F133" s="56"/>
      <c r="G133" s="56"/>
      <c r="H133" s="56"/>
      <c r="I133" s="56"/>
      <c r="J133" s="56"/>
    </row>
    <row r="134" spans="2:10">
      <c r="B134" s="95" t="s">
        <v>106</v>
      </c>
      <c r="C134" s="15"/>
      <c r="D134" s="15"/>
      <c r="E134" s="15"/>
      <c r="F134" s="15"/>
      <c r="G134" s="15"/>
      <c r="H134" s="15"/>
      <c r="I134" s="15"/>
      <c r="J134" s="15"/>
    </row>
    <row r="135" spans="2:10">
      <c r="B135" s="42" t="str">
        <f t="shared" ref="B135:J135" si="38">B39</f>
        <v xml:space="preserve">Fiscal year  </v>
      </c>
      <c r="C135" s="37">
        <f t="shared" si="38"/>
        <v>2011</v>
      </c>
      <c r="D135" s="37">
        <f t="shared" si="38"/>
        <v>2012</v>
      </c>
      <c r="E135" s="37">
        <f t="shared" si="38"/>
        <v>2013</v>
      </c>
      <c r="F135" s="38">
        <f t="shared" si="38"/>
        <v>2014</v>
      </c>
      <c r="G135" s="38">
        <f t="shared" si="38"/>
        <v>2015</v>
      </c>
      <c r="H135" s="38">
        <f t="shared" si="38"/>
        <v>2016</v>
      </c>
      <c r="I135" s="38">
        <f t="shared" si="38"/>
        <v>2017</v>
      </c>
      <c r="J135" s="38">
        <f t="shared" si="38"/>
        <v>2018</v>
      </c>
    </row>
    <row r="136" spans="2:10">
      <c r="B136" s="15" t="str">
        <f t="shared" ref="B136:J136" si="39">B40</f>
        <v>Fiscal year end date</v>
      </c>
      <c r="C136" s="39">
        <f t="shared" si="39"/>
        <v>40633</v>
      </c>
      <c r="D136" s="39">
        <f t="shared" si="39"/>
        <v>40999</v>
      </c>
      <c r="E136" s="39">
        <f t="shared" si="39"/>
        <v>41364</v>
      </c>
      <c r="F136" s="39">
        <f t="shared" si="39"/>
        <v>41729</v>
      </c>
      <c r="G136" s="39">
        <f t="shared" si="39"/>
        <v>42094</v>
      </c>
      <c r="H136" s="39">
        <f t="shared" si="39"/>
        <v>42460</v>
      </c>
      <c r="I136" s="39">
        <f t="shared" si="39"/>
        <v>42825</v>
      </c>
      <c r="J136" s="39">
        <f t="shared" si="39"/>
        <v>43190</v>
      </c>
    </row>
    <row r="137" spans="2:10">
      <c r="B137" s="44"/>
      <c r="C137" s="11"/>
      <c r="D137" s="11"/>
      <c r="E137" s="11"/>
      <c r="F137" s="11"/>
      <c r="G137" s="11"/>
      <c r="H137" s="11"/>
      <c r="I137" s="11"/>
      <c r="J137" s="11"/>
    </row>
    <row r="138" spans="2:10">
      <c r="B138" s="30" t="s">
        <v>104</v>
      </c>
      <c r="F138" s="214">
        <f>D16</f>
        <v>180</v>
      </c>
      <c r="G138" s="82">
        <f ca="1">F140</f>
        <v>180</v>
      </c>
      <c r="H138" s="82">
        <f t="shared" ref="H138:J138" ca="1" si="40">G140</f>
        <v>180</v>
      </c>
      <c r="I138" s="82">
        <f t="shared" ca="1" si="40"/>
        <v>180</v>
      </c>
      <c r="J138" s="82">
        <f t="shared" ca="1" si="40"/>
        <v>180</v>
      </c>
    </row>
    <row r="139" spans="2:10">
      <c r="B139" s="46" t="s">
        <v>30</v>
      </c>
      <c r="F139" s="82">
        <f ca="1">F132</f>
        <v>0</v>
      </c>
      <c r="G139" s="82">
        <f ca="1">G132</f>
        <v>0</v>
      </c>
      <c r="H139" s="82">
        <f t="shared" ref="H139:J139" ca="1" si="41">H132</f>
        <v>0</v>
      </c>
      <c r="I139" s="82">
        <f t="shared" ca="1" si="41"/>
        <v>0</v>
      </c>
      <c r="J139" s="82">
        <f t="shared" ca="1" si="41"/>
        <v>0</v>
      </c>
    </row>
    <row r="140" spans="2:10">
      <c r="B140" s="57" t="s">
        <v>105</v>
      </c>
      <c r="C140" s="28"/>
      <c r="D140" s="162">
        <f>1496.9+86.1+52.6</f>
        <v>1635.6</v>
      </c>
      <c r="E140" s="310">
        <f>D15</f>
        <v>1581.9</v>
      </c>
      <c r="F140" s="170">
        <f ca="1">SUM(F138:F139)</f>
        <v>180</v>
      </c>
      <c r="G140" s="170">
        <f ca="1">SUM(G138:G139)</f>
        <v>180</v>
      </c>
      <c r="H140" s="170">
        <f t="shared" ref="H140:J140" ca="1" si="42">SUM(H138:H139)</f>
        <v>180</v>
      </c>
      <c r="I140" s="170">
        <f t="shared" ca="1" si="42"/>
        <v>180</v>
      </c>
      <c r="J140" s="170">
        <f t="shared" ca="1" si="42"/>
        <v>180</v>
      </c>
    </row>
    <row r="141" spans="2:10">
      <c r="B141" s="30" t="s">
        <v>47</v>
      </c>
      <c r="D141" s="158">
        <f t="shared" ref="D141" si="43">D142/AVERAGE(C140:D140)</f>
        <v>6.4808021521154321E-3</v>
      </c>
      <c r="E141" s="158">
        <f>E142/AVERAGE(D140:E140)</f>
        <v>5.1592851592851601E-3</v>
      </c>
      <c r="F141" s="58">
        <f>$E$141</f>
        <v>5.1592851592851601E-3</v>
      </c>
      <c r="G141" s="58">
        <f t="shared" ref="G141:J141" si="44">$E$141</f>
        <v>5.1592851592851601E-3</v>
      </c>
      <c r="H141" s="58">
        <f t="shared" si="44"/>
        <v>5.1592851592851601E-3</v>
      </c>
      <c r="I141" s="58">
        <f t="shared" si="44"/>
        <v>5.1592851592851601E-3</v>
      </c>
      <c r="J141" s="58">
        <f t="shared" si="44"/>
        <v>5.1592851592851601E-3</v>
      </c>
    </row>
    <row r="142" spans="2:10">
      <c r="B142" s="30" t="s">
        <v>13</v>
      </c>
      <c r="C142" s="40"/>
      <c r="D142" s="82">
        <f>D48</f>
        <v>10.6</v>
      </c>
      <c r="E142" s="82">
        <f>E48</f>
        <v>8.3000000000000007</v>
      </c>
      <c r="F142" s="311">
        <f ca="1">IF($D$10="OFF",AVERAGE(F138,F140)*F141,0)</f>
        <v>0.92867132867132884</v>
      </c>
      <c r="G142" s="311">
        <f t="shared" ref="G142:J142" ca="1" si="45">IF($D$10="OFF",AVERAGE(G138,G140)*G141,0)</f>
        <v>0.92867132867132884</v>
      </c>
      <c r="H142" s="311">
        <f t="shared" ca="1" si="45"/>
        <v>0.92867132867132884</v>
      </c>
      <c r="I142" s="311">
        <f t="shared" ca="1" si="45"/>
        <v>0.92867132867132884</v>
      </c>
      <c r="J142" s="311">
        <f t="shared" ca="1" si="45"/>
        <v>0.92867132867132884</v>
      </c>
    </row>
    <row r="143" spans="2:10">
      <c r="B143" s="30"/>
      <c r="C143" s="40"/>
      <c r="D143" s="40"/>
      <c r="E143" s="40"/>
      <c r="F143" s="59"/>
      <c r="G143" s="59"/>
      <c r="H143" s="59"/>
      <c r="I143" s="59"/>
      <c r="J143" s="59"/>
    </row>
    <row r="144" spans="2:10">
      <c r="B144" s="29" t="s">
        <v>28</v>
      </c>
      <c r="C144" s="25"/>
      <c r="D144" s="139"/>
      <c r="E144" s="139"/>
      <c r="F144" s="84"/>
      <c r="G144" s="84"/>
      <c r="H144" s="84"/>
      <c r="I144" s="84"/>
      <c r="J144" s="84"/>
    </row>
    <row r="145" spans="2:10">
      <c r="B145" s="66" t="s">
        <v>109</v>
      </c>
      <c r="C145" s="25"/>
      <c r="D145" s="25"/>
      <c r="E145" s="25"/>
      <c r="F145" s="215">
        <f>F138</f>
        <v>180</v>
      </c>
      <c r="G145" s="215">
        <f t="shared" ref="G145:J145" ca="1" si="46">G138</f>
        <v>180</v>
      </c>
      <c r="H145" s="215">
        <f t="shared" ca="1" si="46"/>
        <v>180</v>
      </c>
      <c r="I145" s="215">
        <f t="shared" ca="1" si="46"/>
        <v>180</v>
      </c>
      <c r="J145" s="215">
        <f t="shared" ca="1" si="46"/>
        <v>180</v>
      </c>
    </row>
    <row r="146" spans="2:10">
      <c r="B146" s="66" t="s">
        <v>43</v>
      </c>
      <c r="C146" s="25"/>
      <c r="D146" s="25"/>
      <c r="E146" s="25"/>
      <c r="F146" s="216">
        <f>-($D$16)</f>
        <v>-180</v>
      </c>
      <c r="G146" s="216">
        <f t="shared" ref="G146:J146" si="47">-($D$16)</f>
        <v>-180</v>
      </c>
      <c r="H146" s="216">
        <f t="shared" si="47"/>
        <v>-180</v>
      </c>
      <c r="I146" s="216">
        <f t="shared" si="47"/>
        <v>-180</v>
      </c>
      <c r="J146" s="216">
        <f t="shared" si="47"/>
        <v>-180</v>
      </c>
    </row>
    <row r="147" spans="2:10">
      <c r="B147" s="66" t="s">
        <v>44</v>
      </c>
      <c r="C147" s="25"/>
      <c r="D147" s="25"/>
      <c r="E147" s="25"/>
      <c r="F147" s="215">
        <f>SUM(F145:F146)</f>
        <v>0</v>
      </c>
      <c r="G147" s="215">
        <f t="shared" ref="G147:J147" ca="1" si="48">SUM(G145:G146)</f>
        <v>0</v>
      </c>
      <c r="H147" s="215">
        <f t="shared" ca="1" si="48"/>
        <v>0</v>
      </c>
      <c r="I147" s="215">
        <f t="shared" ca="1" si="48"/>
        <v>0</v>
      </c>
      <c r="J147" s="215">
        <f t="shared" ca="1" si="48"/>
        <v>0</v>
      </c>
    </row>
    <row r="148" spans="2:10">
      <c r="B148" s="141" t="s">
        <v>45</v>
      </c>
      <c r="C148" s="33"/>
      <c r="D148" s="33"/>
      <c r="E148" s="33"/>
      <c r="F148" s="217">
        <f ca="1">F127</f>
        <v>86.505048391785806</v>
      </c>
      <c r="G148" s="217">
        <f t="shared" ref="G148:J148" ca="1" si="49">G127</f>
        <v>339.02826098057625</v>
      </c>
      <c r="H148" s="217">
        <f t="shared" ca="1" si="49"/>
        <v>428.44792021250993</v>
      </c>
      <c r="I148" s="217">
        <f t="shared" ca="1" si="49"/>
        <v>492.72214129736</v>
      </c>
      <c r="J148" s="217">
        <f t="shared" ca="1" si="49"/>
        <v>584.00608924568951</v>
      </c>
    </row>
    <row r="149" spans="2:10">
      <c r="B149" s="134" t="s">
        <v>110</v>
      </c>
      <c r="C149" s="74"/>
      <c r="D149" s="74"/>
      <c r="E149" s="74"/>
      <c r="F149" s="218">
        <f ca="1">SUM(F147:F148)</f>
        <v>86.505048391785806</v>
      </c>
      <c r="G149" s="218">
        <f t="shared" ref="G149:J149" ca="1" si="50">SUM(G147:G148)</f>
        <v>339.02826098057625</v>
      </c>
      <c r="H149" s="218">
        <f t="shared" ca="1" si="50"/>
        <v>428.44792021250993</v>
      </c>
      <c r="I149" s="218">
        <f t="shared" ca="1" si="50"/>
        <v>492.72214129736</v>
      </c>
      <c r="J149" s="218">
        <f t="shared" ca="1" si="50"/>
        <v>584.00608924568951</v>
      </c>
    </row>
    <row r="150" spans="2:10">
      <c r="B150" s="25"/>
      <c r="C150" s="25"/>
      <c r="D150" s="25"/>
      <c r="E150" s="25"/>
      <c r="F150" s="25"/>
      <c r="G150" s="25"/>
      <c r="H150" s="25"/>
      <c r="I150" s="25"/>
      <c r="J150" s="25"/>
    </row>
    <row r="151" spans="2:10">
      <c r="B151" s="32" t="s">
        <v>107</v>
      </c>
      <c r="C151" s="25"/>
      <c r="D151" s="25"/>
      <c r="E151" s="25"/>
      <c r="F151" s="219">
        <f>D28</f>
        <v>0</v>
      </c>
      <c r="G151" s="215">
        <f ca="1">F153</f>
        <v>0</v>
      </c>
      <c r="H151" s="215">
        <f t="shared" ref="H151:J151" ca="1" si="51">G153</f>
        <v>0</v>
      </c>
      <c r="I151" s="215">
        <f t="shared" ca="1" si="51"/>
        <v>0</v>
      </c>
      <c r="J151" s="215">
        <f t="shared" ca="1" si="51"/>
        <v>0</v>
      </c>
    </row>
    <row r="152" spans="2:10">
      <c r="B152" s="136" t="s">
        <v>30</v>
      </c>
      <c r="C152" s="25"/>
      <c r="D152" s="25"/>
      <c r="E152" s="25"/>
      <c r="F152" s="215">
        <f ca="1">-MIN(F149,F151)</f>
        <v>0</v>
      </c>
      <c r="G152" s="215">
        <f t="shared" ref="G152:J152" ca="1" si="52">-MIN(G149,G151)</f>
        <v>0</v>
      </c>
      <c r="H152" s="215">
        <f t="shared" ca="1" si="52"/>
        <v>0</v>
      </c>
      <c r="I152" s="215">
        <f t="shared" ca="1" si="52"/>
        <v>0</v>
      </c>
      <c r="J152" s="215">
        <f t="shared" ca="1" si="52"/>
        <v>0</v>
      </c>
    </row>
    <row r="153" spans="2:10">
      <c r="B153" s="137" t="s">
        <v>108</v>
      </c>
      <c r="C153" s="25"/>
      <c r="D153" s="33" t="s">
        <v>146</v>
      </c>
      <c r="E153" s="33" t="s">
        <v>251</v>
      </c>
      <c r="F153" s="220">
        <f t="shared" ref="F153:J153" ca="1" si="53">SUM(F151:F152)</f>
        <v>0</v>
      </c>
      <c r="G153" s="220">
        <f t="shared" ca="1" si="53"/>
        <v>0</v>
      </c>
      <c r="H153" s="220">
        <f t="shared" ca="1" si="53"/>
        <v>0</v>
      </c>
      <c r="I153" s="220">
        <f t="shared" ca="1" si="53"/>
        <v>0</v>
      </c>
      <c r="J153" s="220">
        <f t="shared" ca="1" si="53"/>
        <v>0</v>
      </c>
    </row>
    <row r="154" spans="2:10">
      <c r="B154" s="134" t="s">
        <v>41</v>
      </c>
      <c r="C154" s="25"/>
      <c r="D154" s="314">
        <v>0.8</v>
      </c>
      <c r="E154" s="314">
        <v>0.65</v>
      </c>
      <c r="F154" s="218">
        <f>MIN(350,$D$154*F74+$E$154*F76)</f>
        <v>350</v>
      </c>
      <c r="G154" s="218">
        <f>MIN(350,$D$154*G74+$E$154*G76)</f>
        <v>350</v>
      </c>
      <c r="H154" s="218">
        <f>MIN(350,$D$154*H74+$E$154*H76)</f>
        <v>350</v>
      </c>
      <c r="I154" s="218">
        <f>MIN(350,$D$154*I74+$E$154*I76)</f>
        <v>350</v>
      </c>
      <c r="J154" s="218">
        <f>MIN(350,$D$154*J74+$E$154*J76)</f>
        <v>350</v>
      </c>
    </row>
    <row r="155" spans="2:10">
      <c r="B155" s="134" t="s">
        <v>42</v>
      </c>
      <c r="C155" s="25"/>
      <c r="D155" s="138"/>
      <c r="E155" s="138"/>
      <c r="F155" s="142" t="str">
        <f ca="1">IF(F153&gt;F154,"OVERDRAWN","OK")</f>
        <v>OK</v>
      </c>
      <c r="G155" s="142" t="str">
        <f t="shared" ref="G155:J155" ca="1" si="54">IF(G153&gt;G154,"OVERDRAWN","OK")</f>
        <v>OK</v>
      </c>
      <c r="H155" s="142" t="str">
        <f t="shared" ca="1" si="54"/>
        <v>OK</v>
      </c>
      <c r="I155" s="142" t="str">
        <f t="shared" ca="1" si="54"/>
        <v>OK</v>
      </c>
      <c r="J155" s="142" t="str">
        <f t="shared" ca="1" si="54"/>
        <v>OK</v>
      </c>
    </row>
    <row r="156" spans="2:10">
      <c r="B156" s="25"/>
      <c r="C156" s="25"/>
      <c r="D156" s="25"/>
      <c r="E156" s="25"/>
      <c r="F156" s="25"/>
      <c r="G156" s="25"/>
      <c r="H156" s="25"/>
      <c r="I156" s="25"/>
      <c r="J156" s="25"/>
    </row>
    <row r="157" spans="2:10">
      <c r="B157" s="29" t="s">
        <v>85</v>
      </c>
      <c r="C157" s="25"/>
      <c r="D157" s="25"/>
      <c r="E157" s="25"/>
      <c r="F157" s="25"/>
      <c r="G157" s="25"/>
      <c r="H157" s="25"/>
      <c r="I157" s="25"/>
      <c r="J157" s="25"/>
    </row>
    <row r="158" spans="2:10">
      <c r="B158" s="32" t="s">
        <v>89</v>
      </c>
      <c r="C158" s="25"/>
      <c r="D158" s="25"/>
      <c r="E158" s="25"/>
      <c r="F158" s="219">
        <f>D29</f>
        <v>2886.429000000001</v>
      </c>
      <c r="G158" s="215">
        <f ca="1">F161</f>
        <v>2511.281051608215</v>
      </c>
      <c r="H158" s="215">
        <f t="shared" ref="H158:J158" ca="1" si="55">G161</f>
        <v>2027.9313406276387</v>
      </c>
      <c r="I158" s="215">
        <f t="shared" ca="1" si="55"/>
        <v>1455.1619704151287</v>
      </c>
      <c r="J158" s="215">
        <f t="shared" ca="1" si="55"/>
        <v>818.11837911776865</v>
      </c>
    </row>
    <row r="159" spans="2:10">
      <c r="B159" s="32" t="s">
        <v>98</v>
      </c>
      <c r="C159" s="25"/>
      <c r="D159" s="25"/>
      <c r="E159" s="25"/>
      <c r="F159" s="216">
        <f>MIN(F162*$F$158,F158)</f>
        <v>288.64290000000011</v>
      </c>
      <c r="G159" s="216">
        <f t="shared" ref="G159:J159" ca="1" si="56">MIN(G162*$F$158,G158)</f>
        <v>144.32145000000006</v>
      </c>
      <c r="H159" s="216">
        <f t="shared" ca="1" si="56"/>
        <v>144.32145000000006</v>
      </c>
      <c r="I159" s="216">
        <f t="shared" ca="1" si="56"/>
        <v>144.32145000000006</v>
      </c>
      <c r="J159" s="216">
        <f t="shared" ca="1" si="56"/>
        <v>144.32145000000006</v>
      </c>
    </row>
    <row r="160" spans="2:10">
      <c r="B160" s="32" t="s">
        <v>100</v>
      </c>
      <c r="C160" s="25"/>
      <c r="D160" s="25"/>
      <c r="E160" s="25"/>
      <c r="F160" s="216">
        <f ca="1">MIN(F163,F158-F159)</f>
        <v>86.505048391785806</v>
      </c>
      <c r="G160" s="216">
        <f t="shared" ref="G160:J160" ca="1" si="57">MIN(G163,G158-G159)</f>
        <v>339.02826098057625</v>
      </c>
      <c r="H160" s="216">
        <f t="shared" ca="1" si="57"/>
        <v>428.44792021250993</v>
      </c>
      <c r="I160" s="216">
        <f t="shared" ca="1" si="57"/>
        <v>492.72214129736</v>
      </c>
      <c r="J160" s="216">
        <f t="shared" ca="1" si="57"/>
        <v>584.00608924568951</v>
      </c>
    </row>
    <row r="161" spans="2:10">
      <c r="B161" s="137" t="s">
        <v>92</v>
      </c>
      <c r="C161" s="51"/>
      <c r="D161" s="143"/>
      <c r="E161" s="51"/>
      <c r="F161" s="163">
        <f ca="1">F158-F159-F160</f>
        <v>2511.281051608215</v>
      </c>
      <c r="G161" s="163">
        <f t="shared" ref="G161:J161" ca="1" si="58">G158-G159-G160</f>
        <v>2027.9313406276387</v>
      </c>
      <c r="H161" s="163">
        <f t="shared" ca="1" si="58"/>
        <v>1455.1619704151287</v>
      </c>
      <c r="I161" s="163">
        <f t="shared" ca="1" si="58"/>
        <v>818.11837911776865</v>
      </c>
      <c r="J161" s="163">
        <f t="shared" ca="1" si="58"/>
        <v>89.790839872079118</v>
      </c>
    </row>
    <row r="162" spans="2:10">
      <c r="B162" s="134" t="s">
        <v>115</v>
      </c>
      <c r="C162" s="74"/>
      <c r="E162" s="139" t="s">
        <v>163</v>
      </c>
      <c r="F162" s="144">
        <v>0.1</v>
      </c>
      <c r="G162" s="144">
        <v>0.05</v>
      </c>
      <c r="H162" s="144">
        <v>0.05</v>
      </c>
      <c r="I162" s="144">
        <v>0.05</v>
      </c>
      <c r="J162" s="144">
        <v>0.05</v>
      </c>
    </row>
    <row r="163" spans="2:10">
      <c r="B163" s="134" t="s">
        <v>162</v>
      </c>
      <c r="C163" s="74"/>
      <c r="E163" s="145">
        <v>1</v>
      </c>
      <c r="F163" s="221">
        <f ca="1">$E$163*(F149+F152)</f>
        <v>86.505048391785806</v>
      </c>
      <c r="G163" s="221">
        <f t="shared" ref="G163:J163" ca="1" si="59">$E$163*(G149+G152)</f>
        <v>339.02826098057625</v>
      </c>
      <c r="H163" s="221">
        <f t="shared" ca="1" si="59"/>
        <v>428.44792021250993</v>
      </c>
      <c r="I163" s="221">
        <f t="shared" ca="1" si="59"/>
        <v>492.72214129736</v>
      </c>
      <c r="J163" s="221">
        <f t="shared" ca="1" si="59"/>
        <v>584.00608924568951</v>
      </c>
    </row>
    <row r="164" spans="2:10">
      <c r="B164" s="32"/>
      <c r="C164" s="25"/>
      <c r="F164" s="140"/>
      <c r="G164" s="140"/>
      <c r="H164" s="140"/>
      <c r="I164" s="140"/>
      <c r="J164" s="140"/>
    </row>
    <row r="165" spans="2:10">
      <c r="B165" s="29" t="s">
        <v>86</v>
      </c>
      <c r="C165" s="25"/>
      <c r="F165" s="84"/>
      <c r="G165" s="25"/>
      <c r="H165" s="25"/>
      <c r="I165" s="25"/>
      <c r="J165" s="25"/>
    </row>
    <row r="166" spans="2:10">
      <c r="B166" s="32" t="s">
        <v>90</v>
      </c>
      <c r="C166" s="25"/>
      <c r="F166" s="219">
        <f>D30</f>
        <v>670.8520000000002</v>
      </c>
      <c r="G166" s="215">
        <f ca="1">F169</f>
        <v>637.30940000000021</v>
      </c>
      <c r="H166" s="215">
        <f t="shared" ref="H166:J166" ca="1" si="60">G169</f>
        <v>603.76680000000022</v>
      </c>
      <c r="I166" s="215">
        <f t="shared" ca="1" si="60"/>
        <v>570.22420000000022</v>
      </c>
      <c r="J166" s="215">
        <f t="shared" ca="1" si="60"/>
        <v>536.68160000000023</v>
      </c>
    </row>
    <row r="167" spans="2:10">
      <c r="B167" s="32" t="s">
        <v>84</v>
      </c>
      <c r="C167" s="25"/>
      <c r="F167" s="216">
        <f>MIN(F170*$F$166,F166)</f>
        <v>33.542600000000014</v>
      </c>
      <c r="G167" s="216">
        <f t="shared" ref="G167:J167" ca="1" si="61">MIN(G170*$F$166,G166)</f>
        <v>33.542600000000014</v>
      </c>
      <c r="H167" s="216">
        <f t="shared" ca="1" si="61"/>
        <v>33.542600000000014</v>
      </c>
      <c r="I167" s="216">
        <f t="shared" ca="1" si="61"/>
        <v>33.542600000000014</v>
      </c>
      <c r="J167" s="216">
        <f t="shared" ca="1" si="61"/>
        <v>33.542600000000014</v>
      </c>
    </row>
    <row r="168" spans="2:10">
      <c r="B168" s="32" t="s">
        <v>100</v>
      </c>
      <c r="C168" s="25"/>
      <c r="F168" s="216">
        <f ca="1">MIN(F171,F166-F167)</f>
        <v>0</v>
      </c>
      <c r="G168" s="216">
        <f t="shared" ref="G168:J168" ca="1" si="62">MIN(G171,G166-G167)</f>
        <v>0</v>
      </c>
      <c r="H168" s="216">
        <f t="shared" ca="1" si="62"/>
        <v>0</v>
      </c>
      <c r="I168" s="216">
        <f t="shared" ca="1" si="62"/>
        <v>0</v>
      </c>
      <c r="J168" s="216">
        <f t="shared" ca="1" si="62"/>
        <v>0</v>
      </c>
    </row>
    <row r="169" spans="2:10">
      <c r="B169" s="137" t="s">
        <v>91</v>
      </c>
      <c r="C169" s="51"/>
      <c r="F169" s="163">
        <f ca="1">F166-F167-F168</f>
        <v>637.30940000000021</v>
      </c>
      <c r="G169" s="163">
        <f t="shared" ref="G169:J169" ca="1" si="63">G166-G167-G168</f>
        <v>603.76680000000022</v>
      </c>
      <c r="H169" s="163">
        <f t="shared" ca="1" si="63"/>
        <v>570.22420000000022</v>
      </c>
      <c r="I169" s="163">
        <f t="shared" ca="1" si="63"/>
        <v>536.68160000000023</v>
      </c>
      <c r="J169" s="163">
        <f t="shared" ca="1" si="63"/>
        <v>503.13900000000024</v>
      </c>
    </row>
    <row r="170" spans="2:10">
      <c r="B170" s="134" t="s">
        <v>115</v>
      </c>
      <c r="C170" s="74"/>
      <c r="E170" s="139" t="s">
        <v>163</v>
      </c>
      <c r="F170" s="144">
        <v>0.05</v>
      </c>
      <c r="G170" s="144">
        <v>0.05</v>
      </c>
      <c r="H170" s="144">
        <v>0.05</v>
      </c>
      <c r="I170" s="144">
        <v>0.05</v>
      </c>
      <c r="J170" s="144">
        <v>0.05</v>
      </c>
    </row>
    <row r="171" spans="2:10">
      <c r="B171" s="134" t="s">
        <v>132</v>
      </c>
      <c r="C171" s="74"/>
      <c r="E171" s="145">
        <v>1</v>
      </c>
      <c r="F171" s="222">
        <f ca="1">$E$171*(F149+F152-F160)</f>
        <v>0</v>
      </c>
      <c r="G171" s="222">
        <f t="shared" ref="G171:J171" ca="1" si="64">$E$171*(G149+G152-G160)</f>
        <v>0</v>
      </c>
      <c r="H171" s="222">
        <f t="shared" ca="1" si="64"/>
        <v>0</v>
      </c>
      <c r="I171" s="222">
        <f t="shared" ca="1" si="64"/>
        <v>0</v>
      </c>
      <c r="J171" s="222">
        <f t="shared" ca="1" si="64"/>
        <v>0</v>
      </c>
    </row>
    <row r="172" spans="2:10">
      <c r="B172" s="90"/>
      <c r="C172" s="63"/>
      <c r="D172" s="63"/>
      <c r="E172" s="63"/>
      <c r="F172" s="98"/>
      <c r="G172" s="98"/>
      <c r="H172" s="98"/>
      <c r="I172" s="98"/>
      <c r="J172" s="98"/>
    </row>
    <row r="173" spans="2:10">
      <c r="B173" s="29" t="s">
        <v>87</v>
      </c>
      <c r="F173" s="40"/>
    </row>
    <row r="174" spans="2:10">
      <c r="B174" s="30" t="s">
        <v>94</v>
      </c>
      <c r="F174" s="214">
        <f>D31</f>
        <v>1632.9950000000006</v>
      </c>
      <c r="G174" s="82">
        <f>F176</f>
        <v>1632.9950000000006</v>
      </c>
      <c r="H174" s="82">
        <f t="shared" ref="H174:J174" si="65">G176</f>
        <v>1632.9950000000006</v>
      </c>
      <c r="I174" s="82">
        <f t="shared" si="65"/>
        <v>1632.9950000000006</v>
      </c>
      <c r="J174" s="82">
        <f t="shared" si="65"/>
        <v>1632.9950000000006</v>
      </c>
    </row>
    <row r="175" spans="2:10">
      <c r="B175" s="30" t="s">
        <v>84</v>
      </c>
      <c r="F175" s="171">
        <f>MIN(F177*$F$174,F174)</f>
        <v>0</v>
      </c>
      <c r="G175" s="171">
        <f t="shared" ref="G175:J175" si="66">MIN(G177*$F$174,G174)</f>
        <v>0</v>
      </c>
      <c r="H175" s="171">
        <f t="shared" si="66"/>
        <v>0</v>
      </c>
      <c r="I175" s="171">
        <f t="shared" si="66"/>
        <v>0</v>
      </c>
      <c r="J175" s="171">
        <f t="shared" si="66"/>
        <v>0</v>
      </c>
    </row>
    <row r="176" spans="2:10">
      <c r="B176" s="57" t="s">
        <v>93</v>
      </c>
      <c r="C176" s="28"/>
      <c r="D176" s="28"/>
      <c r="E176" s="28"/>
      <c r="F176" s="168">
        <f>F174-F175</f>
        <v>1632.9950000000006</v>
      </c>
      <c r="G176" s="168">
        <f t="shared" ref="G176:J176" si="67">G174-G175</f>
        <v>1632.9950000000006</v>
      </c>
      <c r="H176" s="168">
        <f t="shared" si="67"/>
        <v>1632.9950000000006</v>
      </c>
      <c r="I176" s="168">
        <f t="shared" si="67"/>
        <v>1632.9950000000006</v>
      </c>
      <c r="J176" s="168">
        <f t="shared" si="67"/>
        <v>1632.9950000000006</v>
      </c>
    </row>
    <row r="177" spans="2:10">
      <c r="B177" s="90" t="s">
        <v>115</v>
      </c>
      <c r="F177" s="94">
        <v>0</v>
      </c>
      <c r="G177" s="94">
        <v>0</v>
      </c>
      <c r="H177" s="94">
        <v>0</v>
      </c>
      <c r="I177" s="94">
        <v>0</v>
      </c>
      <c r="J177" s="94">
        <v>0</v>
      </c>
    </row>
    <row r="178" spans="2:10">
      <c r="B178" s="90"/>
      <c r="F178" s="94"/>
      <c r="G178" s="94"/>
      <c r="H178" s="94"/>
      <c r="I178" s="94"/>
      <c r="J178" s="94"/>
    </row>
    <row r="179" spans="2:10">
      <c r="B179" s="29" t="s">
        <v>88</v>
      </c>
      <c r="F179" s="40"/>
    </row>
    <row r="180" spans="2:10">
      <c r="B180" s="30" t="s">
        <v>96</v>
      </c>
      <c r="F180" s="214">
        <f>D32</f>
        <v>0</v>
      </c>
      <c r="G180" s="82">
        <f t="shared" ref="G180:J180" si="68">F183</f>
        <v>0</v>
      </c>
      <c r="H180" s="82">
        <f t="shared" si="68"/>
        <v>0</v>
      </c>
      <c r="I180" s="82">
        <f t="shared" si="68"/>
        <v>0</v>
      </c>
      <c r="J180" s="82">
        <f t="shared" si="68"/>
        <v>0</v>
      </c>
    </row>
    <row r="181" spans="2:10">
      <c r="B181" s="30" t="s">
        <v>84</v>
      </c>
      <c r="C181" s="77" t="s">
        <v>141</v>
      </c>
      <c r="D181" s="77" t="s">
        <v>142</v>
      </c>
      <c r="F181" s="171">
        <f>MIN(F184*$F$180,F180)</f>
        <v>0</v>
      </c>
      <c r="G181" s="171">
        <f>MIN(G184*$F$180,G180)</f>
        <v>0</v>
      </c>
      <c r="H181" s="171">
        <f>MIN(H184*$F$180,H180)</f>
        <v>0</v>
      </c>
      <c r="I181" s="171">
        <f>MIN(I184*$F$180,I180)</f>
        <v>0</v>
      </c>
      <c r="J181" s="171">
        <f>MIN(J184*$F$180,J180)</f>
        <v>0</v>
      </c>
    </row>
    <row r="182" spans="2:10">
      <c r="B182" s="93" t="s">
        <v>143</v>
      </c>
      <c r="C182" s="322"/>
      <c r="D182" s="322"/>
      <c r="E182" s="320" t="s">
        <v>46</v>
      </c>
      <c r="F182" s="171">
        <f>$C$182*(F180-F181)</f>
        <v>0</v>
      </c>
      <c r="G182" s="171">
        <f>$C$182*(G180-G181)</f>
        <v>0</v>
      </c>
      <c r="H182" s="171">
        <f>$C$182*(H180-H181)</f>
        <v>0</v>
      </c>
      <c r="I182" s="171">
        <f>$C$182*(I180-I181)</f>
        <v>0</v>
      </c>
      <c r="J182" s="171">
        <f>$C$182*(J180-J181)</f>
        <v>0</v>
      </c>
    </row>
    <row r="183" spans="2:10">
      <c r="B183" s="57" t="s">
        <v>95</v>
      </c>
      <c r="C183" s="323"/>
      <c r="D183" s="323"/>
      <c r="E183" s="28"/>
      <c r="F183" s="168">
        <f>F180-F181+F182</f>
        <v>0</v>
      </c>
      <c r="G183" s="168">
        <f>G180-G181+G182</f>
        <v>0</v>
      </c>
      <c r="H183" s="168">
        <f>H180-H181+H182</f>
        <v>0</v>
      </c>
      <c r="I183" s="168">
        <f>I180-I181+I182</f>
        <v>0</v>
      </c>
      <c r="J183" s="168">
        <f>J180-J181+J182</f>
        <v>0</v>
      </c>
    </row>
    <row r="184" spans="2:10">
      <c r="B184" s="90" t="s">
        <v>115</v>
      </c>
      <c r="F184" s="94">
        <v>0</v>
      </c>
      <c r="G184" s="94">
        <v>0</v>
      </c>
      <c r="H184" s="94">
        <v>0</v>
      </c>
      <c r="I184" s="94">
        <v>0</v>
      </c>
      <c r="J184" s="94">
        <v>0</v>
      </c>
    </row>
    <row r="185" spans="2:10">
      <c r="B185" s="90"/>
      <c r="F185" s="94"/>
      <c r="G185" s="94"/>
      <c r="H185" s="94"/>
      <c r="I185" s="94"/>
      <c r="J185" s="94"/>
    </row>
    <row r="186" spans="2:10">
      <c r="B186" s="29" t="s">
        <v>113</v>
      </c>
      <c r="D186" s="107"/>
      <c r="E186" s="77"/>
      <c r="F186" s="94"/>
      <c r="G186" s="94"/>
      <c r="H186" s="94"/>
      <c r="I186" s="94"/>
      <c r="J186" s="94"/>
    </row>
    <row r="187" spans="2:10">
      <c r="B187" s="30" t="s">
        <v>114</v>
      </c>
      <c r="F187" s="223">
        <f>D33</f>
        <v>0</v>
      </c>
      <c r="G187" s="82">
        <f>F189</f>
        <v>0</v>
      </c>
      <c r="H187" s="82">
        <f t="shared" ref="H187:J187" si="69">G189</f>
        <v>0</v>
      </c>
      <c r="I187" s="82">
        <f t="shared" si="69"/>
        <v>0</v>
      </c>
      <c r="J187" s="82">
        <f t="shared" si="69"/>
        <v>0</v>
      </c>
    </row>
    <row r="188" spans="2:10">
      <c r="B188" s="93" t="s">
        <v>33</v>
      </c>
      <c r="F188" s="171">
        <f>$C$190*F187</f>
        <v>0</v>
      </c>
      <c r="G188" s="171">
        <f t="shared" ref="G188:J188" si="70">$C$190*G187</f>
        <v>0</v>
      </c>
      <c r="H188" s="171">
        <f t="shared" si="70"/>
        <v>0</v>
      </c>
      <c r="I188" s="171">
        <f t="shared" si="70"/>
        <v>0</v>
      </c>
      <c r="J188" s="171">
        <f t="shared" si="70"/>
        <v>0</v>
      </c>
    </row>
    <row r="189" spans="2:10">
      <c r="B189" s="28" t="s">
        <v>116</v>
      </c>
      <c r="C189" s="77" t="s">
        <v>141</v>
      </c>
      <c r="D189" s="77" t="s">
        <v>142</v>
      </c>
      <c r="E189" s="28"/>
      <c r="F189" s="168">
        <f>SUM(F187:F188)</f>
        <v>0</v>
      </c>
      <c r="G189" s="168">
        <f t="shared" ref="G189:J189" si="71">SUM(G187:G188)</f>
        <v>0</v>
      </c>
      <c r="H189" s="168">
        <f t="shared" si="71"/>
        <v>0</v>
      </c>
      <c r="I189" s="168">
        <f t="shared" si="71"/>
        <v>0</v>
      </c>
      <c r="J189" s="168">
        <f t="shared" si="71"/>
        <v>0</v>
      </c>
    </row>
    <row r="190" spans="2:10">
      <c r="B190" s="93" t="s">
        <v>147</v>
      </c>
      <c r="C190" s="92">
        <v>0.04</v>
      </c>
      <c r="D190" s="52">
        <v>0.08</v>
      </c>
      <c r="F190" s="82">
        <f>$D$190*F189</f>
        <v>0</v>
      </c>
      <c r="G190" s="82">
        <f t="shared" ref="G190:J190" si="72">$D$190*G189</f>
        <v>0</v>
      </c>
      <c r="H190" s="82">
        <f t="shared" si="72"/>
        <v>0</v>
      </c>
      <c r="I190" s="82">
        <f t="shared" si="72"/>
        <v>0</v>
      </c>
      <c r="J190" s="82">
        <f t="shared" si="72"/>
        <v>0</v>
      </c>
    </row>
    <row r="191" spans="2:10">
      <c r="B191" s="93"/>
      <c r="F191" s="40"/>
    </row>
    <row r="192" spans="2:10">
      <c r="B192" s="184" t="s">
        <v>226</v>
      </c>
      <c r="F192" s="40"/>
    </row>
    <row r="193" spans="2:13">
      <c r="B193" s="30" t="s">
        <v>228</v>
      </c>
      <c r="C193" s="85"/>
      <c r="D193" s="237"/>
      <c r="E193" s="237"/>
      <c r="F193" s="214">
        <f>H33</f>
        <v>69.689165000000031</v>
      </c>
      <c r="G193" s="82">
        <f>F195</f>
        <v>60.02517625000003</v>
      </c>
      <c r="H193" s="82">
        <f t="shared" ref="H193:J193" si="73">G195</f>
        <v>50.361187500000028</v>
      </c>
      <c r="I193" s="82">
        <f t="shared" si="73"/>
        <v>40.697198750000027</v>
      </c>
      <c r="J193" s="82">
        <f t="shared" si="73"/>
        <v>31.033210000000025</v>
      </c>
    </row>
    <row r="194" spans="2:13">
      <c r="B194" s="30" t="s">
        <v>78</v>
      </c>
      <c r="C194" s="85"/>
      <c r="D194" s="85"/>
      <c r="E194" s="85"/>
      <c r="F194" s="82">
        <f>-J33</f>
        <v>-9.6639887500000032</v>
      </c>
      <c r="G194" s="82">
        <f>F194</f>
        <v>-9.6639887500000032</v>
      </c>
      <c r="H194" s="82">
        <f t="shared" ref="H194:J194" si="74">G194</f>
        <v>-9.6639887500000032</v>
      </c>
      <c r="I194" s="82">
        <f t="shared" si="74"/>
        <v>-9.6639887500000032</v>
      </c>
      <c r="J194" s="82">
        <f t="shared" si="74"/>
        <v>-9.6639887500000032</v>
      </c>
    </row>
    <row r="195" spans="2:13">
      <c r="B195" s="28" t="s">
        <v>229</v>
      </c>
      <c r="C195" s="85"/>
      <c r="D195" s="85"/>
      <c r="E195" s="85"/>
      <c r="F195" s="170">
        <f>SUM(F193:F194)</f>
        <v>60.02517625000003</v>
      </c>
      <c r="G195" s="170">
        <f t="shared" ref="G195:J195" si="75">SUM(G193:G194)</f>
        <v>50.361187500000028</v>
      </c>
      <c r="H195" s="170">
        <f t="shared" si="75"/>
        <v>40.697198750000027</v>
      </c>
      <c r="I195" s="170">
        <f t="shared" si="75"/>
        <v>31.033210000000025</v>
      </c>
      <c r="J195" s="170">
        <f t="shared" si="75"/>
        <v>21.369221250000024</v>
      </c>
    </row>
    <row r="196" spans="2:13">
      <c r="B196" s="93"/>
      <c r="F196" s="40"/>
    </row>
    <row r="197" spans="2:13">
      <c r="B197" s="13" t="s">
        <v>187</v>
      </c>
      <c r="C197" s="15"/>
      <c r="D197" s="15"/>
      <c r="E197" s="15"/>
      <c r="F197" s="15"/>
      <c r="G197" s="15"/>
      <c r="H197" s="15"/>
      <c r="I197" s="15"/>
      <c r="J197" s="15"/>
    </row>
    <row r="198" spans="2:13">
      <c r="B198" s="11" t="s">
        <v>5</v>
      </c>
      <c r="C198" s="16">
        <f>C$39</f>
        <v>2011</v>
      </c>
      <c r="D198" s="16">
        <f>D$39</f>
        <v>2012</v>
      </c>
      <c r="E198" s="16">
        <f t="shared" ref="E198:J198" si="76">E$39</f>
        <v>2013</v>
      </c>
      <c r="F198" s="17">
        <f t="shared" si="76"/>
        <v>2014</v>
      </c>
      <c r="G198" s="17">
        <f t="shared" si="76"/>
        <v>2015</v>
      </c>
      <c r="H198" s="17">
        <f t="shared" si="76"/>
        <v>2016</v>
      </c>
      <c r="I198" s="17">
        <f t="shared" si="76"/>
        <v>2017</v>
      </c>
      <c r="J198" s="17">
        <f t="shared" si="76"/>
        <v>2018</v>
      </c>
    </row>
    <row r="199" spans="2:13">
      <c r="B199" s="18" t="s">
        <v>6</v>
      </c>
      <c r="C199" s="20">
        <f>C$40</f>
        <v>40633</v>
      </c>
      <c r="D199" s="20">
        <f>D$40</f>
        <v>40999</v>
      </c>
      <c r="E199" s="20">
        <f t="shared" ref="E199:J199" si="77">E$40</f>
        <v>41364</v>
      </c>
      <c r="F199" s="20">
        <f t="shared" si="77"/>
        <v>41729</v>
      </c>
      <c r="G199" s="20">
        <f t="shared" si="77"/>
        <v>42094</v>
      </c>
      <c r="H199" s="20">
        <f t="shared" si="77"/>
        <v>42460</v>
      </c>
      <c r="I199" s="20">
        <f t="shared" si="77"/>
        <v>42825</v>
      </c>
      <c r="J199" s="20">
        <f t="shared" si="77"/>
        <v>43190</v>
      </c>
    </row>
    <row r="200" spans="2:13">
      <c r="B200" s="24"/>
      <c r="C200" s="11"/>
      <c r="D200" s="11"/>
      <c r="E200" s="11"/>
      <c r="F200" s="11"/>
      <c r="G200" s="11"/>
      <c r="H200" s="11"/>
      <c r="I200" s="11"/>
      <c r="J200" s="11"/>
    </row>
    <row r="201" spans="2:13">
      <c r="B201" s="93" t="s">
        <v>183</v>
      </c>
      <c r="C201" s="178"/>
      <c r="D201" s="21"/>
      <c r="E201" s="11"/>
      <c r="F201" s="179">
        <v>49.08</v>
      </c>
      <c r="G201" s="179">
        <v>82.86</v>
      </c>
      <c r="H201" s="179">
        <v>134.82</v>
      </c>
      <c r="I201" s="179">
        <v>184.42</v>
      </c>
      <c r="J201" s="179">
        <v>221.26</v>
      </c>
    </row>
    <row r="202" spans="2:13">
      <c r="B202" s="30"/>
      <c r="C202" s="77" t="s">
        <v>184</v>
      </c>
      <c r="D202" s="77" t="s">
        <v>185</v>
      </c>
      <c r="E202" s="77" t="s">
        <v>186</v>
      </c>
      <c r="F202" s="176"/>
      <c r="G202" s="176"/>
      <c r="H202" s="176"/>
      <c r="I202" s="176"/>
      <c r="J202" s="176"/>
    </row>
    <row r="203" spans="2:13">
      <c r="B203" s="34" t="s">
        <v>28</v>
      </c>
      <c r="C203" s="180">
        <v>0.04</v>
      </c>
      <c r="D203" s="65">
        <v>0</v>
      </c>
      <c r="E203" s="135"/>
      <c r="F203" s="186">
        <f ca="1">IF($D$10="OFF",($C$203+MAX(F201/10000,$D$203))*AVERAGE(F151,F153),0)</f>
        <v>0</v>
      </c>
      <c r="G203" s="186">
        <f ca="1">IF($D$10="OFF",($C$203+MAX(G201/10000,$D$203))*AVERAGE(G151,G153),0)</f>
        <v>0</v>
      </c>
      <c r="H203" s="186">
        <f ca="1">IF($D$10="OFF",($C$203+MAX(H201/10000,$D$203))*AVERAGE(H151,H153),0)</f>
        <v>0</v>
      </c>
      <c r="I203" s="186">
        <f ca="1">IF($D$10="OFF",($C$203+MAX(I201/10000,$D$203))*AVERAGE(I151,I153),0)</f>
        <v>0</v>
      </c>
      <c r="J203" s="186">
        <f ca="1">IF($D$10="OFF",($C$203+MAX(J201/10000,$D$203))*AVERAGE(J151,J153),0)</f>
        <v>0</v>
      </c>
    </row>
    <row r="204" spans="2:13">
      <c r="B204" s="30" t="s">
        <v>85</v>
      </c>
      <c r="C204" s="180">
        <v>0.04</v>
      </c>
      <c r="D204" s="65">
        <v>0.01</v>
      </c>
      <c r="E204" s="135"/>
      <c r="F204" s="186">
        <f ca="1">IF($D$10="OFF",($C$204+MAX(F201/10000,$D$204))*AVERAGE(F158,F161),0)</f>
        <v>134.94275129020539</v>
      </c>
      <c r="G204" s="186">
        <f ca="1">IF($D$10="OFF",($C$204+MAX(G201/10000,$D$204))*AVERAGE(G158,G161),0)</f>
        <v>113.48030980589634</v>
      </c>
      <c r="H204" s="186">
        <f ca="1">IF($D$10="OFF",($C$204+MAX(H201/10000,$D$204))*AVERAGE(H158,H161),0)</f>
        <v>93.14139823059466</v>
      </c>
      <c r="I204" s="186">
        <f ca="1">IF($D$10="OFF",($C$204+MAX(I201/10000,$D$204))*AVERAGE(I158,I161),0)</f>
        <v>66.427525093700794</v>
      </c>
      <c r="J204" s="186">
        <f ca="1">IF($D$10="OFF",($C$204+MAX(J201/10000,$D$204))*AVERAGE(J158,J161),0)</f>
        <v>28.202384069481642</v>
      </c>
      <c r="M204" s="315"/>
    </row>
    <row r="205" spans="2:13">
      <c r="B205" s="30" t="s">
        <v>86</v>
      </c>
      <c r="C205" s="180">
        <v>0.04</v>
      </c>
      <c r="D205" s="65">
        <v>0</v>
      </c>
      <c r="E205" s="135"/>
      <c r="F205" s="186">
        <f ca="1">IF($D$10="OFF",($C$205+MAX(F201/10000,$D$205))*AVERAGE(F166,F169),0)</f>
        <v>29.373456075600011</v>
      </c>
      <c r="G205" s="186">
        <f ca="1">IF($D$10="OFF",($C$205+MAX(G201/10000,$D$205))*AVERAGE(G166,G169),0)</f>
        <v>29.96330269660001</v>
      </c>
      <c r="H205" s="186">
        <f ca="1">IF($D$10="OFF",($C$205+MAX(H201/10000,$D$205))*AVERAGE(H166,H169),0)</f>
        <v>31.393693331000012</v>
      </c>
      <c r="I205" s="186">
        <f ca="1">IF($D$10="OFF",($C$205+MAX(I201/10000,$D$205))*AVERAGE(I166,I169),0)</f>
        <v>32.34489438180001</v>
      </c>
      <c r="J205" s="186">
        <f ca="1">IF($D$10="OFF",($C$205+MAX(J201/10000,$D$205))*AVERAGE(J166,J169),0)</f>
        <v>32.299947297800017</v>
      </c>
    </row>
    <row r="206" spans="2:13">
      <c r="B206" s="30" t="s">
        <v>87</v>
      </c>
      <c r="C206" s="135"/>
      <c r="D206" s="135"/>
      <c r="E206" s="183">
        <v>8.1250000000000003E-2</v>
      </c>
      <c r="F206" s="82">
        <f>$E$206*AVERAGE(F174,F176)</f>
        <v>132.68084375000007</v>
      </c>
      <c r="G206" s="82">
        <f>$E$206*AVERAGE(G174,G176)</f>
        <v>132.68084375000007</v>
      </c>
      <c r="H206" s="82">
        <f>$E$206*AVERAGE(H174,H176)</f>
        <v>132.68084375000007</v>
      </c>
      <c r="I206" s="82">
        <f>$E$206*AVERAGE(I174,I176)</f>
        <v>132.68084375000007</v>
      </c>
      <c r="J206" s="82">
        <f>$E$206*AVERAGE(J174,J176)</f>
        <v>132.68084375000007</v>
      </c>
    </row>
    <row r="207" spans="2:13">
      <c r="B207" s="30" t="s">
        <v>145</v>
      </c>
      <c r="C207" s="135"/>
      <c r="D207" s="135"/>
      <c r="E207" s="312">
        <f>D182</f>
        <v>0</v>
      </c>
      <c r="F207" s="82">
        <f>$E$207*(F180-F181)</f>
        <v>0</v>
      </c>
      <c r="G207" s="82">
        <f>$E$207*(G180-G181)</f>
        <v>0</v>
      </c>
      <c r="H207" s="82">
        <f>$E$207*(H180-H181)</f>
        <v>0</v>
      </c>
      <c r="I207" s="82">
        <f>$E$207*(I180-I181)</f>
        <v>0</v>
      </c>
      <c r="J207" s="82">
        <f>$E$207*(J180-J181)</f>
        <v>0</v>
      </c>
    </row>
    <row r="208" spans="2:13">
      <c r="B208" s="30" t="s">
        <v>144</v>
      </c>
      <c r="C208" s="173"/>
      <c r="D208" s="135"/>
      <c r="E208" s="313">
        <f>C182</f>
        <v>0</v>
      </c>
      <c r="F208" s="82">
        <f>F182</f>
        <v>0</v>
      </c>
      <c r="G208" s="82">
        <f>G182</f>
        <v>0</v>
      </c>
      <c r="H208" s="82">
        <f>H182</f>
        <v>0</v>
      </c>
      <c r="I208" s="82">
        <f>I182</f>
        <v>0</v>
      </c>
      <c r="J208" s="82">
        <f>J182</f>
        <v>0</v>
      </c>
    </row>
    <row r="209" spans="2:10">
      <c r="B209" s="30"/>
      <c r="C209" s="28"/>
      <c r="D209" s="28"/>
      <c r="E209" s="24"/>
      <c r="F209" s="101"/>
      <c r="G209" s="101"/>
      <c r="H209" s="101"/>
      <c r="I209" s="101"/>
      <c r="J209" s="56"/>
    </row>
    <row r="210" spans="2:10">
      <c r="B210" s="13" t="s">
        <v>125</v>
      </c>
      <c r="C210" s="15"/>
      <c r="D210" s="15"/>
      <c r="E210" s="15"/>
      <c r="F210" s="15"/>
      <c r="G210" s="15"/>
      <c r="H210" s="15"/>
      <c r="I210" s="15"/>
      <c r="J210" s="15"/>
    </row>
    <row r="212" spans="2:10">
      <c r="F212" s="282">
        <f>J199</f>
        <v>43190</v>
      </c>
      <c r="G212" s="282"/>
      <c r="H212" s="282"/>
      <c r="I212" s="282"/>
      <c r="J212" s="282"/>
    </row>
    <row r="214" spans="2:10">
      <c r="B214" s="3" t="s">
        <v>135</v>
      </c>
      <c r="C214" s="24"/>
      <c r="D214" s="11"/>
      <c r="E214" s="77" t="s">
        <v>134</v>
      </c>
      <c r="F214" s="132">
        <f>D17-1</f>
        <v>6.3</v>
      </c>
      <c r="G214" s="113">
        <f>F214+$E$215</f>
        <v>6.8</v>
      </c>
      <c r="H214" s="113">
        <f t="shared" ref="H214:J214" si="78">G214+$E$215</f>
        <v>7.3</v>
      </c>
      <c r="I214" s="113">
        <f t="shared" si="78"/>
        <v>7.8</v>
      </c>
      <c r="J214" s="113">
        <f t="shared" si="78"/>
        <v>8.3000000000000007</v>
      </c>
    </row>
    <row r="215" spans="2:10">
      <c r="B215" s="4" t="s">
        <v>68</v>
      </c>
      <c r="E215" s="182">
        <v>0.5</v>
      </c>
      <c r="F215" s="82">
        <f>J60</f>
        <v>1226.8741190024368</v>
      </c>
      <c r="G215" s="82">
        <f>F215</f>
        <v>1226.8741190024368</v>
      </c>
      <c r="H215" s="82">
        <f t="shared" ref="H215:J215" si="79">G215</f>
        <v>1226.8741190024368</v>
      </c>
      <c r="I215" s="82">
        <f t="shared" si="79"/>
        <v>1226.8741190024368</v>
      </c>
      <c r="J215" s="82">
        <f t="shared" si="79"/>
        <v>1226.8741190024368</v>
      </c>
    </row>
    <row r="216" spans="2:10">
      <c r="B216" s="28" t="s">
        <v>55</v>
      </c>
      <c r="F216" s="170">
        <f>F214*F215</f>
        <v>7729.3069497153519</v>
      </c>
      <c r="G216" s="170">
        <f t="shared" ref="G216:J216" si="80">G214*G215</f>
        <v>8342.7440092165707</v>
      </c>
      <c r="H216" s="170">
        <f t="shared" si="80"/>
        <v>8956.1810687177895</v>
      </c>
      <c r="I216" s="170">
        <f t="shared" si="80"/>
        <v>9569.6181282190064</v>
      </c>
      <c r="J216" s="170">
        <f t="shared" si="80"/>
        <v>10183.055187720227</v>
      </c>
    </row>
    <row r="217" spans="2:10">
      <c r="B217" s="99" t="s">
        <v>117</v>
      </c>
      <c r="F217" s="40"/>
    </row>
    <row r="218" spans="2:10">
      <c r="B218" s="100" t="s">
        <v>28</v>
      </c>
      <c r="F218" s="82">
        <f ca="1">J153</f>
        <v>0</v>
      </c>
      <c r="G218" s="82">
        <f ca="1">F218</f>
        <v>0</v>
      </c>
      <c r="H218" s="82">
        <f t="shared" ref="H218:J218" ca="1" si="81">G218</f>
        <v>0</v>
      </c>
      <c r="I218" s="82">
        <f t="shared" ca="1" si="81"/>
        <v>0</v>
      </c>
      <c r="J218" s="82">
        <f t="shared" ca="1" si="81"/>
        <v>0</v>
      </c>
    </row>
    <row r="219" spans="2:10">
      <c r="B219" s="61" t="s">
        <v>85</v>
      </c>
      <c r="F219" s="82">
        <f ca="1">J161</f>
        <v>89.790839872079118</v>
      </c>
      <c r="G219" s="82">
        <f t="shared" ref="G219:J224" ca="1" si="82">F219</f>
        <v>89.790839872079118</v>
      </c>
      <c r="H219" s="82">
        <f t="shared" ca="1" si="82"/>
        <v>89.790839872079118</v>
      </c>
      <c r="I219" s="82">
        <f t="shared" ca="1" si="82"/>
        <v>89.790839872079118</v>
      </c>
      <c r="J219" s="82">
        <f t="shared" ca="1" si="82"/>
        <v>89.790839872079118</v>
      </c>
    </row>
    <row r="220" spans="2:10">
      <c r="B220" s="61" t="s">
        <v>86</v>
      </c>
      <c r="E220" s="135"/>
      <c r="F220" s="82">
        <f ca="1">J169</f>
        <v>503.13900000000024</v>
      </c>
      <c r="G220" s="82">
        <f t="shared" ca="1" si="82"/>
        <v>503.13900000000024</v>
      </c>
      <c r="H220" s="82">
        <f t="shared" ca="1" si="82"/>
        <v>503.13900000000024</v>
      </c>
      <c r="I220" s="82">
        <f t="shared" ca="1" si="82"/>
        <v>503.13900000000024</v>
      </c>
      <c r="J220" s="82">
        <f t="shared" ca="1" si="82"/>
        <v>503.13900000000024</v>
      </c>
    </row>
    <row r="221" spans="2:10">
      <c r="B221" s="61" t="s">
        <v>87</v>
      </c>
      <c r="E221" s="260"/>
      <c r="F221" s="82">
        <f>J176</f>
        <v>1632.9950000000006</v>
      </c>
      <c r="G221" s="82">
        <f t="shared" si="82"/>
        <v>1632.9950000000006</v>
      </c>
      <c r="H221" s="82">
        <f t="shared" si="82"/>
        <v>1632.9950000000006</v>
      </c>
      <c r="I221" s="82">
        <f t="shared" si="82"/>
        <v>1632.9950000000006</v>
      </c>
      <c r="J221" s="82">
        <f t="shared" si="82"/>
        <v>1632.9950000000006</v>
      </c>
    </row>
    <row r="222" spans="2:10">
      <c r="B222" s="61" t="s">
        <v>88</v>
      </c>
      <c r="E222" s="261"/>
      <c r="F222" s="82">
        <f>J183</f>
        <v>0</v>
      </c>
      <c r="G222" s="82">
        <f t="shared" si="82"/>
        <v>0</v>
      </c>
      <c r="H222" s="82">
        <f t="shared" si="82"/>
        <v>0</v>
      </c>
      <c r="I222" s="82">
        <f t="shared" si="82"/>
        <v>0</v>
      </c>
      <c r="J222" s="82">
        <f t="shared" si="82"/>
        <v>0</v>
      </c>
    </row>
    <row r="223" spans="2:10">
      <c r="B223" s="61" t="s">
        <v>133</v>
      </c>
      <c r="E223" s="261"/>
      <c r="F223" s="82">
        <f>J189</f>
        <v>0</v>
      </c>
      <c r="G223" s="82">
        <f t="shared" si="82"/>
        <v>0</v>
      </c>
      <c r="H223" s="82">
        <f t="shared" si="82"/>
        <v>0</v>
      </c>
      <c r="I223" s="82">
        <f t="shared" si="82"/>
        <v>0</v>
      </c>
      <c r="J223" s="82">
        <f t="shared" si="82"/>
        <v>0</v>
      </c>
    </row>
    <row r="224" spans="2:10">
      <c r="B224" s="66" t="s">
        <v>46</v>
      </c>
      <c r="F224" s="82">
        <f ca="1">-J140</f>
        <v>-180</v>
      </c>
      <c r="G224" s="82">
        <f t="shared" ca="1" si="82"/>
        <v>-180</v>
      </c>
      <c r="H224" s="82">
        <f t="shared" ca="1" si="82"/>
        <v>-180</v>
      </c>
      <c r="I224" s="82">
        <f t="shared" ca="1" si="82"/>
        <v>-180</v>
      </c>
      <c r="J224" s="82">
        <f t="shared" ca="1" si="82"/>
        <v>-180</v>
      </c>
    </row>
    <row r="225" spans="2:10">
      <c r="B225" s="53" t="s">
        <v>48</v>
      </c>
      <c r="C225" s="125" t="s">
        <v>245</v>
      </c>
      <c r="D225" s="126" t="s">
        <v>154</v>
      </c>
      <c r="E225" s="127" t="s">
        <v>200</v>
      </c>
      <c r="F225" s="170">
        <f ca="1">F216-SUM(F218:F224)</f>
        <v>5683.3821098432718</v>
      </c>
      <c r="G225" s="170">
        <f t="shared" ref="G225:J225" ca="1" si="83">G216-SUM(G218:G224)</f>
        <v>6296.8191693444905</v>
      </c>
      <c r="H225" s="170">
        <f t="shared" ca="1" si="83"/>
        <v>6910.2562288457093</v>
      </c>
      <c r="I225" s="170">
        <f t="shared" ca="1" si="83"/>
        <v>7523.6932883469262</v>
      </c>
      <c r="J225" s="170">
        <f t="shared" ca="1" si="83"/>
        <v>8137.1303478481468</v>
      </c>
    </row>
    <row r="226" spans="2:10">
      <c r="B226" s="30" t="s">
        <v>73</v>
      </c>
      <c r="C226" s="316">
        <f>D35</f>
        <v>1660.277939999999</v>
      </c>
      <c r="D226" s="124">
        <f>C226/SUM($C$226:$C$227)</f>
        <v>1</v>
      </c>
      <c r="E226" s="128">
        <f>(1-$E$229-$E$228)*(D226/SUM($D$226:$D$227))</f>
        <v>1</v>
      </c>
      <c r="F226" s="82">
        <f ca="1">F$225*$E226</f>
        <v>5683.3821098432718</v>
      </c>
      <c r="G226" s="82">
        <f t="shared" ref="G226:J229" ca="1" si="84">G$225*$E226</f>
        <v>6296.8191693444905</v>
      </c>
      <c r="H226" s="82">
        <f t="shared" ca="1" si="84"/>
        <v>6910.2562288457093</v>
      </c>
      <c r="I226" s="82">
        <f t="shared" ca="1" si="84"/>
        <v>7523.6932883469262</v>
      </c>
      <c r="J226" s="82">
        <f t="shared" ca="1" si="84"/>
        <v>8137.1303478481468</v>
      </c>
    </row>
    <row r="227" spans="2:10">
      <c r="B227" s="32" t="s">
        <v>140</v>
      </c>
      <c r="C227" s="316">
        <f>D34</f>
        <v>0</v>
      </c>
      <c r="D227" s="124">
        <f>1-D226</f>
        <v>0</v>
      </c>
      <c r="E227" s="128">
        <f>(1-$E$229-$E$228)*(D227/SUM($D$226:$D$227))</f>
        <v>0</v>
      </c>
      <c r="F227" s="82">
        <f t="shared" ref="F227:F229" ca="1" si="85">F$225*$E227</f>
        <v>0</v>
      </c>
      <c r="G227" s="82">
        <f t="shared" ca="1" si="84"/>
        <v>0</v>
      </c>
      <c r="H227" s="82">
        <f t="shared" ca="1" si="84"/>
        <v>0</v>
      </c>
      <c r="I227" s="82">
        <f t="shared" ca="1" si="84"/>
        <v>0</v>
      </c>
      <c r="J227" s="82">
        <f t="shared" ca="1" si="84"/>
        <v>0</v>
      </c>
    </row>
    <row r="228" spans="2:10">
      <c r="B228" s="32" t="s">
        <v>133</v>
      </c>
      <c r="C228" s="129"/>
      <c r="D228" s="124"/>
      <c r="E228" s="262">
        <v>0</v>
      </c>
      <c r="F228" s="82">
        <f t="shared" ca="1" si="85"/>
        <v>0</v>
      </c>
      <c r="G228" s="82">
        <f t="shared" ca="1" si="84"/>
        <v>0</v>
      </c>
      <c r="H228" s="82">
        <f t="shared" ca="1" si="84"/>
        <v>0</v>
      </c>
      <c r="I228" s="82">
        <f t="shared" ca="1" si="84"/>
        <v>0</v>
      </c>
      <c r="J228" s="82">
        <f t="shared" ca="1" si="84"/>
        <v>0</v>
      </c>
    </row>
    <row r="229" spans="2:10">
      <c r="B229" s="32" t="s">
        <v>139</v>
      </c>
      <c r="C229" s="130"/>
      <c r="D229" s="131"/>
      <c r="E229" s="263">
        <v>0</v>
      </c>
      <c r="F229" s="82">
        <f t="shared" ca="1" si="85"/>
        <v>0</v>
      </c>
      <c r="G229" s="82">
        <f t="shared" ca="1" si="84"/>
        <v>0</v>
      </c>
      <c r="H229" s="82">
        <f t="shared" ca="1" si="84"/>
        <v>0</v>
      </c>
      <c r="I229" s="82">
        <f t="shared" ca="1" si="84"/>
        <v>0</v>
      </c>
      <c r="J229" s="82">
        <f t="shared" ca="1" si="84"/>
        <v>0</v>
      </c>
    </row>
    <row r="230" spans="2:10">
      <c r="B230" s="53"/>
      <c r="C230" s="53"/>
      <c r="D230" s="53"/>
      <c r="E230" s="53"/>
      <c r="F230" s="55"/>
      <c r="G230" s="55"/>
      <c r="H230" s="55"/>
      <c r="I230" s="55"/>
      <c r="J230" s="11"/>
    </row>
    <row r="231" spans="2:10">
      <c r="B231" s="251" t="s">
        <v>111</v>
      </c>
      <c r="C231" s="53"/>
      <c r="D231" s="53"/>
      <c r="E231" s="53"/>
      <c r="F231" s="55"/>
      <c r="G231" s="55"/>
      <c r="H231" s="55"/>
      <c r="I231" s="55"/>
      <c r="J231" s="11"/>
    </row>
    <row r="232" spans="2:10">
      <c r="B232" s="11"/>
      <c r="C232" s="253" t="s">
        <v>149</v>
      </c>
      <c r="D232" s="253" t="s">
        <v>112</v>
      </c>
      <c r="E232" s="254" t="s">
        <v>128</v>
      </c>
      <c r="F232" s="255">
        <f>F39</f>
        <v>2014</v>
      </c>
      <c r="G232" s="255">
        <f>G39</f>
        <v>2015</v>
      </c>
      <c r="H232" s="255">
        <f>H39</f>
        <v>2016</v>
      </c>
      <c r="I232" s="255">
        <f>I39</f>
        <v>2017</v>
      </c>
      <c r="J232" s="255">
        <f>J39</f>
        <v>2018</v>
      </c>
    </row>
    <row r="233" spans="2:10">
      <c r="B233" s="4" t="s">
        <v>28</v>
      </c>
      <c r="C233" s="121" t="str">
        <f ca="1">IFERROR(SUM(F233:J233)/-E233, "NM")</f>
        <v>NM</v>
      </c>
      <c r="D233" s="110">
        <f ca="1">IFERROR(IRR(E233:J233),0)</f>
        <v>0</v>
      </c>
      <c r="E233" s="85">
        <f>-(D28)</f>
        <v>0</v>
      </c>
      <c r="F233" s="85">
        <f ca="1">-F152+F203</f>
        <v>0</v>
      </c>
      <c r="G233" s="85">
        <f ca="1">-G152+G203</f>
        <v>0</v>
      </c>
      <c r="H233" s="85">
        <f ca="1">-H152+H203</f>
        <v>0</v>
      </c>
      <c r="I233" s="85">
        <f ca="1">-I152+I203</f>
        <v>0</v>
      </c>
      <c r="J233" s="224">
        <f ca="1">-J152+J203+J153</f>
        <v>0</v>
      </c>
    </row>
    <row r="234" spans="2:10">
      <c r="B234" s="11" t="s">
        <v>85</v>
      </c>
      <c r="C234" s="121">
        <f ca="1">IFERROR(SUM(F234:J234)/-E234, "NM")</f>
        <v>1.151119036182729</v>
      </c>
      <c r="D234" s="110">
        <f ca="1">IFERROR(IRR(E234:J234),0)</f>
        <v>4.5092157283106449E-2</v>
      </c>
      <c r="E234" s="85">
        <f>-D29</f>
        <v>-2886.429000000001</v>
      </c>
      <c r="F234" s="85">
        <f ca="1">F159+F204+F160</f>
        <v>510.09069968199134</v>
      </c>
      <c r="G234" s="85">
        <f ca="1">G159+G204+G160</f>
        <v>596.83002078647269</v>
      </c>
      <c r="H234" s="85">
        <f ca="1">H159+H204+H160</f>
        <v>665.91076844310464</v>
      </c>
      <c r="I234" s="85">
        <f ca="1">I159+I204+I160</f>
        <v>703.47111639106083</v>
      </c>
      <c r="J234" s="224">
        <f ca="1">J159+J204+J160+J161</f>
        <v>846.32076318725035</v>
      </c>
    </row>
    <row r="235" spans="2:10">
      <c r="B235" s="11" t="s">
        <v>86</v>
      </c>
      <c r="C235" s="121">
        <f ca="1">IFERROR(SUM(F235:J235)/-E235, "NM")</f>
        <v>1.2316089000000003</v>
      </c>
      <c r="D235" s="110">
        <f ca="1">IFERROR(IRR(E235:J235),0)</f>
        <v>5.1050158059545714E-2</v>
      </c>
      <c r="E235" s="85">
        <f>-D30</f>
        <v>-670.8520000000002</v>
      </c>
      <c r="F235" s="85">
        <f ca="1">F167+F168+F205</f>
        <v>62.916056075600025</v>
      </c>
      <c r="G235" s="85">
        <f ca="1">G167+G168+G205</f>
        <v>63.505902696600025</v>
      </c>
      <c r="H235" s="85">
        <f ca="1">H167+H168+H205</f>
        <v>64.93629333100003</v>
      </c>
      <c r="I235" s="85">
        <f ca="1">I167+I168+I205</f>
        <v>65.887494381800025</v>
      </c>
      <c r="J235" s="224">
        <f ca="1">J167+J168+J205+J169</f>
        <v>568.98154729780026</v>
      </c>
    </row>
    <row r="236" spans="2:10">
      <c r="B236" s="11" t="s">
        <v>87</v>
      </c>
      <c r="C236" s="121">
        <f>IFERROR(SUM(F236:J236)/-E236, "NM")</f>
        <v>1.40625</v>
      </c>
      <c r="D236" s="110">
        <f>IFERROR(IRR(E236:J236),0)</f>
        <v>8.1249999999138733E-2</v>
      </c>
      <c r="E236" s="85">
        <f>-D31</f>
        <v>-1632.9950000000006</v>
      </c>
      <c r="F236" s="85">
        <f>F175+F206</f>
        <v>132.68084375000007</v>
      </c>
      <c r="G236" s="85">
        <f>G175+G206</f>
        <v>132.68084375000007</v>
      </c>
      <c r="H236" s="85">
        <f>H175+H206</f>
        <v>132.68084375000007</v>
      </c>
      <c r="I236" s="85">
        <f>I175+I206</f>
        <v>132.68084375000007</v>
      </c>
      <c r="J236" s="224">
        <f>J175+J206+J176</f>
        <v>1765.6758437500007</v>
      </c>
    </row>
    <row r="237" spans="2:10">
      <c r="B237" s="45" t="s">
        <v>150</v>
      </c>
      <c r="C237" s="114"/>
      <c r="D237" s="110"/>
      <c r="E237" s="26"/>
      <c r="F237" s="26"/>
      <c r="G237" s="26"/>
      <c r="H237" s="26"/>
      <c r="I237" s="26"/>
      <c r="J237" s="106"/>
    </row>
    <row r="238" spans="2:10">
      <c r="B238" s="122">
        <f>$F$214</f>
        <v>6.3</v>
      </c>
      <c r="C238" s="121" t="str">
        <f ca="1">IFERROR(SUM(F238:J238)/-E238, "NM")</f>
        <v>NM</v>
      </c>
      <c r="D238" s="110">
        <f ca="1">IFERROR(IRR(E238:J238),0)</f>
        <v>0</v>
      </c>
      <c r="E238" s="85">
        <f>-(D32)</f>
        <v>0</v>
      </c>
      <c r="F238" s="85">
        <f>F207+F181</f>
        <v>0</v>
      </c>
      <c r="G238" s="85">
        <f>G207+G181</f>
        <v>0</v>
      </c>
      <c r="H238" s="85">
        <f>H207+H181</f>
        <v>0</v>
      </c>
      <c r="I238" s="85">
        <f>I207+I181</f>
        <v>0</v>
      </c>
      <c r="J238" s="224">
        <f ca="1">J207+J181+J183+F229</f>
        <v>0</v>
      </c>
    </row>
    <row r="239" spans="2:10">
      <c r="B239" s="122">
        <f>$G$214</f>
        <v>6.8</v>
      </c>
      <c r="C239" s="121" t="str">
        <f t="shared" ref="C239:C242" ca="1" si="86">IFERROR(SUM(F239:J239)/-E239, "NM")</f>
        <v>NM</v>
      </c>
      <c r="D239" s="110">
        <f t="shared" ref="D239:D242" ca="1" si="87">IFERROR(IRR(E239:J239),0)</f>
        <v>0</v>
      </c>
      <c r="E239" s="85">
        <f>-(D32)</f>
        <v>0</v>
      </c>
      <c r="F239" s="85">
        <f>F207+F181</f>
        <v>0</v>
      </c>
      <c r="G239" s="85">
        <f>G207+G181</f>
        <v>0</v>
      </c>
      <c r="H239" s="85">
        <f>H207+H181</f>
        <v>0</v>
      </c>
      <c r="I239" s="85">
        <f>I207+I181</f>
        <v>0</v>
      </c>
      <c r="J239" s="224">
        <f ca="1">J207+J181+J183+G229</f>
        <v>0</v>
      </c>
    </row>
    <row r="240" spans="2:10">
      <c r="B240" s="122">
        <f>$H$214</f>
        <v>7.3</v>
      </c>
      <c r="C240" s="121" t="str">
        <f t="shared" ca="1" si="86"/>
        <v>NM</v>
      </c>
      <c r="D240" s="110">
        <f t="shared" ca="1" si="87"/>
        <v>0</v>
      </c>
      <c r="E240" s="85">
        <f>-(D32)</f>
        <v>0</v>
      </c>
      <c r="F240" s="85">
        <f>F207+F181</f>
        <v>0</v>
      </c>
      <c r="G240" s="85">
        <f>G207+G181</f>
        <v>0</v>
      </c>
      <c r="H240" s="85">
        <f>H207+H181</f>
        <v>0</v>
      </c>
      <c r="I240" s="85">
        <f>I207+I181</f>
        <v>0</v>
      </c>
      <c r="J240" s="224">
        <f ca="1">J207+J181+J183+H229</f>
        <v>0</v>
      </c>
    </row>
    <row r="241" spans="2:10">
      <c r="B241" s="122">
        <f>$I$214</f>
        <v>7.8</v>
      </c>
      <c r="C241" s="121" t="str">
        <f t="shared" ca="1" si="86"/>
        <v>NM</v>
      </c>
      <c r="D241" s="110">
        <f t="shared" ca="1" si="87"/>
        <v>0</v>
      </c>
      <c r="E241" s="85">
        <f>-(D32)</f>
        <v>0</v>
      </c>
      <c r="F241" s="85">
        <f>F207+F181</f>
        <v>0</v>
      </c>
      <c r="G241" s="85">
        <f>G207+G181</f>
        <v>0</v>
      </c>
      <c r="H241" s="85">
        <f>H207+H181</f>
        <v>0</v>
      </c>
      <c r="I241" s="85">
        <f>I207+I181</f>
        <v>0</v>
      </c>
      <c r="J241" s="224">
        <f ca="1">J207+J181+J183+I229</f>
        <v>0</v>
      </c>
    </row>
    <row r="242" spans="2:10">
      <c r="B242" s="122">
        <f>$J$214</f>
        <v>8.3000000000000007</v>
      </c>
      <c r="C242" s="121" t="str">
        <f t="shared" ca="1" si="86"/>
        <v>NM</v>
      </c>
      <c r="D242" s="110">
        <f t="shared" ca="1" si="87"/>
        <v>0</v>
      </c>
      <c r="E242" s="85">
        <f>-(D32)</f>
        <v>0</v>
      </c>
      <c r="F242" s="85">
        <f>F207+F181</f>
        <v>0</v>
      </c>
      <c r="G242" s="85">
        <f>G207+G181</f>
        <v>0</v>
      </c>
      <c r="H242" s="85">
        <f>H207+H181</f>
        <v>0</v>
      </c>
      <c r="I242" s="85">
        <f>I207+I181</f>
        <v>0</v>
      </c>
      <c r="J242" s="224">
        <f ca="1">J207+J181+J183+J229</f>
        <v>0</v>
      </c>
    </row>
    <row r="243" spans="2:10">
      <c r="B243" s="45" t="s">
        <v>151</v>
      </c>
      <c r="C243" s="114"/>
      <c r="D243" s="110"/>
      <c r="E243" s="26"/>
      <c r="F243" s="26"/>
      <c r="G243" s="26"/>
      <c r="H243" s="26"/>
      <c r="I243" s="26"/>
      <c r="J243" s="106"/>
    </row>
    <row r="244" spans="2:10">
      <c r="B244" s="122">
        <f>$F$214</f>
        <v>6.3</v>
      </c>
      <c r="C244" s="121" t="str">
        <f ca="1">IFERROR(SUM(F244:J244)/-E244, "NM")</f>
        <v>NM</v>
      </c>
      <c r="D244" s="110">
        <f ca="1">IFERROR(IRR(E244:J244),0)</f>
        <v>0</v>
      </c>
      <c r="E244" s="85">
        <f>-D33</f>
        <v>0</v>
      </c>
      <c r="F244" s="165">
        <f>F190</f>
        <v>0</v>
      </c>
      <c r="G244" s="165">
        <f>G190</f>
        <v>0</v>
      </c>
      <c r="H244" s="165">
        <f>H190</f>
        <v>0</v>
      </c>
      <c r="I244" s="165">
        <f>I190</f>
        <v>0</v>
      </c>
      <c r="J244" s="224">
        <f ca="1">J189+J190+F228</f>
        <v>0</v>
      </c>
    </row>
    <row r="245" spans="2:10">
      <c r="B245" s="122">
        <f>$G$214</f>
        <v>6.8</v>
      </c>
      <c r="C245" s="121" t="str">
        <f ca="1">IFERROR(SUM(F245:J245)/-E245, "NM")</f>
        <v>NM</v>
      </c>
      <c r="D245" s="110">
        <f ca="1">IFERROR(IRR(E245:J245),0)</f>
        <v>0</v>
      </c>
      <c r="E245" s="85">
        <f>E244</f>
        <v>0</v>
      </c>
      <c r="F245" s="85">
        <f t="shared" ref="F245:I248" si="88">F244</f>
        <v>0</v>
      </c>
      <c r="G245" s="85">
        <f t="shared" si="88"/>
        <v>0</v>
      </c>
      <c r="H245" s="85">
        <f t="shared" si="88"/>
        <v>0</v>
      </c>
      <c r="I245" s="85">
        <f t="shared" si="88"/>
        <v>0</v>
      </c>
      <c r="J245" s="224">
        <f ca="1">J189+J190+G228</f>
        <v>0</v>
      </c>
    </row>
    <row r="246" spans="2:10">
      <c r="B246" s="122">
        <f>$H$214</f>
        <v>7.3</v>
      </c>
      <c r="C246" s="121" t="str">
        <f ca="1">IFERROR(SUM(F246:J246)/-E246, "NM")</f>
        <v>NM</v>
      </c>
      <c r="D246" s="110">
        <f ca="1">IFERROR(IRR(E246:J246),0)</f>
        <v>0</v>
      </c>
      <c r="E246" s="85">
        <f t="shared" ref="E246:E248" si="89">E245</f>
        <v>0</v>
      </c>
      <c r="F246" s="85">
        <f t="shared" si="88"/>
        <v>0</v>
      </c>
      <c r="G246" s="85">
        <f t="shared" si="88"/>
        <v>0</v>
      </c>
      <c r="H246" s="85">
        <f t="shared" si="88"/>
        <v>0</v>
      </c>
      <c r="I246" s="85">
        <f t="shared" si="88"/>
        <v>0</v>
      </c>
      <c r="J246" s="224">
        <f ca="1">J189+J190+H228</f>
        <v>0</v>
      </c>
    </row>
    <row r="247" spans="2:10">
      <c r="B247" s="122">
        <f>$I$214</f>
        <v>7.8</v>
      </c>
      <c r="C247" s="121" t="str">
        <f ca="1">IFERROR(SUM(F247:J247)/-E247, "NM")</f>
        <v>NM</v>
      </c>
      <c r="D247" s="110">
        <f ca="1">IFERROR(IRR(E247:J247),0)</f>
        <v>0</v>
      </c>
      <c r="E247" s="85">
        <f t="shared" si="89"/>
        <v>0</v>
      </c>
      <c r="F247" s="85">
        <f t="shared" si="88"/>
        <v>0</v>
      </c>
      <c r="G247" s="85">
        <f t="shared" si="88"/>
        <v>0</v>
      </c>
      <c r="H247" s="85">
        <f t="shared" si="88"/>
        <v>0</v>
      </c>
      <c r="I247" s="85">
        <f t="shared" si="88"/>
        <v>0</v>
      </c>
      <c r="J247" s="224">
        <f ca="1">J189+J190+I228</f>
        <v>0</v>
      </c>
    </row>
    <row r="248" spans="2:10">
      <c r="B248" s="122">
        <f>$J$214</f>
        <v>8.3000000000000007</v>
      </c>
      <c r="C248" s="121" t="str">
        <f ca="1">IFERROR(SUM(F248:J248)/-E248, "NM")</f>
        <v>NM</v>
      </c>
      <c r="D248" s="110">
        <f ca="1">IFERROR(IRR(E248:J248),0)</f>
        <v>0</v>
      </c>
      <c r="E248" s="85">
        <f t="shared" si="89"/>
        <v>0</v>
      </c>
      <c r="F248" s="85">
        <f t="shared" si="88"/>
        <v>0</v>
      </c>
      <c r="G248" s="85">
        <f t="shared" si="88"/>
        <v>0</v>
      </c>
      <c r="H248" s="85">
        <f t="shared" si="88"/>
        <v>0</v>
      </c>
      <c r="I248" s="85">
        <f t="shared" si="88"/>
        <v>0</v>
      </c>
      <c r="J248" s="224">
        <f ca="1">J189+J190+J228</f>
        <v>0</v>
      </c>
    </row>
    <row r="249" spans="2:10">
      <c r="B249" s="45" t="s">
        <v>152</v>
      </c>
      <c r="C249" s="115"/>
      <c r="D249" s="110"/>
      <c r="E249" s="26"/>
      <c r="F249" s="26"/>
      <c r="G249" s="26"/>
      <c r="H249" s="26"/>
      <c r="I249" s="26"/>
      <c r="J249" s="106"/>
    </row>
    <row r="250" spans="2:10">
      <c r="B250" s="122">
        <f>$F$214</f>
        <v>6.3</v>
      </c>
      <c r="C250" s="121" t="str">
        <f ca="1">IFERROR(SUM(F250:J250)/-E250, "NM")</f>
        <v>NM</v>
      </c>
      <c r="D250" s="110">
        <f ca="1">IFERROR(IRR(E250:J250),0)</f>
        <v>0</v>
      </c>
      <c r="E250" s="85">
        <f>-(D34)</f>
        <v>0</v>
      </c>
      <c r="F250" s="196">
        <v>0</v>
      </c>
      <c r="G250" s="196">
        <v>0</v>
      </c>
      <c r="H250" s="196">
        <v>0</v>
      </c>
      <c r="I250" s="196">
        <v>0</v>
      </c>
      <c r="J250" s="188">
        <f ca="1">F227</f>
        <v>0</v>
      </c>
    </row>
    <row r="251" spans="2:10">
      <c r="B251" s="122">
        <f>$G$214</f>
        <v>6.8</v>
      </c>
      <c r="C251" s="121" t="str">
        <f ca="1">IFERROR(SUM(F251:J251)/-E251, "NM")</f>
        <v>NM</v>
      </c>
      <c r="D251" s="110">
        <f ca="1">IFERROR(IRR(E251:J251),0)</f>
        <v>0</v>
      </c>
      <c r="E251" s="85">
        <f>E250</f>
        <v>0</v>
      </c>
      <c r="F251" s="85">
        <f t="shared" ref="F251:I254" si="90">F250</f>
        <v>0</v>
      </c>
      <c r="G251" s="85">
        <f t="shared" si="90"/>
        <v>0</v>
      </c>
      <c r="H251" s="85">
        <f t="shared" si="90"/>
        <v>0</v>
      </c>
      <c r="I251" s="85">
        <f t="shared" si="90"/>
        <v>0</v>
      </c>
      <c r="J251" s="188">
        <f ca="1">G227</f>
        <v>0</v>
      </c>
    </row>
    <row r="252" spans="2:10">
      <c r="B252" s="122">
        <f>$H$214</f>
        <v>7.3</v>
      </c>
      <c r="C252" s="121" t="str">
        <f ca="1">IFERROR(SUM(F252:J252)/-E252, "NM")</f>
        <v>NM</v>
      </c>
      <c r="D252" s="110">
        <f ca="1">IFERROR(IRR(E252:J252),0)</f>
        <v>0</v>
      </c>
      <c r="E252" s="85">
        <f t="shared" ref="E252:E254" si="91">E251</f>
        <v>0</v>
      </c>
      <c r="F252" s="85">
        <f t="shared" si="90"/>
        <v>0</v>
      </c>
      <c r="G252" s="85">
        <f t="shared" si="90"/>
        <v>0</v>
      </c>
      <c r="H252" s="85">
        <f t="shared" si="90"/>
        <v>0</v>
      </c>
      <c r="I252" s="85">
        <f t="shared" si="90"/>
        <v>0</v>
      </c>
      <c r="J252" s="188">
        <f ca="1">H227</f>
        <v>0</v>
      </c>
    </row>
    <row r="253" spans="2:10">
      <c r="B253" s="122">
        <f>$I$214</f>
        <v>7.8</v>
      </c>
      <c r="C253" s="121" t="str">
        <f ca="1">IFERROR(SUM(F253:J253)/-E253, "NM")</f>
        <v>NM</v>
      </c>
      <c r="D253" s="110">
        <f ca="1">IFERROR(IRR(E253:J253),0)</f>
        <v>0</v>
      </c>
      <c r="E253" s="85">
        <f t="shared" si="91"/>
        <v>0</v>
      </c>
      <c r="F253" s="85">
        <f t="shared" si="90"/>
        <v>0</v>
      </c>
      <c r="G253" s="85">
        <f t="shared" si="90"/>
        <v>0</v>
      </c>
      <c r="H253" s="85">
        <f t="shared" si="90"/>
        <v>0</v>
      </c>
      <c r="I253" s="85">
        <f t="shared" si="90"/>
        <v>0</v>
      </c>
      <c r="J253" s="188">
        <f ca="1">I227</f>
        <v>0</v>
      </c>
    </row>
    <row r="254" spans="2:10">
      <c r="B254" s="122">
        <f>$J$214</f>
        <v>8.3000000000000007</v>
      </c>
      <c r="C254" s="121" t="str">
        <f ca="1">IFERROR(SUM(F254:J254)/-E254, "NM")</f>
        <v>NM</v>
      </c>
      <c r="D254" s="110">
        <f ca="1">IFERROR(IRR(E254:J254),0)</f>
        <v>0</v>
      </c>
      <c r="E254" s="85">
        <f t="shared" si="91"/>
        <v>0</v>
      </c>
      <c r="F254" s="85">
        <f t="shared" si="90"/>
        <v>0</v>
      </c>
      <c r="G254" s="85">
        <f t="shared" si="90"/>
        <v>0</v>
      </c>
      <c r="H254" s="85">
        <f t="shared" si="90"/>
        <v>0</v>
      </c>
      <c r="I254" s="85">
        <f t="shared" si="90"/>
        <v>0</v>
      </c>
      <c r="J254" s="188">
        <f ca="1">J227</f>
        <v>0</v>
      </c>
    </row>
    <row r="255" spans="2:10">
      <c r="B255" s="45" t="s">
        <v>153</v>
      </c>
      <c r="C255" s="109"/>
      <c r="D255" s="111"/>
      <c r="E255" s="26"/>
      <c r="F255" s="27"/>
      <c r="G255" s="27"/>
      <c r="H255" s="27"/>
      <c r="I255" s="27"/>
      <c r="J255" s="112"/>
    </row>
    <row r="256" spans="2:10">
      <c r="B256" s="122">
        <f>$F$214</f>
        <v>6.3</v>
      </c>
      <c r="C256" s="121">
        <f ca="1">IFERROR(SUM(F256:J256)/-E256, "NM")</f>
        <v>3.4231510115970551</v>
      </c>
      <c r="D256" s="110">
        <f ca="1">IRR(E256:J256)</f>
        <v>0.27904319571221525</v>
      </c>
      <c r="E256" s="85">
        <f>-D35</f>
        <v>-1660.277939999999</v>
      </c>
      <c r="F256" s="196">
        <v>0</v>
      </c>
      <c r="G256" s="196">
        <v>0</v>
      </c>
      <c r="H256" s="196">
        <v>0</v>
      </c>
      <c r="I256" s="196">
        <v>0</v>
      </c>
      <c r="J256" s="188">
        <f ca="1">F226</f>
        <v>5683.3821098432718</v>
      </c>
    </row>
    <row r="257" spans="2:11">
      <c r="B257" s="122">
        <f>$G$214</f>
        <v>6.8</v>
      </c>
      <c r="C257" s="121">
        <f ca="1">IFERROR(SUM(F257:J257)/-E257, "NM")</f>
        <v>3.7926295457159989</v>
      </c>
      <c r="D257" s="110">
        <f ca="1">IRR(E257:J257)</f>
        <v>0.30553369387913909</v>
      </c>
      <c r="E257" s="85">
        <f>E256</f>
        <v>-1660.277939999999</v>
      </c>
      <c r="F257" s="85">
        <f t="shared" ref="F257:I260" si="92">F256</f>
        <v>0</v>
      </c>
      <c r="G257" s="85">
        <f t="shared" si="92"/>
        <v>0</v>
      </c>
      <c r="H257" s="85">
        <f t="shared" si="92"/>
        <v>0</v>
      </c>
      <c r="I257" s="85">
        <f t="shared" si="92"/>
        <v>0</v>
      </c>
      <c r="J257" s="188">
        <f ca="1">G226</f>
        <v>6296.8191693444905</v>
      </c>
    </row>
    <row r="258" spans="2:11">
      <c r="B258" s="122">
        <f>$H$214</f>
        <v>7.3</v>
      </c>
      <c r="C258" s="121">
        <f ca="1">IFERROR(SUM(F258:J258)/-E258, "NM")</f>
        <v>4.1621080798349421</v>
      </c>
      <c r="D258" s="110">
        <f ca="1">IRR(E258:J258)</f>
        <v>0.33003377836199954</v>
      </c>
      <c r="E258" s="85">
        <f t="shared" ref="E258:E260" si="93">E257</f>
        <v>-1660.277939999999</v>
      </c>
      <c r="F258" s="85">
        <f t="shared" si="92"/>
        <v>0</v>
      </c>
      <c r="G258" s="85">
        <f t="shared" si="92"/>
        <v>0</v>
      </c>
      <c r="H258" s="85">
        <f t="shared" si="92"/>
        <v>0</v>
      </c>
      <c r="I258" s="85">
        <f t="shared" si="92"/>
        <v>0</v>
      </c>
      <c r="J258" s="188">
        <f ca="1">H226</f>
        <v>6910.2562288457093</v>
      </c>
    </row>
    <row r="259" spans="2:11">
      <c r="B259" s="122">
        <f>$I$214</f>
        <v>7.8</v>
      </c>
      <c r="C259" s="121">
        <f ca="1">IFERROR(SUM(F259:J259)/-E259, "NM")</f>
        <v>4.5315866139538841</v>
      </c>
      <c r="D259" s="110">
        <f ca="1">IRR(E259:J259)</f>
        <v>0.35285128049765713</v>
      </c>
      <c r="E259" s="85">
        <f t="shared" si="93"/>
        <v>-1660.277939999999</v>
      </c>
      <c r="F259" s="85">
        <f t="shared" si="92"/>
        <v>0</v>
      </c>
      <c r="G259" s="85">
        <f t="shared" si="92"/>
        <v>0</v>
      </c>
      <c r="H259" s="85">
        <f t="shared" si="92"/>
        <v>0</v>
      </c>
      <c r="I259" s="85">
        <f t="shared" si="92"/>
        <v>0</v>
      </c>
      <c r="J259" s="188">
        <f ca="1">I226</f>
        <v>7523.6932883469262</v>
      </c>
    </row>
    <row r="260" spans="2:11">
      <c r="B260" s="122">
        <f>$J$214</f>
        <v>8.3000000000000007</v>
      </c>
      <c r="C260" s="121">
        <f ca="1">IFERROR(SUM(F260:J260)/-E260, "NM")</f>
        <v>4.9010651480728287</v>
      </c>
      <c r="D260" s="110">
        <f ca="1">IRR(E260:J260)</f>
        <v>0.37422579138623435</v>
      </c>
      <c r="E260" s="85">
        <f t="shared" si="93"/>
        <v>-1660.277939999999</v>
      </c>
      <c r="F260" s="85">
        <f t="shared" si="92"/>
        <v>0</v>
      </c>
      <c r="G260" s="85">
        <f t="shared" si="92"/>
        <v>0</v>
      </c>
      <c r="H260" s="85">
        <f t="shared" si="92"/>
        <v>0</v>
      </c>
      <c r="I260" s="85">
        <f t="shared" si="92"/>
        <v>0</v>
      </c>
      <c r="J260" s="188">
        <f ca="1">J226</f>
        <v>8137.1303478481468</v>
      </c>
    </row>
    <row r="262" spans="2:11">
      <c r="B262" s="256" t="str">
        <f>"SUMMARY AT "&amp;TEXT(H214,"0.0x")&amp;" EXIT EBITDA MULTIPLE"</f>
        <v>SUMMARY AT 7.3x EXIT EBITDA MULTIPLE</v>
      </c>
      <c r="C262" s="15"/>
      <c r="D262" s="15"/>
      <c r="E262" s="15"/>
      <c r="F262" s="11"/>
      <c r="G262" s="11"/>
      <c r="H262" s="11"/>
      <c r="I262" s="11"/>
      <c r="J262" s="11"/>
    </row>
    <row r="263" spans="2:11">
      <c r="B263" s="51"/>
      <c r="C263" s="11"/>
      <c r="D263" s="11"/>
      <c r="E263" s="11"/>
      <c r="F263" s="253" t="s">
        <v>136</v>
      </c>
      <c r="G263" s="253" t="s">
        <v>137</v>
      </c>
      <c r="H263" s="253" t="s">
        <v>155</v>
      </c>
      <c r="I263" s="253" t="s">
        <v>149</v>
      </c>
      <c r="J263" s="253" t="s">
        <v>138</v>
      </c>
    </row>
    <row r="264" spans="2:11">
      <c r="B264" s="8" t="str">
        <f t="shared" ref="B264:B271" si="94">B28</f>
        <v>Revolver</v>
      </c>
      <c r="F264" s="204">
        <f t="shared" ref="F264:F271" si="95">D28</f>
        <v>0</v>
      </c>
      <c r="G264" s="118">
        <f t="shared" ref="G264:G272" si="96">F264/SUM($F$264:$F$271)</f>
        <v>0</v>
      </c>
      <c r="H264" s="117"/>
      <c r="I264" s="123" t="str">
        <f t="shared" ref="I264:J267" ca="1" si="97">C233</f>
        <v>NM</v>
      </c>
      <c r="J264" s="318">
        <f t="shared" ca="1" si="97"/>
        <v>0</v>
      </c>
    </row>
    <row r="265" spans="2:11">
      <c r="B265" s="8" t="str">
        <f t="shared" si="94"/>
        <v>Term Loan A</v>
      </c>
      <c r="F265" s="204">
        <f t="shared" si="95"/>
        <v>2886.429000000001</v>
      </c>
      <c r="G265" s="118">
        <f t="shared" si="96"/>
        <v>0.42134242358801144</v>
      </c>
      <c r="H265" s="117"/>
      <c r="I265" s="123">
        <f t="shared" ca="1" si="97"/>
        <v>1.151119036182729</v>
      </c>
      <c r="J265" s="318">
        <f t="shared" ca="1" si="97"/>
        <v>4.5092157283106449E-2</v>
      </c>
    </row>
    <row r="266" spans="2:11">
      <c r="B266" s="8" t="str">
        <f t="shared" si="94"/>
        <v>Term Loan B</v>
      </c>
      <c r="F266" s="204">
        <f t="shared" si="95"/>
        <v>670.8520000000002</v>
      </c>
      <c r="G266" s="118">
        <f t="shared" si="96"/>
        <v>9.7926679488345159E-2</v>
      </c>
      <c r="H266" s="117"/>
      <c r="I266" s="123">
        <f t="shared" ca="1" si="97"/>
        <v>1.2316089000000003</v>
      </c>
      <c r="J266" s="318">
        <f t="shared" ca="1" si="97"/>
        <v>5.1050158059545714E-2</v>
      </c>
    </row>
    <row r="267" spans="2:11">
      <c r="B267" s="8" t="str">
        <f t="shared" si="94"/>
        <v>Senior Note</v>
      </c>
      <c r="F267" s="204">
        <f t="shared" si="95"/>
        <v>1632.9950000000006</v>
      </c>
      <c r="G267" s="118">
        <f t="shared" si="96"/>
        <v>0.2383741540176823</v>
      </c>
      <c r="H267" s="117"/>
      <c r="I267" s="123">
        <f t="shared" si="97"/>
        <v>1.40625</v>
      </c>
      <c r="J267" s="318">
        <f t="shared" si="97"/>
        <v>8.1249999999138733E-2</v>
      </c>
    </row>
    <row r="268" spans="2:11">
      <c r="B268" s="8" t="str">
        <f t="shared" si="94"/>
        <v>Sub Note</v>
      </c>
      <c r="F268" s="204">
        <f t="shared" si="95"/>
        <v>0</v>
      </c>
      <c r="G268" s="118">
        <f t="shared" si="96"/>
        <v>0</v>
      </c>
      <c r="H268" s="118">
        <f>E229</f>
        <v>0</v>
      </c>
      <c r="I268" s="123" t="str">
        <f ca="1">C240</f>
        <v>NM</v>
      </c>
      <c r="J268" s="318">
        <f ca="1">D240</f>
        <v>0</v>
      </c>
      <c r="K268" s="40"/>
    </row>
    <row r="269" spans="2:11">
      <c r="B269" s="8" t="str">
        <f t="shared" si="94"/>
        <v>Preferred stock</v>
      </c>
      <c r="F269" s="204">
        <f t="shared" si="95"/>
        <v>0</v>
      </c>
      <c r="G269" s="118">
        <f t="shared" si="96"/>
        <v>0</v>
      </c>
      <c r="H269" s="118">
        <f>E228</f>
        <v>0</v>
      </c>
      <c r="I269" s="123" t="str">
        <f ca="1">C246</f>
        <v>NM</v>
      </c>
      <c r="J269" s="318">
        <f ca="1">D246</f>
        <v>0</v>
      </c>
    </row>
    <row r="270" spans="2:11">
      <c r="B270" s="8" t="str">
        <f t="shared" si="94"/>
        <v>Mgmt rollover</v>
      </c>
      <c r="F270" s="204">
        <f t="shared" si="95"/>
        <v>0</v>
      </c>
      <c r="G270" s="118">
        <f t="shared" si="96"/>
        <v>0</v>
      </c>
      <c r="H270" s="118">
        <f>E227</f>
        <v>0</v>
      </c>
      <c r="I270" s="123" t="str">
        <f ca="1">C252</f>
        <v>NM</v>
      </c>
      <c r="J270" s="318">
        <f ca="1">D252</f>
        <v>0</v>
      </c>
    </row>
    <row r="271" spans="2:11">
      <c r="B271" s="8" t="str">
        <f t="shared" si="94"/>
        <v>Sponsor equity</v>
      </c>
      <c r="F271" s="204">
        <f t="shared" si="95"/>
        <v>1660.277939999999</v>
      </c>
      <c r="G271" s="118">
        <f t="shared" si="96"/>
        <v>0.2423567429059611</v>
      </c>
      <c r="H271" s="118">
        <f>E226</f>
        <v>1</v>
      </c>
      <c r="I271" s="123">
        <f ca="1">C258</f>
        <v>4.1621080798349421</v>
      </c>
      <c r="J271" s="318">
        <f ca="1">D258</f>
        <v>0.33003377836199954</v>
      </c>
    </row>
    <row r="272" spans="2:11">
      <c r="B272" s="35" t="s">
        <v>27</v>
      </c>
      <c r="F272" s="225">
        <f>SUM(F264:F271)</f>
        <v>6850.5539400000007</v>
      </c>
      <c r="G272" s="120">
        <f t="shared" si="96"/>
        <v>1</v>
      </c>
      <c r="H272" s="120">
        <f>SUM(H264:H271)</f>
        <v>1</v>
      </c>
    </row>
    <row r="273" spans="2:14">
      <c r="B273" s="35"/>
      <c r="E273" s="119"/>
      <c r="G273" s="120"/>
      <c r="H273" s="120"/>
    </row>
    <row r="274" spans="2:14">
      <c r="B274" s="13" t="s">
        <v>247</v>
      </c>
      <c r="C274" s="15"/>
      <c r="D274" s="151"/>
      <c r="E274" s="259"/>
      <c r="F274" s="151"/>
      <c r="G274" s="151"/>
      <c r="H274" s="151"/>
      <c r="I274" s="15"/>
      <c r="J274" s="15"/>
      <c r="K274" s="11"/>
    </row>
    <row r="275" spans="2:14">
      <c r="B275" s="153"/>
      <c r="C275" s="152"/>
      <c r="D275" s="152"/>
      <c r="E275" s="257"/>
      <c r="F275" s="152"/>
      <c r="G275" s="152"/>
      <c r="H275" s="152"/>
      <c r="I275" s="11"/>
      <c r="J275" s="11"/>
      <c r="K275" s="11"/>
    </row>
    <row r="276" spans="2:14">
      <c r="B276" s="44"/>
      <c r="C276" s="289" t="s">
        <v>246</v>
      </c>
      <c r="E276" s="291" t="s">
        <v>233</v>
      </c>
      <c r="F276" s="292"/>
      <c r="G276" s="292"/>
      <c r="H276" s="292"/>
      <c r="I276" s="292"/>
      <c r="J276" s="293"/>
      <c r="K276" s="11"/>
    </row>
    <row r="277" spans="2:14">
      <c r="B277" s="8" t="s">
        <v>231</v>
      </c>
      <c r="C277" s="283">
        <f ca="1">J271</f>
        <v>0.33003377836199954</v>
      </c>
      <c r="E277" s="294">
        <v>0.15</v>
      </c>
      <c r="F277" s="295">
        <f>E277+0.05</f>
        <v>0.2</v>
      </c>
      <c r="G277" s="295">
        <f t="shared" ref="G277:J277" si="98">F277+0.05</f>
        <v>0.25</v>
      </c>
      <c r="H277" s="295">
        <f t="shared" si="98"/>
        <v>0.3</v>
      </c>
      <c r="I277" s="295">
        <f t="shared" si="98"/>
        <v>0.35</v>
      </c>
      <c r="J277" s="296">
        <f t="shared" si="98"/>
        <v>0.39999999999999997</v>
      </c>
      <c r="K277" s="11"/>
    </row>
    <row r="278" spans="2:14">
      <c r="B278" s="8" t="s">
        <v>69</v>
      </c>
      <c r="C278" s="281">
        <f>H17</f>
        <v>6741.9262500000004</v>
      </c>
      <c r="E278" s="276">
        <f t="shared" ref="E278:J278" ca="1" si="99">-PV(E277,5,0,$H$226)+SUM($D$27:$D$34)-$D$21-$D$22</f>
        <v>8517.2669419321846</v>
      </c>
      <c r="F278" s="55">
        <f t="shared" ca="1" si="99"/>
        <v>7858.7253052601418</v>
      </c>
      <c r="G278" s="55">
        <f t="shared" ca="1" si="99"/>
        <v>7346.0010710681645</v>
      </c>
      <c r="H278" s="55">
        <f t="shared" ca="1" si="99"/>
        <v>6942.7812235873052</v>
      </c>
      <c r="I278" s="55">
        <f t="shared" ca="1" si="99"/>
        <v>6622.7287513399779</v>
      </c>
      <c r="J278" s="297">
        <f t="shared" ca="1" si="99"/>
        <v>6366.5028774506391</v>
      </c>
      <c r="K278" s="11"/>
    </row>
    <row r="279" spans="2:14">
      <c r="B279" s="8" t="str">
        <f>F18</f>
        <v>Diluted shares outstanding</v>
      </c>
      <c r="C279" s="284">
        <f>H18</f>
        <v>145.77137837837839</v>
      </c>
      <c r="E279" s="273">
        <f>$C$279</f>
        <v>145.77137837837839</v>
      </c>
      <c r="F279" s="26">
        <f t="shared" ref="F279:J279" si="100">$C$279</f>
        <v>145.77137837837839</v>
      </c>
      <c r="G279" s="26">
        <f t="shared" si="100"/>
        <v>145.77137837837839</v>
      </c>
      <c r="H279" s="26">
        <f t="shared" si="100"/>
        <v>145.77137837837839</v>
      </c>
      <c r="I279" s="26">
        <f t="shared" si="100"/>
        <v>145.77137837837839</v>
      </c>
      <c r="J279" s="298">
        <f t="shared" si="100"/>
        <v>145.77137837837839</v>
      </c>
      <c r="K279" s="11"/>
    </row>
    <row r="280" spans="2:14">
      <c r="B280" s="8" t="str">
        <f>F20</f>
        <v>Offer value / per share</v>
      </c>
      <c r="C280" s="285">
        <f>C278/C279</f>
        <v>46.25</v>
      </c>
      <c r="E280" s="274">
        <f ca="1">E278/E279</f>
        <v>58.42893877166982</v>
      </c>
      <c r="F280" s="80">
        <f t="shared" ref="F280:J280" ca="1" si="101">F278/F279</f>
        <v>53.911305447501974</v>
      </c>
      <c r="G280" s="80">
        <f t="shared" ca="1" si="101"/>
        <v>50.393987851306235</v>
      </c>
      <c r="H280" s="80">
        <f t="shared" ca="1" si="101"/>
        <v>47.627876616258277</v>
      </c>
      <c r="I280" s="80">
        <f t="shared" ca="1" si="101"/>
        <v>45.43229833602436</v>
      </c>
      <c r="J280" s="248">
        <f t="shared" ca="1" si="101"/>
        <v>43.674574174123016</v>
      </c>
      <c r="K280" s="11"/>
    </row>
    <row r="281" spans="2:14">
      <c r="B281" s="67" t="str">
        <f>F21</f>
        <v>% Premium / discount</v>
      </c>
      <c r="C281" s="286">
        <f>C280/$D$8-1</f>
        <v>1.8273888154997753E-2</v>
      </c>
      <c r="E281" s="275">
        <f ca="1">E280/$D$8-1</f>
        <v>0.28641432786591414</v>
      </c>
      <c r="F281" s="278">
        <f t="shared" ref="F281:J281" ca="1" si="102">F280/$D$8-1</f>
        <v>0.18695080245490914</v>
      </c>
      <c r="G281" s="278">
        <f t="shared" ca="1" si="102"/>
        <v>0.10951096105914204</v>
      </c>
      <c r="H281" s="278">
        <f t="shared" ca="1" si="102"/>
        <v>4.8610229331974342E-2</v>
      </c>
      <c r="I281" s="278">
        <f t="shared" ca="1" si="102"/>
        <v>2.7076917711044146E-4</v>
      </c>
      <c r="J281" s="299">
        <f t="shared" ca="1" si="102"/>
        <v>-3.8428573885446626E-2</v>
      </c>
      <c r="K281" s="11"/>
    </row>
    <row r="282" spans="2:14">
      <c r="B282" s="67"/>
      <c r="C282" s="287"/>
      <c r="E282" s="275"/>
      <c r="F282" s="278"/>
      <c r="G282" s="278"/>
      <c r="H282" s="278"/>
      <c r="I282" s="278"/>
      <c r="J282" s="299"/>
      <c r="K282" s="11"/>
    </row>
    <row r="283" spans="2:14">
      <c r="B283" s="91" t="s">
        <v>55</v>
      </c>
      <c r="C283" s="288">
        <f>C278-$D$14-$D$15</f>
        <v>6466.0262500000008</v>
      </c>
      <c r="E283" s="276">
        <f ca="1">E278-$D$14-$D$15</f>
        <v>8241.366941932185</v>
      </c>
      <c r="F283" s="55">
        <f t="shared" ref="F283:J283" ca="1" si="103">F278-$D$14-$D$15</f>
        <v>7582.8253052601412</v>
      </c>
      <c r="G283" s="55">
        <f t="shared" ca="1" si="103"/>
        <v>7070.1010710681639</v>
      </c>
      <c r="H283" s="55">
        <f t="shared" ca="1" si="103"/>
        <v>6666.8812235873065</v>
      </c>
      <c r="I283" s="55">
        <f t="shared" ca="1" si="103"/>
        <v>6346.8287513399773</v>
      </c>
      <c r="J283" s="297">
        <f t="shared" ca="1" si="103"/>
        <v>6090.6028774506394</v>
      </c>
    </row>
    <row r="284" spans="2:14">
      <c r="B284" s="67" t="s">
        <v>232</v>
      </c>
      <c r="C284" s="290">
        <f>C283/$D$13</f>
        <v>7.3252818058230416</v>
      </c>
      <c r="E284" s="277">
        <f ca="1">E283/$D$13</f>
        <v>9.3365434937489322</v>
      </c>
      <c r="F284" s="300">
        <f t="shared" ref="F284:J284" ca="1" si="104">F283/$D$13</f>
        <v>8.5904897533251834</v>
      </c>
      <c r="G284" s="300">
        <f t="shared" ca="1" si="104"/>
        <v>8.0096307591119995</v>
      </c>
      <c r="H284" s="300">
        <f t="shared" ca="1" si="104"/>
        <v>7.5528279410754555</v>
      </c>
      <c r="I284" s="300">
        <f t="shared" ca="1" si="104"/>
        <v>7.1902444220459669</v>
      </c>
      <c r="J284" s="301">
        <f t="shared" ca="1" si="104"/>
        <v>6.8999692731965983</v>
      </c>
      <c r="K284" s="11"/>
    </row>
    <row r="285" spans="2:14">
      <c r="B285" s="45"/>
      <c r="E285" s="159"/>
      <c r="G285" s="11"/>
      <c r="H285" s="11"/>
      <c r="I285" s="11"/>
      <c r="J285" s="11"/>
      <c r="K285" s="11"/>
    </row>
    <row r="286" spans="2:14">
      <c r="D286" s="258" t="s">
        <v>234</v>
      </c>
      <c r="E286" s="151"/>
      <c r="F286" s="151"/>
      <c r="G286" s="259"/>
      <c r="H286" s="151"/>
      <c r="I286" s="151"/>
      <c r="J286" s="151"/>
    </row>
    <row r="287" spans="2:14">
      <c r="B287" s="302" t="s">
        <v>248</v>
      </c>
      <c r="D287" s="231" t="s">
        <v>221</v>
      </c>
      <c r="E287" s="232"/>
      <c r="F287" s="232"/>
      <c r="G287" s="232"/>
      <c r="H287" s="232"/>
      <c r="I287" s="232"/>
      <c r="J287" s="232"/>
    </row>
    <row r="288" spans="2:14">
      <c r="B288" s="303">
        <v>0.3</v>
      </c>
      <c r="F288" s="153" t="str">
        <f>"Term A / EBITDA ratio (other cumulative leverage of "&amp;TEXT(SUM(C30:C32,C28),"0.0x")&amp;")"</f>
        <v>Term A / EBITDA ratio (other cumulative leverage of 2.6x)</v>
      </c>
      <c r="G288" s="154"/>
      <c r="H288" s="154"/>
      <c r="I288" s="154"/>
      <c r="J288" s="155"/>
      <c r="L288" s="11"/>
      <c r="M288" s="60"/>
      <c r="N288" s="60"/>
    </row>
    <row r="289" spans="4:10">
      <c r="D289" s="11"/>
      <c r="E289" s="156">
        <f ca="1">J271</f>
        <v>0.33003377836199954</v>
      </c>
      <c r="F289" s="233">
        <v>3</v>
      </c>
      <c r="G289" s="226">
        <f>F289+0.25</f>
        <v>3.25</v>
      </c>
      <c r="H289" s="226">
        <f>G289+0.25</f>
        <v>3.5</v>
      </c>
      <c r="I289" s="226">
        <f>H289+0.25</f>
        <v>3.75</v>
      </c>
      <c r="J289" s="226">
        <f>I289+0.25</f>
        <v>4</v>
      </c>
    </row>
    <row r="290" spans="4:10" ht="15" customHeight="1">
      <c r="D290" s="228"/>
      <c r="E290" s="233">
        <v>7</v>
      </c>
      <c r="F290" s="31">
        <f t="dataTable" ref="F290:J294" dt2D="1" dtr="1" r1="C29" r2="I11" ca="1"/>
        <v>0.30617674303045783</v>
      </c>
      <c r="G290" s="31">
        <v>0.32810234679839234</v>
      </c>
      <c r="H290" s="31">
        <v>0.35455606044989096</v>
      </c>
      <c r="I290" s="31">
        <v>0.38727525103000837</v>
      </c>
      <c r="J290" s="49">
        <v>0.42911670863071905</v>
      </c>
    </row>
    <row r="291" spans="4:10">
      <c r="D291" s="228" t="s">
        <v>128</v>
      </c>
      <c r="E291" s="229">
        <f>E290+0.25</f>
        <v>7.25</v>
      </c>
      <c r="F291" s="31">
        <v>0.30617678005574511</v>
      </c>
      <c r="G291" s="31">
        <v>0.32810234679839234</v>
      </c>
      <c r="H291" s="31">
        <v>0.35455606044989096</v>
      </c>
      <c r="I291" s="31">
        <v>0.38727525103000837</v>
      </c>
      <c r="J291" s="49">
        <v>0.42911670863071905</v>
      </c>
    </row>
    <row r="292" spans="4:10">
      <c r="D292" s="228" t="s">
        <v>26</v>
      </c>
      <c r="E292" s="229">
        <f>E291+0.25</f>
        <v>7.5</v>
      </c>
      <c r="F292" s="31">
        <v>0.30617678005574511</v>
      </c>
      <c r="G292" s="31">
        <v>0.32810234679839234</v>
      </c>
      <c r="H292" s="31">
        <v>0.35455606044989096</v>
      </c>
      <c r="I292" s="31">
        <v>0.38727525103000837</v>
      </c>
      <c r="J292" s="49">
        <v>0.42911670863071905</v>
      </c>
    </row>
    <row r="293" spans="4:10">
      <c r="D293" s="228" t="s">
        <v>164</v>
      </c>
      <c r="E293" s="229">
        <f>E292+0.25</f>
        <v>7.75</v>
      </c>
      <c r="F293" s="31">
        <v>0.30617678005574511</v>
      </c>
      <c r="G293" s="31">
        <v>0.32810234679839234</v>
      </c>
      <c r="H293" s="31">
        <v>0.35455606044989096</v>
      </c>
      <c r="I293" s="31">
        <v>0.38727525103000837</v>
      </c>
      <c r="J293" s="49">
        <v>0.42911670863071905</v>
      </c>
    </row>
    <row r="294" spans="4:10">
      <c r="D294" s="228"/>
      <c r="E294" s="229">
        <f>E293+0.25</f>
        <v>8</v>
      </c>
      <c r="F294" s="31">
        <v>0.30617678005574511</v>
      </c>
      <c r="G294" s="31">
        <v>0.32810234679839234</v>
      </c>
      <c r="H294" s="31">
        <v>0.35455606044989096</v>
      </c>
      <c r="I294" s="31">
        <v>0.38727525103000837</v>
      </c>
      <c r="J294" s="49">
        <v>0.42911670863071905</v>
      </c>
    </row>
    <row r="296" spans="4:10">
      <c r="D296" s="258" t="s">
        <v>235</v>
      </c>
      <c r="E296" s="151"/>
      <c r="F296" s="151"/>
      <c r="G296" s="259"/>
      <c r="H296" s="151"/>
      <c r="I296" s="151"/>
      <c r="J296" s="151"/>
    </row>
    <row r="297" spans="4:10">
      <c r="D297" s="231" t="s">
        <v>225</v>
      </c>
      <c r="E297" s="232"/>
      <c r="F297" s="232"/>
      <c r="G297" s="232"/>
      <c r="H297" s="232"/>
      <c r="I297" s="232"/>
      <c r="J297" s="232"/>
    </row>
    <row r="298" spans="4:10">
      <c r="D298" s="11"/>
      <c r="E298" s="11"/>
      <c r="F298" s="153" t="str">
        <f>"Term A / EBITDA ratio (other cumulative leverage of "&amp;TEXT(SUM(C30:C32,C28),"0.0x")&amp;")"</f>
        <v>Term A / EBITDA ratio (other cumulative leverage of 2.6x)</v>
      </c>
      <c r="G298" s="154"/>
      <c r="H298" s="154"/>
      <c r="I298" s="154"/>
      <c r="J298" s="154"/>
    </row>
    <row r="299" spans="4:10">
      <c r="D299" s="11"/>
      <c r="E299" s="156">
        <f ca="1">J271</f>
        <v>0.33003377836199954</v>
      </c>
      <c r="F299" s="233">
        <v>3</v>
      </c>
      <c r="G299" s="226">
        <f>F299+0.25</f>
        <v>3.25</v>
      </c>
      <c r="H299" s="226">
        <f>G299+0.25</f>
        <v>3.5</v>
      </c>
      <c r="I299" s="226">
        <f>H299+0.25</f>
        <v>3.75</v>
      </c>
      <c r="J299" s="226">
        <f>I299+0.25</f>
        <v>4</v>
      </c>
    </row>
    <row r="300" spans="4:10">
      <c r="D300" s="228"/>
      <c r="E300" s="234">
        <v>45</v>
      </c>
      <c r="F300" s="31">
        <f t="dataTable" ref="F300:J304" dt2D="1" dtr="1" r1="C29" r2="J20" ca="1"/>
        <v>0.33342325976278464</v>
      </c>
      <c r="G300" s="31">
        <v>0.35965924691887907</v>
      </c>
      <c r="H300" s="31">
        <v>0.39194283775610161</v>
      </c>
      <c r="I300" s="31">
        <v>0.43294991091281831</v>
      </c>
      <c r="J300" s="49">
        <v>0.48742368306699069</v>
      </c>
    </row>
    <row r="301" spans="4:10">
      <c r="D301" s="228" t="s">
        <v>128</v>
      </c>
      <c r="E301" s="227">
        <f>E300+0.25</f>
        <v>45.25</v>
      </c>
      <c r="F301" s="31">
        <v>0.32769784372733524</v>
      </c>
      <c r="G301" s="31">
        <v>0.35298295049079242</v>
      </c>
      <c r="H301" s="31">
        <v>0.38396220555449245</v>
      </c>
      <c r="I301" s="31">
        <v>0.4230793991534334</v>
      </c>
      <c r="J301" s="49">
        <v>0.47459369693289788</v>
      </c>
    </row>
    <row r="302" spans="4:10">
      <c r="D302" s="228" t="s">
        <v>219</v>
      </c>
      <c r="E302" s="227">
        <f>E301+0.25</f>
        <v>45.5</v>
      </c>
      <c r="F302" s="31">
        <v>0.32211679769122847</v>
      </c>
      <c r="G302" s="31">
        <v>0.3464986425924943</v>
      </c>
      <c r="H302" s="31">
        <v>0.37624847546879669</v>
      </c>
      <c r="I302" s="31">
        <v>0.41360327735307467</v>
      </c>
      <c r="J302" s="49">
        <v>0.46240033147170201</v>
      </c>
    </row>
    <row r="303" spans="4:10">
      <c r="D303" s="228" t="s">
        <v>220</v>
      </c>
      <c r="E303" s="227">
        <f>E302+0.25</f>
        <v>45.75</v>
      </c>
      <c r="F303" s="31">
        <v>0.31667361924492132</v>
      </c>
      <c r="G303" s="31">
        <v>0.34019643797582577</v>
      </c>
      <c r="H303" s="31">
        <v>0.3687857257286653</v>
      </c>
      <c r="I303" s="31">
        <v>0.40449358414787273</v>
      </c>
      <c r="J303" s="49">
        <v>0.45078796733432891</v>
      </c>
    </row>
    <row r="304" spans="4:10">
      <c r="D304" s="228"/>
      <c r="E304" s="227">
        <f>E303+0.25</f>
        <v>46</v>
      </c>
      <c r="F304" s="31">
        <v>0.31136219034574641</v>
      </c>
      <c r="G304" s="31">
        <v>0.33406717482044535</v>
      </c>
      <c r="H304" s="31">
        <v>0.36155937967715635</v>
      </c>
      <c r="I304" s="31">
        <v>0.39572515182039325</v>
      </c>
      <c r="J304" s="49">
        <v>0.43970778392100751</v>
      </c>
    </row>
    <row r="306" spans="2:11">
      <c r="D306" s="258" t="s">
        <v>236</v>
      </c>
      <c r="E306" s="151"/>
      <c r="F306" s="151"/>
      <c r="G306" s="259"/>
      <c r="H306" s="151"/>
      <c r="I306" s="151"/>
      <c r="J306" s="151"/>
    </row>
    <row r="307" spans="2:11">
      <c r="F307" s="153" t="s">
        <v>165</v>
      </c>
      <c r="G307" s="154"/>
      <c r="H307" s="154"/>
      <c r="I307" s="154"/>
      <c r="J307" s="155"/>
    </row>
    <row r="308" spans="2:11">
      <c r="E308" s="156">
        <f ca="1">J271</f>
        <v>0.33003377836199954</v>
      </c>
      <c r="F308" s="235">
        <v>0</v>
      </c>
      <c r="G308" s="157">
        <f>F308+0.02</f>
        <v>0.02</v>
      </c>
      <c r="H308" s="157">
        <f>G308+0.02</f>
        <v>0.04</v>
      </c>
      <c r="I308" s="157">
        <f>H308+0.02</f>
        <v>0.06</v>
      </c>
      <c r="J308" s="157">
        <f>I308+0.02</f>
        <v>0.08</v>
      </c>
    </row>
    <row r="309" spans="2:11">
      <c r="D309" s="228"/>
      <c r="E309" s="235">
        <v>0</v>
      </c>
      <c r="F309" s="7">
        <f t="dataTable" ref="F309:J313" dt2D="1" dtr="1" r1="E229" r2="E228" ca="1"/>
        <v>0.33003377659701738</v>
      </c>
      <c r="G309" s="7">
        <v>0.32467056426920626</v>
      </c>
      <c r="H309" s="7">
        <v>0.31921905994564637</v>
      </c>
      <c r="I309" s="7">
        <v>0.3136759265880118</v>
      </c>
      <c r="J309" s="6">
        <v>0.30803762431483217</v>
      </c>
    </row>
    <row r="310" spans="2:11">
      <c r="D310" s="228" t="s">
        <v>166</v>
      </c>
      <c r="E310" s="230">
        <f>E309+0.02</f>
        <v>0.02</v>
      </c>
      <c r="F310" s="7">
        <v>0.32467056417395979</v>
      </c>
      <c r="G310" s="7">
        <v>0.31921905995052247</v>
      </c>
      <c r="H310" s="7">
        <v>0.31367592658777554</v>
      </c>
      <c r="I310" s="7">
        <v>0.30803762431484283</v>
      </c>
      <c r="J310" s="6">
        <v>0.30230039595729985</v>
      </c>
    </row>
    <row r="311" spans="2:11">
      <c r="D311" s="228" t="s">
        <v>167</v>
      </c>
      <c r="E311" s="230">
        <f>E310+0.02</f>
        <v>0.04</v>
      </c>
      <c r="F311" s="7">
        <v>0.31921905995052247</v>
      </c>
      <c r="G311" s="7">
        <v>0.31367592658777554</v>
      </c>
      <c r="H311" s="7">
        <v>0.30803762431484283</v>
      </c>
      <c r="I311" s="7">
        <v>0.30230039595729985</v>
      </c>
      <c r="J311" s="6">
        <v>0.29646024845736596</v>
      </c>
      <c r="K311" s="11"/>
    </row>
    <row r="312" spans="2:11">
      <c r="D312" s="228" t="s">
        <v>168</v>
      </c>
      <c r="E312" s="230">
        <f>E311+0.02</f>
        <v>0.06</v>
      </c>
      <c r="F312" s="7">
        <v>0.31367592658777554</v>
      </c>
      <c r="G312" s="7">
        <v>0.30803762431484283</v>
      </c>
      <c r="H312" s="7">
        <v>0.30230039595729985</v>
      </c>
      <c r="I312" s="7">
        <v>0.29646024845736596</v>
      </c>
      <c r="J312" s="6">
        <v>0.29051293222911534</v>
      </c>
      <c r="K312" s="11"/>
    </row>
    <row r="313" spans="2:11">
      <c r="D313" s="228"/>
      <c r="E313" s="230">
        <f>E312+0.02</f>
        <v>0.08</v>
      </c>
      <c r="F313" s="7">
        <v>0.30803762431484305</v>
      </c>
      <c r="G313" s="7">
        <v>0.30230039595729985</v>
      </c>
      <c r="H313" s="7">
        <v>0.29646024845736596</v>
      </c>
      <c r="I313" s="7">
        <v>0.29051293222911578</v>
      </c>
      <c r="J313" s="6">
        <v>0.28445391833247635</v>
      </c>
      <c r="K313" s="11"/>
    </row>
    <row r="314" spans="2:11">
      <c r="K314" s="11"/>
    </row>
    <row r="315" spans="2:11">
      <c r="B315" s="13" t="s">
        <v>214</v>
      </c>
      <c r="C315" s="15"/>
      <c r="D315" s="15"/>
      <c r="E315" s="15"/>
      <c r="F315" s="15"/>
      <c r="G315" s="15"/>
      <c r="H315" s="15"/>
      <c r="I315" s="15"/>
      <c r="J315" s="15"/>
      <c r="K315" s="11"/>
    </row>
    <row r="316" spans="2:11">
      <c r="G316" s="11"/>
      <c r="H316" s="209"/>
      <c r="I316" s="11"/>
      <c r="J316" s="210" t="s">
        <v>210</v>
      </c>
      <c r="K316" s="11"/>
    </row>
    <row r="317" spans="2:11">
      <c r="E317" s="212">
        <f>D39</f>
        <v>2012</v>
      </c>
      <c r="F317" s="212">
        <f>E39</f>
        <v>2013</v>
      </c>
      <c r="G317" s="60" t="s">
        <v>213</v>
      </c>
      <c r="H317" s="202"/>
      <c r="I317" s="60"/>
      <c r="J317" s="200">
        <f>F317</f>
        <v>2013</v>
      </c>
    </row>
    <row r="318" spans="2:11">
      <c r="B318" s="15"/>
      <c r="C318" s="15"/>
      <c r="D318" s="15"/>
      <c r="E318" s="201">
        <f>D40</f>
        <v>40999</v>
      </c>
      <c r="F318" s="201">
        <f>E40</f>
        <v>41364</v>
      </c>
      <c r="G318" s="203" t="s">
        <v>205</v>
      </c>
      <c r="H318" s="203" t="s">
        <v>206</v>
      </c>
      <c r="I318" s="203" t="s">
        <v>209</v>
      </c>
      <c r="J318" s="201">
        <f>F318</f>
        <v>41364</v>
      </c>
    </row>
    <row r="319" spans="2:11">
      <c r="B319" s="34" t="s">
        <v>46</v>
      </c>
      <c r="E319" s="82">
        <f>D140</f>
        <v>1635.6</v>
      </c>
      <c r="F319" s="82">
        <f>E140</f>
        <v>1581.9</v>
      </c>
      <c r="G319" s="204">
        <f>G331+G335-G324</f>
        <v>-8252.4539400000012</v>
      </c>
      <c r="H319" s="204">
        <f>H331+H334+H335</f>
        <v>6850.5539400000007</v>
      </c>
      <c r="I319" s="204"/>
      <c r="J319" s="82">
        <f t="shared" ref="J319:J325" si="105">SUM(F319:I319)</f>
        <v>179.99999999999909</v>
      </c>
    </row>
    <row r="320" spans="2:11">
      <c r="B320" s="34" t="str">
        <f>B74</f>
        <v>Accounts receivable, EOP</v>
      </c>
      <c r="E320" s="82">
        <f>D74</f>
        <v>484.79999999999995</v>
      </c>
      <c r="F320" s="82">
        <f>E74</f>
        <v>443.7</v>
      </c>
      <c r="G320" s="117"/>
      <c r="H320" s="204"/>
      <c r="I320" s="204"/>
      <c r="J320" s="82">
        <f t="shared" si="105"/>
        <v>443.7</v>
      </c>
    </row>
    <row r="321" spans="2:11">
      <c r="B321" s="34" t="str">
        <f>B76</f>
        <v>Other current assets, EOP</v>
      </c>
      <c r="E321" s="82">
        <f>D76</f>
        <v>195.1</v>
      </c>
      <c r="F321" s="82">
        <f>E76</f>
        <v>213.1</v>
      </c>
      <c r="G321" s="117"/>
      <c r="H321" s="204"/>
      <c r="I321" s="204"/>
      <c r="J321" s="82">
        <f t="shared" si="105"/>
        <v>213.1</v>
      </c>
    </row>
    <row r="322" spans="2:11">
      <c r="B322" s="34" t="str">
        <f>B89</f>
        <v>PP&amp;E</v>
      </c>
      <c r="E322" s="82">
        <f>D89</f>
        <v>87.8</v>
      </c>
      <c r="F322" s="82">
        <f>E89</f>
        <v>85.2</v>
      </c>
      <c r="G322" s="117"/>
      <c r="H322" s="204"/>
      <c r="I322" s="204"/>
      <c r="J322" s="82">
        <f t="shared" si="105"/>
        <v>85.2</v>
      </c>
    </row>
    <row r="323" spans="2:11">
      <c r="B323" s="34" t="str">
        <f>B95</f>
        <v>Software development costs</v>
      </c>
      <c r="E323" s="82">
        <f>D95</f>
        <v>244.7</v>
      </c>
      <c r="F323" s="82">
        <f>E95</f>
        <v>271.39999999999998</v>
      </c>
      <c r="G323" s="117"/>
      <c r="H323" s="204"/>
      <c r="I323" s="204"/>
      <c r="J323" s="82">
        <f t="shared" si="105"/>
        <v>271.39999999999998</v>
      </c>
    </row>
    <row r="324" spans="2:11">
      <c r="B324" s="34" t="str">
        <f>B101</f>
        <v>Intangible assets</v>
      </c>
      <c r="E324" s="82">
        <f>D101</f>
        <v>257.5</v>
      </c>
      <c r="F324" s="82">
        <f>E101</f>
        <v>189.8</v>
      </c>
      <c r="G324" s="204">
        <f>H33</f>
        <v>69.689165000000031</v>
      </c>
      <c r="H324" s="204"/>
      <c r="I324" s="204"/>
      <c r="J324" s="82">
        <f t="shared" si="105"/>
        <v>259.48916500000007</v>
      </c>
      <c r="K324" s="117" t="s">
        <v>217</v>
      </c>
    </row>
    <row r="325" spans="2:11">
      <c r="B325" s="34" t="str">
        <f>B105</f>
        <v>Goodwill and other assets</v>
      </c>
      <c r="E325" s="189">
        <f>D105</f>
        <v>1940.3</v>
      </c>
      <c r="F325" s="189">
        <f>E105</f>
        <v>1935.2</v>
      </c>
      <c r="G325" s="205"/>
      <c r="H325" s="206"/>
      <c r="I325" s="207">
        <f>IF(K325="LBO",H17-F335,0)</f>
        <v>5923.4262500000004</v>
      </c>
      <c r="J325" s="189">
        <f t="shared" si="105"/>
        <v>7858.6262500000003</v>
      </c>
      <c r="K325" s="319" t="s">
        <v>218</v>
      </c>
    </row>
    <row r="326" spans="2:11">
      <c r="B326" s="28" t="s">
        <v>201</v>
      </c>
      <c r="E326" s="170">
        <f>SUM(E319:E325)</f>
        <v>4845.7999999999993</v>
      </c>
      <c r="F326" s="170">
        <f t="shared" ref="F326" si="106">SUM(F319:F325)</f>
        <v>4720.3</v>
      </c>
      <c r="G326" s="117"/>
      <c r="H326" s="117"/>
      <c r="I326" s="117"/>
      <c r="J326" s="170">
        <f t="shared" ref="J326" si="107">SUM(J319:J325)</f>
        <v>9311.5154149999998</v>
      </c>
    </row>
    <row r="327" spans="2:11">
      <c r="E327" s="40"/>
      <c r="F327" s="40"/>
      <c r="G327" s="117"/>
      <c r="H327" s="117"/>
      <c r="I327" s="117"/>
    </row>
    <row r="328" spans="2:11">
      <c r="B328" s="34" t="str">
        <f>B78</f>
        <v>Accounts payable, EOP</v>
      </c>
      <c r="E328" s="82">
        <f>D78</f>
        <v>32.700000000000003</v>
      </c>
      <c r="F328" s="82">
        <f>E78</f>
        <v>42.1</v>
      </c>
      <c r="G328" s="117"/>
      <c r="H328" s="204"/>
      <c r="I328" s="204"/>
      <c r="J328" s="82">
        <f>SUM(F328:I328)</f>
        <v>42.1</v>
      </c>
    </row>
    <row r="329" spans="2:11">
      <c r="B329" s="34" t="str">
        <f>B80</f>
        <v>Accrued expenses &amp; def revenues, EOP</v>
      </c>
      <c r="E329" s="82">
        <f>D80</f>
        <v>2313.3000000000002</v>
      </c>
      <c r="F329" s="82">
        <f>E80</f>
        <v>2301.6999999999998</v>
      </c>
      <c r="G329" s="117"/>
      <c r="H329" s="204"/>
      <c r="I329" s="204"/>
      <c r="J329" s="82">
        <f>SUM(F329:I329)</f>
        <v>2301.6999999999998</v>
      </c>
    </row>
    <row r="330" spans="2:11">
      <c r="B330" s="34" t="str">
        <f>B107</f>
        <v>Other liabilities</v>
      </c>
      <c r="E330" s="85">
        <f>D107</f>
        <v>232.4</v>
      </c>
      <c r="F330" s="85">
        <f>E107</f>
        <v>252</v>
      </c>
      <c r="G330" s="117"/>
      <c r="H330" s="208"/>
      <c r="I330" s="208"/>
      <c r="J330" s="82">
        <f>SUM(F330:I330)</f>
        <v>252</v>
      </c>
    </row>
    <row r="331" spans="2:11">
      <c r="B331" s="34" t="s">
        <v>207</v>
      </c>
      <c r="E331" s="148">
        <v>821.6</v>
      </c>
      <c r="F331" s="196">
        <v>1306</v>
      </c>
      <c r="G331" s="204">
        <f>-D21</f>
        <v>-1306</v>
      </c>
      <c r="H331" s="116">
        <f>SUM(D28:D32)</f>
        <v>5190.2760000000017</v>
      </c>
      <c r="I331" s="117"/>
      <c r="J331" s="82">
        <f>SUM(F331:I331)</f>
        <v>5190.2760000000017</v>
      </c>
    </row>
    <row r="332" spans="2:11">
      <c r="B332" s="28" t="s">
        <v>202</v>
      </c>
      <c r="E332" s="170">
        <f>SUM(E328:E331)</f>
        <v>3400</v>
      </c>
      <c r="F332" s="170">
        <f>SUM(F328:F331)</f>
        <v>3901.7999999999997</v>
      </c>
      <c r="G332" s="117"/>
      <c r="H332" s="117"/>
      <c r="I332" s="117"/>
      <c r="J332" s="170">
        <f>SUM(J328:J331)</f>
        <v>7786.0760000000009</v>
      </c>
    </row>
    <row r="333" spans="2:11">
      <c r="E333" s="40"/>
      <c r="F333" s="40"/>
      <c r="G333" s="117"/>
      <c r="H333" s="117"/>
      <c r="I333" s="117"/>
    </row>
    <row r="334" spans="2:11">
      <c r="B334" s="34" t="s">
        <v>208</v>
      </c>
      <c r="E334" s="198" t="s">
        <v>212</v>
      </c>
      <c r="F334" s="198" t="s">
        <v>212</v>
      </c>
      <c r="G334" s="117"/>
      <c r="H334" s="116">
        <f>D33</f>
        <v>0</v>
      </c>
      <c r="I334" s="117"/>
      <c r="J334" s="82">
        <f>SUM(F334:I334)</f>
        <v>0</v>
      </c>
    </row>
    <row r="335" spans="2:11">
      <c r="B335" s="34" t="s">
        <v>167</v>
      </c>
      <c r="E335" s="167">
        <v>1445.8</v>
      </c>
      <c r="F335" s="167">
        <v>818.5</v>
      </c>
      <c r="G335" s="204">
        <f>-D20-H36+D34</f>
        <v>-6876.7647750000006</v>
      </c>
      <c r="H335" s="116">
        <f>D35</f>
        <v>1660.277939999999</v>
      </c>
      <c r="I335" s="204">
        <f>I325</f>
        <v>5923.4262500000004</v>
      </c>
      <c r="J335" s="82">
        <f>SUM(F335:I335)</f>
        <v>1525.4394149999989</v>
      </c>
      <c r="K335" s="82"/>
    </row>
    <row r="336" spans="2:11">
      <c r="B336" s="28" t="s">
        <v>211</v>
      </c>
      <c r="E336" s="56">
        <f>SUM(E334:E335)</f>
        <v>1445.8</v>
      </c>
      <c r="F336" s="56">
        <f t="shared" ref="F336" si="108">SUM(F334:F335)</f>
        <v>818.5</v>
      </c>
      <c r="J336" s="170">
        <f t="shared" ref="J336" si="109">SUM(J334:J335)</f>
        <v>1525.4394149999989</v>
      </c>
    </row>
    <row r="337" spans="2:11">
      <c r="B337" s="67" t="s">
        <v>203</v>
      </c>
      <c r="E337" s="197">
        <f>E326-E332-E336</f>
        <v>0</v>
      </c>
      <c r="F337" s="197">
        <f>F326-F332-F336</f>
        <v>0</v>
      </c>
      <c r="G337" s="82"/>
      <c r="H337" s="40"/>
      <c r="J337" s="197">
        <f>J326-J332-J336</f>
        <v>0</v>
      </c>
    </row>
    <row r="338" spans="2:11">
      <c r="B338" s="63"/>
      <c r="D338" s="63"/>
      <c r="E338" s="197"/>
      <c r="F338" s="197"/>
      <c r="G338" s="82"/>
      <c r="H338" s="40"/>
      <c r="J338" s="197"/>
    </row>
    <row r="339" spans="2:11">
      <c r="B339" s="13" t="s">
        <v>215</v>
      </c>
      <c r="D339" s="18"/>
      <c r="E339" s="211"/>
      <c r="F339" s="211"/>
      <c r="G339" s="189"/>
      <c r="H339" s="86"/>
      <c r="I339" s="15"/>
      <c r="J339" s="211"/>
      <c r="K339" s="15"/>
    </row>
    <row r="340" spans="2:11">
      <c r="B340" s="42" t="str">
        <f>B39</f>
        <v xml:space="preserve">Fiscal year  </v>
      </c>
      <c r="C340" s="133"/>
      <c r="D340" s="37">
        <f t="shared" ref="D340:K341" si="110">C39</f>
        <v>2011</v>
      </c>
      <c r="E340" s="37">
        <f t="shared" si="110"/>
        <v>2012</v>
      </c>
      <c r="F340" s="37">
        <f t="shared" si="110"/>
        <v>2013</v>
      </c>
      <c r="G340" s="38">
        <f t="shared" si="110"/>
        <v>2014</v>
      </c>
      <c r="H340" s="38">
        <f t="shared" si="110"/>
        <v>2015</v>
      </c>
      <c r="I340" s="38">
        <f t="shared" si="110"/>
        <v>2016</v>
      </c>
      <c r="J340" s="38">
        <f t="shared" si="110"/>
        <v>2017</v>
      </c>
      <c r="K340" s="38">
        <f t="shared" si="110"/>
        <v>2018</v>
      </c>
    </row>
    <row r="341" spans="2:11">
      <c r="B341" s="15" t="str">
        <f>B40</f>
        <v>Fiscal year end date</v>
      </c>
      <c r="C341" s="15"/>
      <c r="D341" s="39">
        <f t="shared" si="110"/>
        <v>40633</v>
      </c>
      <c r="E341" s="39">
        <f t="shared" si="110"/>
        <v>40999</v>
      </c>
      <c r="F341" s="39">
        <f t="shared" si="110"/>
        <v>41364</v>
      </c>
      <c r="G341" s="39">
        <f t="shared" si="110"/>
        <v>41729</v>
      </c>
      <c r="H341" s="39">
        <f t="shared" si="110"/>
        <v>42094</v>
      </c>
      <c r="I341" s="39">
        <f t="shared" si="110"/>
        <v>42460</v>
      </c>
      <c r="J341" s="39">
        <f t="shared" si="110"/>
        <v>42825</v>
      </c>
      <c r="K341" s="39">
        <f t="shared" si="110"/>
        <v>43190</v>
      </c>
    </row>
    <row r="342" spans="2:11">
      <c r="B342" s="34" t="str">
        <f t="shared" ref="B342:B349" si="111">B319</f>
        <v>Cash</v>
      </c>
      <c r="D342" s="82">
        <f t="shared" ref="D342:E348" si="112">E319</f>
        <v>1635.6</v>
      </c>
      <c r="E342" s="82">
        <f t="shared" si="112"/>
        <v>1581.9</v>
      </c>
      <c r="F342" s="82">
        <f t="shared" ref="F342:F348" si="113">J319</f>
        <v>179.99999999999909</v>
      </c>
      <c r="G342" s="186">
        <f ca="1">F140</f>
        <v>180</v>
      </c>
      <c r="H342" s="186">
        <f ca="1">G140</f>
        <v>180</v>
      </c>
      <c r="I342" s="186">
        <f ca="1">H140</f>
        <v>180</v>
      </c>
      <c r="J342" s="186">
        <f ca="1">I140</f>
        <v>180</v>
      </c>
      <c r="K342" s="186">
        <f ca="1">J140</f>
        <v>180</v>
      </c>
    </row>
    <row r="343" spans="2:11">
      <c r="B343" s="34" t="str">
        <f t="shared" si="111"/>
        <v>Accounts receivable, EOP</v>
      </c>
      <c r="D343" s="82">
        <f t="shared" si="112"/>
        <v>484.79999999999995</v>
      </c>
      <c r="E343" s="82">
        <f t="shared" si="112"/>
        <v>443.7</v>
      </c>
      <c r="F343" s="82">
        <f t="shared" si="113"/>
        <v>443.7</v>
      </c>
      <c r="G343" s="186">
        <f>F74</f>
        <v>459.22949999999997</v>
      </c>
      <c r="H343" s="186">
        <f>G74</f>
        <v>484.4871225</v>
      </c>
      <c r="I343" s="186">
        <f>H74</f>
        <v>513.55634985000006</v>
      </c>
      <c r="J343" s="186">
        <f>I74</f>
        <v>539.23416734250009</v>
      </c>
      <c r="K343" s="186">
        <f>J74</f>
        <v>565.11740737494006</v>
      </c>
    </row>
    <row r="344" spans="2:11">
      <c r="B344" s="34" t="str">
        <f t="shared" si="111"/>
        <v>Other current assets, EOP</v>
      </c>
      <c r="D344" s="82">
        <f t="shared" si="112"/>
        <v>195.1</v>
      </c>
      <c r="E344" s="82">
        <f t="shared" si="112"/>
        <v>213.1</v>
      </c>
      <c r="F344" s="82">
        <f t="shared" si="113"/>
        <v>213.1</v>
      </c>
      <c r="G344" s="186">
        <f>F76</f>
        <v>220.55850000000001</v>
      </c>
      <c r="H344" s="186">
        <f>G76</f>
        <v>232.68921750000001</v>
      </c>
      <c r="I344" s="186">
        <f>H76</f>
        <v>246.65057055000003</v>
      </c>
      <c r="J344" s="186">
        <f>I76</f>
        <v>258.98309907750001</v>
      </c>
      <c r="K344" s="186">
        <f>J76</f>
        <v>271.41428783322004</v>
      </c>
    </row>
    <row r="345" spans="2:11">
      <c r="B345" s="34" t="str">
        <f t="shared" si="111"/>
        <v>PP&amp;E</v>
      </c>
      <c r="D345" s="82">
        <f t="shared" si="112"/>
        <v>87.8</v>
      </c>
      <c r="E345" s="82">
        <f t="shared" si="112"/>
        <v>85.2</v>
      </c>
      <c r="F345" s="82">
        <f t="shared" si="113"/>
        <v>85.2</v>
      </c>
      <c r="G345" s="186">
        <f>F89</f>
        <v>73.144489795918361</v>
      </c>
      <c r="H345" s="186">
        <f>G89</f>
        <v>63.407346938775504</v>
      </c>
      <c r="I345" s="186">
        <f>H89</f>
        <v>56.452244897959183</v>
      </c>
      <c r="J345" s="186">
        <f>I89</f>
        <v>53.090612244897969</v>
      </c>
      <c r="K345" s="186">
        <f>J89</f>
        <v>53.090612244897976</v>
      </c>
    </row>
    <row r="346" spans="2:11">
      <c r="B346" s="34" t="str">
        <f t="shared" si="111"/>
        <v>Software development costs</v>
      </c>
      <c r="D346" s="82">
        <f t="shared" si="112"/>
        <v>244.7</v>
      </c>
      <c r="E346" s="82">
        <f t="shared" si="112"/>
        <v>271.39999999999998</v>
      </c>
      <c r="F346" s="82">
        <f t="shared" si="113"/>
        <v>271.39999999999998</v>
      </c>
      <c r="G346" s="186">
        <f>F95</f>
        <v>286.50864197530859</v>
      </c>
      <c r="H346" s="186">
        <f>G95</f>
        <v>297.64475308641971</v>
      </c>
      <c r="I346" s="186">
        <f>H95</f>
        <v>305.19907407407402</v>
      </c>
      <c r="J346" s="186">
        <f>I95</f>
        <v>309.36697530864188</v>
      </c>
      <c r="K346" s="186">
        <f>J95</f>
        <v>309.36697530864183</v>
      </c>
    </row>
    <row r="347" spans="2:11">
      <c r="B347" s="34" t="str">
        <f t="shared" si="111"/>
        <v>Intangible assets</v>
      </c>
      <c r="D347" s="82">
        <f t="shared" si="112"/>
        <v>257.5</v>
      </c>
      <c r="E347" s="82">
        <f t="shared" si="112"/>
        <v>189.8</v>
      </c>
      <c r="F347" s="82">
        <f t="shared" si="113"/>
        <v>259.48916500000007</v>
      </c>
      <c r="G347" s="186">
        <f>F101+F195</f>
        <v>249.82517625000003</v>
      </c>
      <c r="H347" s="186">
        <f>G101+G195</f>
        <v>240.16118750000004</v>
      </c>
      <c r="I347" s="186">
        <f>H101+H195</f>
        <v>230.49719875000005</v>
      </c>
      <c r="J347" s="186">
        <f>I101+I195</f>
        <v>220.83321000000004</v>
      </c>
      <c r="K347" s="186">
        <f>J101+J195</f>
        <v>211.16922125000002</v>
      </c>
    </row>
    <row r="348" spans="2:11">
      <c r="B348" s="34" t="str">
        <f t="shared" si="111"/>
        <v>Goodwill and other assets</v>
      </c>
      <c r="D348" s="189">
        <f t="shared" si="112"/>
        <v>1940.3</v>
      </c>
      <c r="E348" s="189">
        <f t="shared" si="112"/>
        <v>1935.2</v>
      </c>
      <c r="F348" s="189">
        <f t="shared" si="113"/>
        <v>7858.6262500000003</v>
      </c>
      <c r="G348" s="76">
        <f>F105+$I$325</f>
        <v>7858.6262500000003</v>
      </c>
      <c r="H348" s="76">
        <f>G105+$I$325</f>
        <v>7858.6262500000003</v>
      </c>
      <c r="I348" s="76">
        <f>H105+$I$325</f>
        <v>7858.6262500000003</v>
      </c>
      <c r="J348" s="76">
        <f>I105+$I$325</f>
        <v>7858.6262500000003</v>
      </c>
      <c r="K348" s="76">
        <f>J105+$I$325</f>
        <v>7858.6262500000003</v>
      </c>
    </row>
    <row r="349" spans="2:11">
      <c r="B349" s="35" t="str">
        <f t="shared" si="111"/>
        <v>Total Assets</v>
      </c>
      <c r="D349" s="170">
        <f>SUM(D342:D348)</f>
        <v>4845.7999999999993</v>
      </c>
      <c r="E349" s="170">
        <f t="shared" ref="E349:F349" si="114">SUM(E342:E348)</f>
        <v>4720.3</v>
      </c>
      <c r="F349" s="170">
        <f t="shared" si="114"/>
        <v>9311.5154149999998</v>
      </c>
      <c r="G349" s="199">
        <f ca="1">SUM(G342:G348)</f>
        <v>9327.8925580212272</v>
      </c>
      <c r="H349" s="199">
        <f t="shared" ref="H349:K349" ca="1" si="115">SUM(H342:H348)</f>
        <v>9357.0158775251948</v>
      </c>
      <c r="I349" s="199">
        <f t="shared" ca="1" si="115"/>
        <v>9390.981688122034</v>
      </c>
      <c r="J349" s="199">
        <f t="shared" ca="1" si="115"/>
        <v>9420.13431397354</v>
      </c>
      <c r="K349" s="199">
        <f t="shared" ca="1" si="115"/>
        <v>9448.7847540117</v>
      </c>
    </row>
    <row r="350" spans="2:11">
      <c r="B350" s="34"/>
      <c r="D350" s="82"/>
      <c r="E350" s="82"/>
      <c r="F350" s="82"/>
      <c r="G350" s="186"/>
      <c r="H350" s="186"/>
      <c r="I350" s="186"/>
      <c r="J350" s="186"/>
      <c r="K350" s="186"/>
    </row>
    <row r="351" spans="2:11">
      <c r="B351" s="34" t="str">
        <f>B328</f>
        <v>Accounts payable, EOP</v>
      </c>
      <c r="D351" s="82">
        <f t="shared" ref="D351:E354" si="116">E328</f>
        <v>32.700000000000003</v>
      </c>
      <c r="E351" s="82">
        <f t="shared" si="116"/>
        <v>42.1</v>
      </c>
      <c r="F351" s="82">
        <f>J328</f>
        <v>42.1</v>
      </c>
      <c r="G351" s="186">
        <f>F78</f>
        <v>41.35985068829212</v>
      </c>
      <c r="H351" s="186">
        <f>G78</f>
        <v>42.77992582446322</v>
      </c>
      <c r="I351" s="186">
        <f>H78</f>
        <v>44.440721723144954</v>
      </c>
      <c r="J351" s="186">
        <f>I78</f>
        <v>45.711458175976823</v>
      </c>
      <c r="K351" s="186">
        <f>J78</f>
        <v>46.908646152698736</v>
      </c>
    </row>
    <row r="352" spans="2:11">
      <c r="B352" s="34" t="str">
        <f>B329</f>
        <v>Accrued expenses &amp; def revenues, EOP</v>
      </c>
      <c r="D352" s="82">
        <f t="shared" si="116"/>
        <v>2313.3000000000002</v>
      </c>
      <c r="E352" s="82">
        <f t="shared" si="116"/>
        <v>2301.6999999999998</v>
      </c>
      <c r="F352" s="82">
        <f>J329</f>
        <v>2301.6999999999998</v>
      </c>
      <c r="G352" s="186">
        <f>F80</f>
        <v>2382.2594999999997</v>
      </c>
      <c r="H352" s="186">
        <f>G80</f>
        <v>2513.2837724999995</v>
      </c>
      <c r="I352" s="186">
        <f>H80</f>
        <v>2664.0807988500001</v>
      </c>
      <c r="J352" s="186">
        <f>I80</f>
        <v>2797.2848387925001</v>
      </c>
      <c r="K352" s="186">
        <f>J80</f>
        <v>2931.5545110545399</v>
      </c>
    </row>
    <row r="353" spans="2:11">
      <c r="B353" s="34" t="str">
        <f>B330</f>
        <v>Other liabilities</v>
      </c>
      <c r="D353" s="82">
        <f t="shared" si="116"/>
        <v>232.4</v>
      </c>
      <c r="E353" s="82">
        <f t="shared" si="116"/>
        <v>252</v>
      </c>
      <c r="F353" s="82">
        <f>J330</f>
        <v>252</v>
      </c>
      <c r="G353" s="48">
        <f>F107</f>
        <v>252</v>
      </c>
      <c r="H353" s="48">
        <f>G107</f>
        <v>252</v>
      </c>
      <c r="I353" s="48">
        <f>H107</f>
        <v>252</v>
      </c>
      <c r="J353" s="48">
        <f>I107</f>
        <v>252</v>
      </c>
      <c r="K353" s="48">
        <f>J107</f>
        <v>252</v>
      </c>
    </row>
    <row r="354" spans="2:11">
      <c r="B354" s="34" t="str">
        <f>B331</f>
        <v xml:space="preserve">Debt </v>
      </c>
      <c r="D354" s="82">
        <f t="shared" si="116"/>
        <v>821.6</v>
      </c>
      <c r="E354" s="82">
        <f t="shared" si="116"/>
        <v>1306</v>
      </c>
      <c r="F354" s="82">
        <f>J331</f>
        <v>5190.2760000000017</v>
      </c>
      <c r="G354" s="186">
        <f ca="1">F153+F161+F169+F176+F183</f>
        <v>4781.5854516082154</v>
      </c>
      <c r="H354" s="186">
        <f ca="1">G153+G161+G169+G176+G183</f>
        <v>4264.6931406276399</v>
      </c>
      <c r="I354" s="186">
        <f ca="1">H153+H161+H169+H176+H183</f>
        <v>3658.3811704151294</v>
      </c>
      <c r="J354" s="186">
        <f ca="1">I153+I161+I169+I176+I183</f>
        <v>2987.7949791177698</v>
      </c>
      <c r="K354" s="186">
        <f ca="1">J153+J161+J169+J176+J183</f>
        <v>2225.9248398720802</v>
      </c>
    </row>
    <row r="355" spans="2:11">
      <c r="B355" s="34" t="str">
        <f>B332</f>
        <v>Total Liabilities</v>
      </c>
      <c r="D355" s="170">
        <f t="shared" ref="D355:K355" si="117">SUM(D351:D354)</f>
        <v>3400</v>
      </c>
      <c r="E355" s="170">
        <f t="shared" si="117"/>
        <v>3901.7999999999997</v>
      </c>
      <c r="F355" s="170">
        <f t="shared" si="117"/>
        <v>7786.0760000000009</v>
      </c>
      <c r="G355" s="199">
        <f t="shared" ca="1" si="117"/>
        <v>7457.2048022965073</v>
      </c>
      <c r="H355" s="199">
        <f t="shared" ca="1" si="117"/>
        <v>7072.756838952102</v>
      </c>
      <c r="I355" s="199">
        <f t="shared" ca="1" si="117"/>
        <v>6618.9026909882741</v>
      </c>
      <c r="J355" s="199">
        <f t="shared" ca="1" si="117"/>
        <v>6082.7912760862473</v>
      </c>
      <c r="K355" s="199">
        <f t="shared" ca="1" si="117"/>
        <v>5456.3879970793187</v>
      </c>
    </row>
    <row r="356" spans="2:11">
      <c r="B356" s="34"/>
      <c r="D356" s="82"/>
      <c r="E356" s="82"/>
      <c r="F356" s="82"/>
      <c r="G356" s="186"/>
      <c r="H356" s="186"/>
      <c r="I356" s="186"/>
      <c r="J356" s="186"/>
      <c r="K356" s="186"/>
    </row>
    <row r="357" spans="2:11">
      <c r="B357" s="34" t="str">
        <f>B334</f>
        <v>LBO Preferred stock</v>
      </c>
      <c r="D357" s="190" t="str">
        <f>E334</f>
        <v>NM</v>
      </c>
      <c r="E357" s="190" t="str">
        <f>F334</f>
        <v>NM</v>
      </c>
      <c r="F357" s="82">
        <f>J334</f>
        <v>0</v>
      </c>
      <c r="G357" s="186">
        <f>F189</f>
        <v>0</v>
      </c>
      <c r="H357" s="186">
        <f>G189</f>
        <v>0</v>
      </c>
      <c r="I357" s="186">
        <f>H189</f>
        <v>0</v>
      </c>
      <c r="J357" s="186">
        <f>I189</f>
        <v>0</v>
      </c>
      <c r="K357" s="186">
        <f>J189</f>
        <v>0</v>
      </c>
    </row>
    <row r="358" spans="2:11">
      <c r="B358" s="34" t="str">
        <f>B335</f>
        <v>Equity</v>
      </c>
      <c r="D358" s="190">
        <f>E335</f>
        <v>1445.8</v>
      </c>
      <c r="E358" s="190">
        <f>F335</f>
        <v>818.5</v>
      </c>
      <c r="F358" s="82">
        <f>J335</f>
        <v>1525.4394149999989</v>
      </c>
      <c r="G358" s="186">
        <f ca="1">G367</f>
        <v>1870.6877557247199</v>
      </c>
      <c r="H358" s="186">
        <f t="shared" ref="H358:K358" ca="1" si="118">H367</f>
        <v>2284.2590385730937</v>
      </c>
      <c r="I358" s="186">
        <f t="shared" ca="1" si="118"/>
        <v>2772.0789971337595</v>
      </c>
      <c r="J358" s="186">
        <f t="shared" ca="1" si="118"/>
        <v>3337.3430378872945</v>
      </c>
      <c r="K358" s="186">
        <f t="shared" ca="1" si="118"/>
        <v>3992.3967569323822</v>
      </c>
    </row>
    <row r="359" spans="2:11">
      <c r="B359" s="34" t="str">
        <f>B336</f>
        <v>Total equity</v>
      </c>
      <c r="D359" s="170">
        <f>SUM(D357:D358)</f>
        <v>1445.8</v>
      </c>
      <c r="E359" s="170">
        <f t="shared" ref="E359:K359" si="119">SUM(E357:E358)</f>
        <v>818.5</v>
      </c>
      <c r="F359" s="170">
        <f t="shared" si="119"/>
        <v>1525.4394149999989</v>
      </c>
      <c r="G359" s="199">
        <f t="shared" ca="1" si="119"/>
        <v>1870.6877557247199</v>
      </c>
      <c r="H359" s="199">
        <f t="shared" ca="1" si="119"/>
        <v>2284.2590385730937</v>
      </c>
      <c r="I359" s="199">
        <f t="shared" ca="1" si="119"/>
        <v>2772.0789971337595</v>
      </c>
      <c r="J359" s="199">
        <f t="shared" ca="1" si="119"/>
        <v>3337.3430378872945</v>
      </c>
      <c r="K359" s="199">
        <f t="shared" ca="1" si="119"/>
        <v>3992.3967569323822</v>
      </c>
    </row>
    <row r="360" spans="2:11">
      <c r="B360" s="34" t="str">
        <f>B337</f>
        <v>Balance check</v>
      </c>
      <c r="D360" s="82">
        <f t="shared" ref="D360:K360" si="120">D349-D355-D359</f>
        <v>0</v>
      </c>
      <c r="E360" s="82">
        <f t="shared" si="120"/>
        <v>0</v>
      </c>
      <c r="F360" s="82">
        <f t="shared" si="120"/>
        <v>0</v>
      </c>
      <c r="G360" s="82">
        <f t="shared" ca="1" si="120"/>
        <v>0</v>
      </c>
      <c r="H360" s="82">
        <f t="shared" ca="1" si="120"/>
        <v>0</v>
      </c>
      <c r="I360" s="82">
        <f t="shared" ca="1" si="120"/>
        <v>0</v>
      </c>
      <c r="J360" s="82">
        <f t="shared" ca="1" si="120"/>
        <v>0</v>
      </c>
      <c r="K360" s="82">
        <f t="shared" ca="1" si="120"/>
        <v>0</v>
      </c>
    </row>
    <row r="361" spans="2:11">
      <c r="G361" s="82"/>
      <c r="H361" s="82"/>
      <c r="I361" s="82"/>
      <c r="J361" s="82"/>
    </row>
    <row r="362" spans="2:11">
      <c r="B362" s="28" t="s">
        <v>252</v>
      </c>
      <c r="C362" s="28"/>
      <c r="D362" s="28"/>
      <c r="E362" s="28"/>
      <c r="F362" s="28"/>
      <c r="G362" s="170">
        <f>F358</f>
        <v>1525.4394149999989</v>
      </c>
      <c r="H362" s="170">
        <f ca="1">G367</f>
        <v>1870.6877557247199</v>
      </c>
      <c r="I362" s="170">
        <f ca="1">H367</f>
        <v>2284.2590385730937</v>
      </c>
      <c r="J362" s="170">
        <f ca="1">I367</f>
        <v>2772.0789971337595</v>
      </c>
      <c r="K362" s="170">
        <f ca="1">J367</f>
        <v>3337.3430378872945</v>
      </c>
    </row>
    <row r="363" spans="2:11">
      <c r="B363" s="34" t="s">
        <v>254</v>
      </c>
      <c r="G363" s="82">
        <f ca="1">F53</f>
        <v>193.85759264724925</v>
      </c>
      <c r="H363" s="82">
        <f ca="1">G53</f>
        <v>261.15318043320792</v>
      </c>
      <c r="I363" s="82">
        <f ca="1">H53</f>
        <v>333.78632702092324</v>
      </c>
      <c r="J363" s="82">
        <f ca="1">I53</f>
        <v>411.35974018746532</v>
      </c>
      <c r="K363" s="82">
        <f ca="1">J53</f>
        <v>501.80114918062503</v>
      </c>
    </row>
    <row r="364" spans="2:11">
      <c r="B364" s="34" t="s">
        <v>253</v>
      </c>
      <c r="G364" s="82">
        <f>F188+F190</f>
        <v>0</v>
      </c>
      <c r="H364" s="82">
        <f>G188+G190</f>
        <v>0</v>
      </c>
      <c r="I364" s="82">
        <f>H188+H190</f>
        <v>0</v>
      </c>
      <c r="J364" s="82">
        <f>I188+I190</f>
        <v>0</v>
      </c>
      <c r="K364" s="82">
        <f>J188+J190</f>
        <v>0</v>
      </c>
    </row>
    <row r="365" spans="2:11">
      <c r="B365" s="34" t="s">
        <v>255</v>
      </c>
      <c r="G365" s="82">
        <f>F58</f>
        <v>161.0547368274718</v>
      </c>
      <c r="H365" s="82">
        <f>G58</f>
        <v>162.08209116516588</v>
      </c>
      <c r="I365" s="82">
        <f>H58</f>
        <v>163.69762028974245</v>
      </c>
      <c r="J365" s="82">
        <f>I58</f>
        <v>163.56828931606964</v>
      </c>
      <c r="K365" s="82">
        <f>J58</f>
        <v>162.91655861446264</v>
      </c>
    </row>
    <row r="366" spans="2:11">
      <c r="B366" s="34" t="s">
        <v>256</v>
      </c>
      <c r="G366" s="82">
        <f>-(F194)</f>
        <v>9.6639887500000032</v>
      </c>
      <c r="H366" s="82">
        <f t="shared" ref="H366:K366" si="121">-(G194)</f>
        <v>9.6639887500000032</v>
      </c>
      <c r="I366" s="82">
        <f t="shared" si="121"/>
        <v>9.6639887500000032</v>
      </c>
      <c r="J366" s="82">
        <f t="shared" si="121"/>
        <v>9.6639887500000032</v>
      </c>
      <c r="K366" s="82">
        <f t="shared" si="121"/>
        <v>9.6639887500000032</v>
      </c>
    </row>
    <row r="367" spans="2:11">
      <c r="B367" s="35" t="s">
        <v>257</v>
      </c>
      <c r="C367" s="28"/>
      <c r="D367" s="28"/>
      <c r="E367" s="28"/>
      <c r="F367" s="28"/>
      <c r="G367" s="170">
        <f ca="1">G362+G363-G364+G365-G366</f>
        <v>1870.6877557247199</v>
      </c>
      <c r="H367" s="170">
        <f t="shared" ref="H367:K367" ca="1" si="122">H362+H363-H364+H365-H366</f>
        <v>2284.2590385730937</v>
      </c>
      <c r="I367" s="170">
        <f t="shared" ca="1" si="122"/>
        <v>2772.0789971337595</v>
      </c>
      <c r="J367" s="170">
        <f t="shared" ca="1" si="122"/>
        <v>3337.3430378872945</v>
      </c>
      <c r="K367" s="170">
        <f t="shared" ca="1" si="122"/>
        <v>3992.3967569323822</v>
      </c>
    </row>
  </sheetData>
  <conditionalFormatting sqref="D288:J294">
    <cfRule type="expression" dxfId="4" priority="4" stopIfTrue="1">
      <formula>$H$7=2</formula>
    </cfRule>
  </conditionalFormatting>
  <conditionalFormatting sqref="D287:J287">
    <cfRule type="expression" dxfId="3" priority="5">
      <formula>$H$7=1</formula>
    </cfRule>
  </conditionalFormatting>
  <conditionalFormatting sqref="F290:J294 F309:J313">
    <cfRule type="cellIs" dxfId="2" priority="6" operator="greaterThan">
      <formula>$B$288</formula>
    </cfRule>
  </conditionalFormatting>
  <conditionalFormatting sqref="D298:J304">
    <cfRule type="expression" dxfId="1" priority="2">
      <formula>$H$7=1</formula>
    </cfRule>
    <cfRule type="expression" priority="3">
      <formula>$H$7=1</formula>
    </cfRule>
  </conditionalFormatting>
  <conditionalFormatting sqref="D297:J297">
    <cfRule type="expression" dxfId="0" priority="1">
      <formula>$H$7=2</formula>
    </cfRule>
  </conditionalFormatting>
  <dataValidations count="7">
    <dataValidation allowBlank="1" showInputMessage="1" showErrorMessage="1" promptTitle="Input transaction fee assumption" prompt="Includes legal, accounting and advisory related fees.  Input as a % of the offer value." sqref="G36 C18"/>
    <dataValidation type="list" allowBlank="1" showInputMessage="1" showErrorMessage="1" sqref="K325">
      <formula1>"LBO,Lev. Recap"</formula1>
    </dataValidation>
    <dataValidation type="list" allowBlank="1" showInputMessage="1" showErrorMessage="1" sqref="H7">
      <formula1>$I$7:$J$7</formula1>
    </dataValidation>
    <dataValidation type="list" allowBlank="1" showInputMessage="1" showErrorMessage="1" sqref="K92 K98">
      <formula1>"Yes,No"</formula1>
    </dataValidation>
    <dataValidation type="list" allowBlank="1" showInputMessage="1" showErrorMessage="1" sqref="D10">
      <formula1>"ON,OFF"</formula1>
    </dataValidation>
    <dataValidation type="list" allowBlank="1" showInputMessage="1" showErrorMessage="1" sqref="B3">
      <formula1>"$ bns except per share, $ mm except per share,$ in thousands except per share"</formula1>
    </dataValidation>
    <dataValidation type="list" allowBlank="1" showInputMessage="1" showErrorMessage="1" sqref="E182">
      <formula1>"PIK,Cash"</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election activeCell="E8" sqref="E8"/>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9"/>
      <c r="D2" s="9"/>
      <c r="E2" s="247"/>
    </row>
    <row r="3" spans="2:5">
      <c r="B3" s="244" t="e">
        <f>#REF!</f>
        <v>#REF!</v>
      </c>
      <c r="C3" s="8"/>
    </row>
    <row r="4" spans="2:5">
      <c r="B4" s="34"/>
      <c r="C4" s="8"/>
    </row>
    <row r="5" spans="2:5">
      <c r="B5" s="34" t="s">
        <v>188</v>
      </c>
      <c r="C5" s="8"/>
      <c r="E5" s="187">
        <v>46.25</v>
      </c>
    </row>
    <row r="6" spans="2:5">
      <c r="B6" s="246" t="s">
        <v>250</v>
      </c>
      <c r="C6" s="8"/>
      <c r="E6" s="245">
        <f>LBO!H20</f>
        <v>46.25</v>
      </c>
    </row>
    <row r="7" spans="2:5">
      <c r="B7" s="83" t="s">
        <v>192</v>
      </c>
      <c r="E7" s="78">
        <v>143.97300000000001</v>
      </c>
    </row>
    <row r="8" spans="2:5">
      <c r="B8" s="34" t="s">
        <v>57</v>
      </c>
      <c r="C8" s="8"/>
      <c r="E8" s="150">
        <f>E28</f>
        <v>10.7</v>
      </c>
    </row>
    <row r="9" spans="2:5">
      <c r="B9" s="30" t="s">
        <v>49</v>
      </c>
      <c r="C9" s="8"/>
      <c r="E9" s="186">
        <f>SUMPRODUCT(D18:D27,E18:E27)</f>
        <v>411.70000000000005</v>
      </c>
    </row>
    <row r="10" spans="2:5">
      <c r="B10" s="30" t="s">
        <v>50</v>
      </c>
      <c r="C10" s="8"/>
      <c r="E10" s="186">
        <f>E9/E5</f>
        <v>8.9016216216216222</v>
      </c>
    </row>
    <row r="11" spans="2:5">
      <c r="B11" s="30" t="s">
        <v>51</v>
      </c>
      <c r="C11" s="8"/>
      <c r="E11" s="186">
        <f>E8-E10</f>
        <v>1.7983783783783771</v>
      </c>
    </row>
    <row r="12" spans="2:5">
      <c r="B12" s="30" t="s">
        <v>52</v>
      </c>
      <c r="C12" s="8"/>
      <c r="E12" s="78">
        <v>0</v>
      </c>
    </row>
    <row r="13" spans="2:5">
      <c r="B13" s="30"/>
      <c r="C13" s="8"/>
      <c r="E13" s="78"/>
    </row>
    <row r="14" spans="2:5">
      <c r="B14" s="44" t="s">
        <v>53</v>
      </c>
      <c r="C14" s="8"/>
      <c r="D14" s="82"/>
      <c r="E14" s="186">
        <f>E7+E11+E12</f>
        <v>145.77137837837839</v>
      </c>
    </row>
    <row r="15" spans="2:5">
      <c r="B15" s="44"/>
      <c r="C15" s="8"/>
      <c r="D15" s="82"/>
      <c r="E15" s="186"/>
    </row>
    <row r="16" spans="2:5">
      <c r="B16" s="95" t="s">
        <v>230</v>
      </c>
      <c r="C16" s="15"/>
      <c r="D16" s="189"/>
      <c r="E16" s="76"/>
    </row>
    <row r="17" spans="2:5">
      <c r="C17" s="99" t="s">
        <v>189</v>
      </c>
      <c r="D17" s="99" t="s">
        <v>56</v>
      </c>
      <c r="E17" s="185" t="s">
        <v>190</v>
      </c>
    </row>
    <row r="18" spans="2:5">
      <c r="B18" s="239">
        <v>1</v>
      </c>
      <c r="C18" s="240">
        <v>0.2</v>
      </c>
      <c r="D18" s="240">
        <v>15</v>
      </c>
      <c r="E18" s="241">
        <f>IF(D18&lt;$E$5,C18)</f>
        <v>0.2</v>
      </c>
    </row>
    <row r="19" spans="2:5">
      <c r="B19" s="239">
        <f>B18+1</f>
        <v>2</v>
      </c>
      <c r="C19" s="240">
        <v>0.7</v>
      </c>
      <c r="D19" s="240">
        <v>18</v>
      </c>
      <c r="E19" s="241">
        <f t="shared" ref="E19:E27" si="0">IF(D19&lt;$E$5,C19)</f>
        <v>0.7</v>
      </c>
    </row>
    <row r="20" spans="2:5">
      <c r="B20" s="239">
        <f t="shared" ref="B20:B24" si="1">B19+1</f>
        <v>3</v>
      </c>
      <c r="C20" s="240">
        <v>0.1</v>
      </c>
      <c r="D20" s="240">
        <v>22</v>
      </c>
      <c r="E20" s="241">
        <f t="shared" si="0"/>
        <v>0.1</v>
      </c>
    </row>
    <row r="21" spans="2:5">
      <c r="B21" s="239">
        <f t="shared" si="1"/>
        <v>4</v>
      </c>
      <c r="C21" s="240">
        <v>0.3</v>
      </c>
      <c r="D21" s="240">
        <v>28</v>
      </c>
      <c r="E21" s="241">
        <f t="shared" si="0"/>
        <v>0.3</v>
      </c>
    </row>
    <row r="22" spans="2:5">
      <c r="B22" s="239">
        <f t="shared" si="1"/>
        <v>5</v>
      </c>
      <c r="C22" s="240">
        <v>0.3</v>
      </c>
      <c r="D22" s="240">
        <v>32</v>
      </c>
      <c r="E22" s="241">
        <f t="shared" si="0"/>
        <v>0.3</v>
      </c>
    </row>
    <row r="23" spans="2:5">
      <c r="B23" s="239">
        <f t="shared" si="1"/>
        <v>6</v>
      </c>
      <c r="C23" s="240">
        <v>0.4</v>
      </c>
      <c r="D23" s="240">
        <v>36</v>
      </c>
      <c r="E23" s="241">
        <f t="shared" si="0"/>
        <v>0.4</v>
      </c>
    </row>
    <row r="24" spans="2:5">
      <c r="B24" s="239">
        <f t="shared" si="1"/>
        <v>7</v>
      </c>
      <c r="C24" s="240">
        <v>1.3</v>
      </c>
      <c r="D24" s="240">
        <v>39</v>
      </c>
      <c r="E24" s="241">
        <f t="shared" si="0"/>
        <v>1.3</v>
      </c>
    </row>
    <row r="25" spans="2:5">
      <c r="B25" s="239">
        <f t="shared" ref="B25:B26" si="2">B24+1</f>
        <v>8</v>
      </c>
      <c r="C25" s="240">
        <v>7.4</v>
      </c>
      <c r="D25" s="240">
        <v>42</v>
      </c>
      <c r="E25" s="241">
        <f t="shared" si="0"/>
        <v>7.4</v>
      </c>
    </row>
    <row r="26" spans="2:5">
      <c r="B26" s="239">
        <f t="shared" si="2"/>
        <v>9</v>
      </c>
      <c r="C26" s="240"/>
      <c r="D26" s="240"/>
      <c r="E26" s="241">
        <f t="shared" si="0"/>
        <v>0</v>
      </c>
    </row>
    <row r="27" spans="2:5">
      <c r="B27" s="239">
        <f t="shared" ref="B27" si="3">B26+1</f>
        <v>10</v>
      </c>
      <c r="C27" s="240"/>
      <c r="D27" s="240"/>
      <c r="E27" s="242">
        <f t="shared" si="0"/>
        <v>0</v>
      </c>
    </row>
    <row r="28" spans="2:5">
      <c r="E28" s="243">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5" t="s">
        <v>60</v>
      </c>
      <c r="B2" s="73"/>
      <c r="C2" s="73"/>
      <c r="D2" s="73"/>
      <c r="E2" s="73"/>
      <c r="F2" s="73"/>
    </row>
    <row r="4" spans="1:6">
      <c r="A4" t="s">
        <v>61</v>
      </c>
      <c r="E4" s="28">
        <f>MAX(E8:E268)</f>
        <v>46.33</v>
      </c>
    </row>
    <row r="5" spans="1:6">
      <c r="A5" t="s">
        <v>62</v>
      </c>
      <c r="E5" s="28">
        <f>MIN(E8:E268)</f>
        <v>37.51</v>
      </c>
    </row>
    <row r="7" spans="1:6">
      <c r="A7" t="s">
        <v>63</v>
      </c>
      <c r="B7" t="s">
        <v>64</v>
      </c>
      <c r="C7" t="s">
        <v>58</v>
      </c>
      <c r="D7" t="s">
        <v>59</v>
      </c>
      <c r="E7" s="28" t="s">
        <v>65</v>
      </c>
      <c r="F7" t="s">
        <v>66</v>
      </c>
    </row>
    <row r="8" spans="1:6">
      <c r="A8" s="68">
        <v>41400</v>
      </c>
      <c r="B8">
        <v>45.5</v>
      </c>
      <c r="C8">
        <v>45.71</v>
      </c>
      <c r="D8">
        <v>45.07</v>
      </c>
      <c r="E8" s="28">
        <v>45.42</v>
      </c>
      <c r="F8">
        <v>34229100</v>
      </c>
    </row>
    <row r="9" spans="1:6">
      <c r="A9" s="68">
        <v>41397</v>
      </c>
      <c r="B9">
        <v>45.67</v>
      </c>
      <c r="C9">
        <v>45.77</v>
      </c>
      <c r="D9">
        <v>45.35</v>
      </c>
      <c r="E9" s="28">
        <v>45.42</v>
      </c>
      <c r="F9">
        <v>2058200</v>
      </c>
    </row>
    <row r="10" spans="1:6">
      <c r="A10" s="68">
        <v>41396</v>
      </c>
      <c r="B10">
        <v>45.45</v>
      </c>
      <c r="C10">
        <v>45.49</v>
      </c>
      <c r="D10">
        <v>44.97</v>
      </c>
      <c r="E10" s="28">
        <v>45.24</v>
      </c>
      <c r="F10">
        <v>3022300</v>
      </c>
    </row>
    <row r="11" spans="1:6">
      <c r="A11" s="68">
        <v>41395</v>
      </c>
      <c r="B11">
        <v>45.84</v>
      </c>
      <c r="C11">
        <v>45.96</v>
      </c>
      <c r="D11">
        <v>45.25</v>
      </c>
      <c r="E11" s="28">
        <v>45.39</v>
      </c>
      <c r="F11">
        <v>2306800</v>
      </c>
    </row>
    <row r="12" spans="1:6">
      <c r="A12" s="68">
        <v>41394</v>
      </c>
      <c r="B12">
        <v>45.34</v>
      </c>
      <c r="C12">
        <v>45.52</v>
      </c>
      <c r="D12">
        <v>45.17</v>
      </c>
      <c r="E12" s="28">
        <v>45.48</v>
      </c>
      <c r="F12">
        <v>2096700</v>
      </c>
    </row>
    <row r="13" spans="1:6">
      <c r="A13" s="68">
        <v>41393</v>
      </c>
      <c r="B13">
        <v>45.5</v>
      </c>
      <c r="C13">
        <v>45.7</v>
      </c>
      <c r="D13">
        <v>45.28</v>
      </c>
      <c r="E13" s="28">
        <v>45.43</v>
      </c>
      <c r="F13">
        <v>2294400</v>
      </c>
    </row>
    <row r="14" spans="1:6">
      <c r="A14" s="68">
        <v>41390</v>
      </c>
      <c r="B14">
        <v>45.68</v>
      </c>
      <c r="C14">
        <v>45.86</v>
      </c>
      <c r="D14">
        <v>45.53</v>
      </c>
      <c r="E14" s="28">
        <v>45.6</v>
      </c>
      <c r="F14">
        <v>1694700</v>
      </c>
    </row>
    <row r="15" spans="1:6">
      <c r="A15" s="68">
        <v>41389</v>
      </c>
      <c r="B15">
        <v>45.07</v>
      </c>
      <c r="C15">
        <v>45.83</v>
      </c>
      <c r="D15">
        <v>44.87</v>
      </c>
      <c r="E15" s="28">
        <v>45.69</v>
      </c>
      <c r="F15">
        <v>2360900</v>
      </c>
    </row>
    <row r="16" spans="1:6">
      <c r="A16" s="68">
        <v>41388</v>
      </c>
      <c r="B16">
        <v>45</v>
      </c>
      <c r="C16">
        <v>45.62</v>
      </c>
      <c r="D16">
        <v>44.22</v>
      </c>
      <c r="E16" s="28">
        <v>44.9</v>
      </c>
      <c r="F16">
        <v>6814000</v>
      </c>
    </row>
    <row r="17" spans="1:6">
      <c r="A17" s="68">
        <v>41387</v>
      </c>
      <c r="B17">
        <v>44.05</v>
      </c>
      <c r="C17">
        <v>44.29</v>
      </c>
      <c r="D17">
        <v>43.66</v>
      </c>
      <c r="E17" s="28">
        <v>44.13</v>
      </c>
      <c r="F17">
        <v>2856300</v>
      </c>
    </row>
    <row r="18" spans="1:6">
      <c r="A18" s="68">
        <v>41386</v>
      </c>
      <c r="B18">
        <v>44.08</v>
      </c>
      <c r="C18">
        <v>44.09</v>
      </c>
      <c r="D18">
        <v>43.41</v>
      </c>
      <c r="E18" s="28">
        <v>43.88</v>
      </c>
      <c r="F18">
        <v>1078900</v>
      </c>
    </row>
    <row r="19" spans="1:6">
      <c r="A19" s="68">
        <v>41383</v>
      </c>
      <c r="B19">
        <v>43.56</v>
      </c>
      <c r="C19">
        <v>44.08</v>
      </c>
      <c r="D19">
        <v>43.3</v>
      </c>
      <c r="E19" s="28">
        <v>43.86</v>
      </c>
      <c r="F19">
        <v>1367800</v>
      </c>
    </row>
    <row r="20" spans="1:6">
      <c r="A20" s="68">
        <v>41382</v>
      </c>
      <c r="B20">
        <v>44.21</v>
      </c>
      <c r="C20">
        <v>44.25</v>
      </c>
      <c r="D20">
        <v>43.44</v>
      </c>
      <c r="E20" s="28">
        <v>43.75</v>
      </c>
      <c r="F20">
        <v>1451300</v>
      </c>
    </row>
    <row r="21" spans="1:6">
      <c r="A21" s="68">
        <v>41381</v>
      </c>
      <c r="B21">
        <v>44.51</v>
      </c>
      <c r="C21">
        <v>44.68</v>
      </c>
      <c r="D21">
        <v>43.54</v>
      </c>
      <c r="E21" s="28">
        <v>44.03</v>
      </c>
      <c r="F21">
        <v>2156400</v>
      </c>
    </row>
    <row r="22" spans="1:6">
      <c r="A22" s="68">
        <v>41380</v>
      </c>
      <c r="B22">
        <v>44.59</v>
      </c>
      <c r="C22">
        <v>45.03</v>
      </c>
      <c r="D22">
        <v>44.5</v>
      </c>
      <c r="E22" s="28">
        <v>44.88</v>
      </c>
      <c r="F22">
        <v>1223400</v>
      </c>
    </row>
    <row r="23" spans="1:6">
      <c r="A23" s="68">
        <v>41379</v>
      </c>
      <c r="B23">
        <v>44.9</v>
      </c>
      <c r="C23">
        <v>45</v>
      </c>
      <c r="D23">
        <v>44.32</v>
      </c>
      <c r="E23" s="28">
        <v>44.32</v>
      </c>
      <c r="F23">
        <v>1273900</v>
      </c>
    </row>
    <row r="24" spans="1:6">
      <c r="A24" s="68">
        <v>41376</v>
      </c>
      <c r="B24">
        <v>45.02</v>
      </c>
      <c r="C24">
        <v>45.02</v>
      </c>
      <c r="D24">
        <v>44.65</v>
      </c>
      <c r="E24" s="28">
        <v>44.93</v>
      </c>
      <c r="F24">
        <v>1566600</v>
      </c>
    </row>
    <row r="25" spans="1:6">
      <c r="A25" s="68">
        <v>41375</v>
      </c>
      <c r="B25">
        <v>44.72</v>
      </c>
      <c r="C25">
        <v>45.65</v>
      </c>
      <c r="D25">
        <v>44.53</v>
      </c>
      <c r="E25" s="28">
        <v>45.02</v>
      </c>
      <c r="F25">
        <v>4248900</v>
      </c>
    </row>
    <row r="26" spans="1:6">
      <c r="A26" s="68">
        <v>41374</v>
      </c>
      <c r="B26">
        <v>44.45</v>
      </c>
      <c r="C26">
        <v>44.93</v>
      </c>
      <c r="D26">
        <v>44.37</v>
      </c>
      <c r="E26" s="28">
        <v>44.75</v>
      </c>
      <c r="F26">
        <v>2023200</v>
      </c>
    </row>
    <row r="27" spans="1:6">
      <c r="A27" s="68">
        <v>41373</v>
      </c>
      <c r="B27">
        <v>44.5</v>
      </c>
      <c r="C27">
        <v>44.62</v>
      </c>
      <c r="D27">
        <v>43.98</v>
      </c>
      <c r="E27" s="28">
        <v>44.34</v>
      </c>
      <c r="F27">
        <v>1952800</v>
      </c>
    </row>
    <row r="28" spans="1:6">
      <c r="A28" s="68">
        <v>41372</v>
      </c>
      <c r="B28">
        <v>45.05</v>
      </c>
      <c r="C28">
        <v>45.1</v>
      </c>
      <c r="D28">
        <v>44.42</v>
      </c>
      <c r="E28" s="28">
        <v>44.45</v>
      </c>
      <c r="F28">
        <v>1625500</v>
      </c>
    </row>
    <row r="29" spans="1:6">
      <c r="A29" s="68">
        <v>41369</v>
      </c>
      <c r="B29">
        <v>44.55</v>
      </c>
      <c r="C29">
        <v>45.28</v>
      </c>
      <c r="D29">
        <v>44.03</v>
      </c>
      <c r="E29" s="28">
        <v>45.11</v>
      </c>
      <c r="F29">
        <v>1635700</v>
      </c>
    </row>
    <row r="30" spans="1:6">
      <c r="A30" s="68">
        <v>41368</v>
      </c>
      <c r="B30">
        <v>45.42</v>
      </c>
      <c r="C30">
        <v>45.59</v>
      </c>
      <c r="D30">
        <v>44.93</v>
      </c>
      <c r="E30" s="28">
        <v>45.14</v>
      </c>
      <c r="F30">
        <v>1004100</v>
      </c>
    </row>
    <row r="31" spans="1:6">
      <c r="A31" s="68">
        <v>41367</v>
      </c>
      <c r="B31">
        <v>46.09</v>
      </c>
      <c r="C31">
        <v>46.3</v>
      </c>
      <c r="D31">
        <v>45.07</v>
      </c>
      <c r="E31" s="28">
        <v>45.44</v>
      </c>
      <c r="F31">
        <v>1471300</v>
      </c>
    </row>
    <row r="32" spans="1:6">
      <c r="A32" s="68">
        <v>41366</v>
      </c>
      <c r="B32">
        <v>46.19</v>
      </c>
      <c r="C32">
        <v>46.49</v>
      </c>
      <c r="D32">
        <v>46.03</v>
      </c>
      <c r="E32" s="28">
        <v>46.06</v>
      </c>
      <c r="F32">
        <v>1169600</v>
      </c>
    </row>
    <row r="33" spans="1:6">
      <c r="A33" s="68">
        <v>41365</v>
      </c>
      <c r="B33">
        <v>46.29</v>
      </c>
      <c r="C33">
        <v>46.5</v>
      </c>
      <c r="D33">
        <v>45.87</v>
      </c>
      <c r="E33" s="28">
        <v>46.02</v>
      </c>
      <c r="F33">
        <v>1124600</v>
      </c>
    </row>
    <row r="34" spans="1:6">
      <c r="A34" s="68">
        <v>41362</v>
      </c>
      <c r="B34">
        <v>46.33</v>
      </c>
      <c r="C34">
        <v>46.33</v>
      </c>
      <c r="D34">
        <v>46.33</v>
      </c>
      <c r="E34" s="28">
        <v>46.33</v>
      </c>
      <c r="F34">
        <v>0</v>
      </c>
    </row>
    <row r="35" spans="1:6">
      <c r="A35" s="68">
        <v>41361</v>
      </c>
      <c r="B35">
        <v>45.61</v>
      </c>
      <c r="C35">
        <v>46.48</v>
      </c>
      <c r="D35">
        <v>45.61</v>
      </c>
      <c r="E35" s="28">
        <v>46.33</v>
      </c>
      <c r="F35">
        <v>1145800</v>
      </c>
    </row>
    <row r="36" spans="1:6">
      <c r="A36" s="68">
        <v>41360</v>
      </c>
      <c r="B36">
        <v>45.63</v>
      </c>
      <c r="C36">
        <v>45.92</v>
      </c>
      <c r="D36">
        <v>45.25</v>
      </c>
      <c r="E36" s="28">
        <v>45.73</v>
      </c>
      <c r="F36">
        <v>1127000</v>
      </c>
    </row>
    <row r="37" spans="1:6">
      <c r="A37" s="68">
        <v>41359</v>
      </c>
      <c r="B37">
        <v>45.86</v>
      </c>
      <c r="C37">
        <v>46.18</v>
      </c>
      <c r="D37">
        <v>45.66</v>
      </c>
      <c r="E37" s="28">
        <v>45.78</v>
      </c>
      <c r="F37">
        <v>1283100</v>
      </c>
    </row>
    <row r="38" spans="1:6">
      <c r="A38" s="68">
        <v>41358</v>
      </c>
      <c r="B38">
        <v>45.95</v>
      </c>
      <c r="C38">
        <v>46.05</v>
      </c>
      <c r="D38">
        <v>45.49</v>
      </c>
      <c r="E38" s="28">
        <v>45.7</v>
      </c>
      <c r="F38">
        <v>1757200</v>
      </c>
    </row>
    <row r="39" spans="1:6">
      <c r="A39" s="68">
        <v>41355</v>
      </c>
      <c r="B39">
        <v>45.49</v>
      </c>
      <c r="C39">
        <v>45.93</v>
      </c>
      <c r="D39">
        <v>45.39</v>
      </c>
      <c r="E39" s="28">
        <v>45.74</v>
      </c>
      <c r="F39">
        <v>2110000</v>
      </c>
    </row>
    <row r="40" spans="1:6">
      <c r="A40" s="68">
        <v>41354</v>
      </c>
      <c r="B40">
        <v>43.61</v>
      </c>
      <c r="C40">
        <v>47.98</v>
      </c>
      <c r="D40">
        <v>43.5</v>
      </c>
      <c r="E40" s="28">
        <v>45.48</v>
      </c>
      <c r="F40">
        <v>6592300</v>
      </c>
    </row>
    <row r="41" spans="1:6">
      <c r="A41" s="68">
        <v>41353</v>
      </c>
      <c r="B41">
        <v>44.03</v>
      </c>
      <c r="C41">
        <v>44.45</v>
      </c>
      <c r="D41">
        <v>43.83</v>
      </c>
      <c r="E41" s="28">
        <v>43.99</v>
      </c>
      <c r="F41">
        <v>914200</v>
      </c>
    </row>
    <row r="42" spans="1:6">
      <c r="A42" s="68">
        <v>41352</v>
      </c>
      <c r="B42">
        <v>44.09</v>
      </c>
      <c r="C42">
        <v>44.16</v>
      </c>
      <c r="D42">
        <v>43.4</v>
      </c>
      <c r="E42" s="28">
        <v>43.68</v>
      </c>
      <c r="F42">
        <v>1214500</v>
      </c>
    </row>
    <row r="43" spans="1:6">
      <c r="A43" s="68">
        <v>41351</v>
      </c>
      <c r="B43">
        <v>43.65</v>
      </c>
      <c r="C43">
        <v>44.4</v>
      </c>
      <c r="D43">
        <v>43.56</v>
      </c>
      <c r="E43" s="28">
        <v>43.98</v>
      </c>
      <c r="F43">
        <v>1173700</v>
      </c>
    </row>
    <row r="44" spans="1:6">
      <c r="A44" s="68">
        <v>41348</v>
      </c>
      <c r="B44">
        <v>44.12</v>
      </c>
      <c r="C44">
        <v>44.69</v>
      </c>
      <c r="D44">
        <v>44.09</v>
      </c>
      <c r="E44" s="28">
        <v>44.12</v>
      </c>
      <c r="F44">
        <v>2730000</v>
      </c>
    </row>
    <row r="45" spans="1:6">
      <c r="A45" s="68">
        <v>41347</v>
      </c>
      <c r="B45">
        <v>43.88</v>
      </c>
      <c r="C45">
        <v>44.5</v>
      </c>
      <c r="D45">
        <v>43.83</v>
      </c>
      <c r="E45" s="28">
        <v>44.29</v>
      </c>
      <c r="F45">
        <v>2030500</v>
      </c>
    </row>
    <row r="46" spans="1:6">
      <c r="A46" s="68">
        <v>41346</v>
      </c>
      <c r="B46">
        <v>43.72</v>
      </c>
      <c r="C46">
        <v>44.12</v>
      </c>
      <c r="D46">
        <v>43.62</v>
      </c>
      <c r="E46" s="28">
        <v>43.66</v>
      </c>
      <c r="F46">
        <v>1725200</v>
      </c>
    </row>
    <row r="47" spans="1:6">
      <c r="A47" s="68">
        <v>41345</v>
      </c>
      <c r="B47">
        <v>43</v>
      </c>
      <c r="C47">
        <v>43.77</v>
      </c>
      <c r="D47">
        <v>43</v>
      </c>
      <c r="E47" s="28">
        <v>43.72</v>
      </c>
      <c r="F47">
        <v>1969000</v>
      </c>
    </row>
    <row r="48" spans="1:6">
      <c r="A48" s="68">
        <v>41344</v>
      </c>
      <c r="B48">
        <v>42.88</v>
      </c>
      <c r="C48">
        <v>43.48</v>
      </c>
      <c r="D48">
        <v>42.81</v>
      </c>
      <c r="E48" s="28">
        <v>43.4</v>
      </c>
      <c r="F48">
        <v>1858400</v>
      </c>
    </row>
    <row r="49" spans="1:6">
      <c r="A49" s="68">
        <v>41341</v>
      </c>
      <c r="B49">
        <v>42.46</v>
      </c>
      <c r="C49">
        <v>43.13</v>
      </c>
      <c r="D49">
        <v>42.35</v>
      </c>
      <c r="E49" s="28">
        <v>42.91</v>
      </c>
      <c r="F49">
        <v>1595900</v>
      </c>
    </row>
    <row r="50" spans="1:6">
      <c r="A50" s="68">
        <v>41340</v>
      </c>
      <c r="B50">
        <v>42.2</v>
      </c>
      <c r="C50">
        <v>42.55</v>
      </c>
      <c r="D50">
        <v>42.18</v>
      </c>
      <c r="E50" s="28">
        <v>42.33</v>
      </c>
      <c r="F50">
        <v>844600</v>
      </c>
    </row>
    <row r="51" spans="1:6">
      <c r="A51" s="68">
        <v>41339</v>
      </c>
      <c r="B51">
        <v>42.34</v>
      </c>
      <c r="C51">
        <v>42.63</v>
      </c>
      <c r="D51">
        <v>42.18</v>
      </c>
      <c r="E51" s="28">
        <v>42.22</v>
      </c>
      <c r="F51">
        <v>1318300</v>
      </c>
    </row>
    <row r="52" spans="1:6">
      <c r="A52" s="68">
        <v>41338</v>
      </c>
      <c r="B52">
        <v>41.41</v>
      </c>
      <c r="C52">
        <v>42.77</v>
      </c>
      <c r="D52">
        <v>41.37</v>
      </c>
      <c r="E52" s="28">
        <v>42.32</v>
      </c>
      <c r="F52">
        <v>2841500</v>
      </c>
    </row>
    <row r="53" spans="1:6">
      <c r="A53" s="68">
        <v>41337</v>
      </c>
      <c r="B53">
        <v>40.35</v>
      </c>
      <c r="C53">
        <v>40.880000000000003</v>
      </c>
      <c r="D53">
        <v>40.35</v>
      </c>
      <c r="E53" s="28">
        <v>40.799999999999997</v>
      </c>
      <c r="F53">
        <v>1428200</v>
      </c>
    </row>
    <row r="54" spans="1:6">
      <c r="A54" s="68">
        <v>41334</v>
      </c>
      <c r="B54">
        <v>39.83</v>
      </c>
      <c r="C54">
        <v>40.69</v>
      </c>
      <c r="D54">
        <v>39.46</v>
      </c>
      <c r="E54" s="28">
        <v>40.43</v>
      </c>
      <c r="F54">
        <v>1672500</v>
      </c>
    </row>
    <row r="55" spans="1:6">
      <c r="A55" s="68">
        <v>41333</v>
      </c>
      <c r="B55">
        <v>40.17</v>
      </c>
      <c r="C55">
        <v>40.619999999999997</v>
      </c>
      <c r="D55">
        <v>40.049999999999997</v>
      </c>
      <c r="E55" s="28">
        <v>40.11</v>
      </c>
      <c r="F55">
        <v>2814900</v>
      </c>
    </row>
    <row r="56" spans="1:6">
      <c r="A56" s="68">
        <v>41332</v>
      </c>
      <c r="B56">
        <v>40.01</v>
      </c>
      <c r="C56">
        <v>40.53</v>
      </c>
      <c r="D56">
        <v>39.880000000000003</v>
      </c>
      <c r="E56" s="28">
        <v>40.06</v>
      </c>
      <c r="F56">
        <v>1715200</v>
      </c>
    </row>
    <row r="57" spans="1:6">
      <c r="A57" s="68">
        <v>41331</v>
      </c>
      <c r="B57">
        <v>40.200000000000003</v>
      </c>
      <c r="C57">
        <v>40.270000000000003</v>
      </c>
      <c r="D57">
        <v>39.549999999999997</v>
      </c>
      <c r="E57" s="28">
        <v>40.03</v>
      </c>
      <c r="F57">
        <v>1904600</v>
      </c>
    </row>
    <row r="58" spans="1:6">
      <c r="A58" s="68">
        <v>41330</v>
      </c>
      <c r="B58">
        <v>40.61</v>
      </c>
      <c r="C58">
        <v>40.9</v>
      </c>
      <c r="D58">
        <v>40.06</v>
      </c>
      <c r="E58" s="28">
        <v>40.1</v>
      </c>
      <c r="F58">
        <v>1926800</v>
      </c>
    </row>
    <row r="59" spans="1:6">
      <c r="A59" s="68">
        <v>41327</v>
      </c>
      <c r="B59">
        <v>40.619999999999997</v>
      </c>
      <c r="C59">
        <v>40.74</v>
      </c>
      <c r="D59">
        <v>40.4</v>
      </c>
      <c r="E59" s="28">
        <v>40.54</v>
      </c>
      <c r="F59">
        <v>1363200</v>
      </c>
    </row>
    <row r="60" spans="1:6">
      <c r="A60" s="68">
        <v>41326</v>
      </c>
      <c r="B60">
        <v>41.09</v>
      </c>
      <c r="C60">
        <v>41.2</v>
      </c>
      <c r="D60">
        <v>40.15</v>
      </c>
      <c r="E60" s="28">
        <v>40.46</v>
      </c>
      <c r="F60">
        <v>1580100</v>
      </c>
    </row>
    <row r="61" spans="1:6">
      <c r="A61" s="68">
        <v>41325</v>
      </c>
      <c r="B61">
        <v>41.62</v>
      </c>
      <c r="C61">
        <v>42.13</v>
      </c>
      <c r="D61">
        <v>41.1</v>
      </c>
      <c r="E61" s="28">
        <v>41.11</v>
      </c>
      <c r="F61">
        <v>1591200</v>
      </c>
    </row>
    <row r="62" spans="1:6">
      <c r="A62" s="68">
        <v>41324</v>
      </c>
      <c r="B62">
        <v>41.42</v>
      </c>
      <c r="C62">
        <v>41.79</v>
      </c>
      <c r="D62">
        <v>41.2</v>
      </c>
      <c r="E62" s="28">
        <v>41.59</v>
      </c>
      <c r="F62">
        <v>1148200</v>
      </c>
    </row>
    <row r="63" spans="1:6">
      <c r="A63" s="68">
        <v>41323</v>
      </c>
      <c r="B63">
        <v>41.37</v>
      </c>
      <c r="C63">
        <v>41.37</v>
      </c>
      <c r="D63">
        <v>41.37</v>
      </c>
      <c r="E63" s="28">
        <v>41.37</v>
      </c>
      <c r="F63">
        <v>0</v>
      </c>
    </row>
    <row r="64" spans="1:6">
      <c r="A64" s="68">
        <v>41320</v>
      </c>
      <c r="B64">
        <v>41.29</v>
      </c>
      <c r="C64">
        <v>41.82</v>
      </c>
      <c r="D64">
        <v>41.27</v>
      </c>
      <c r="E64" s="28">
        <v>41.37</v>
      </c>
      <c r="F64">
        <v>1437300</v>
      </c>
    </row>
    <row r="65" spans="1:6">
      <c r="A65" s="68">
        <v>41319</v>
      </c>
      <c r="B65">
        <v>41</v>
      </c>
      <c r="C65">
        <v>41.57</v>
      </c>
      <c r="D65">
        <v>40.92</v>
      </c>
      <c r="E65" s="28">
        <v>41.46</v>
      </c>
      <c r="F65">
        <v>1182500</v>
      </c>
    </row>
    <row r="66" spans="1:6">
      <c r="A66" s="68">
        <v>41318</v>
      </c>
      <c r="B66">
        <v>41.28</v>
      </c>
      <c r="C66">
        <v>41.43</v>
      </c>
      <c r="D66">
        <v>40.97</v>
      </c>
      <c r="E66" s="28">
        <v>41.09</v>
      </c>
      <c r="F66">
        <v>1813600</v>
      </c>
    </row>
    <row r="67" spans="1:6">
      <c r="A67" s="68">
        <v>41317</v>
      </c>
      <c r="B67">
        <v>41.4</v>
      </c>
      <c r="C67">
        <v>41.59</v>
      </c>
      <c r="D67">
        <v>41.17</v>
      </c>
      <c r="E67" s="28">
        <v>41.24</v>
      </c>
      <c r="F67">
        <v>1378100</v>
      </c>
    </row>
    <row r="68" spans="1:6">
      <c r="A68" s="68">
        <v>41316</v>
      </c>
      <c r="B68">
        <v>41.8</v>
      </c>
      <c r="C68">
        <v>41.86</v>
      </c>
      <c r="D68">
        <v>40.94</v>
      </c>
      <c r="E68" s="28">
        <v>41.4</v>
      </c>
      <c r="F68">
        <v>2472600</v>
      </c>
    </row>
    <row r="69" spans="1:6">
      <c r="A69" s="68">
        <v>41313</v>
      </c>
      <c r="B69">
        <v>42</v>
      </c>
      <c r="C69">
        <v>42.46</v>
      </c>
      <c r="D69">
        <v>41.56</v>
      </c>
      <c r="E69" s="28">
        <v>41.86</v>
      </c>
      <c r="F69">
        <v>1231600</v>
      </c>
    </row>
    <row r="70" spans="1:6">
      <c r="A70" s="68">
        <v>41312</v>
      </c>
      <c r="B70">
        <v>41.6</v>
      </c>
      <c r="C70">
        <v>41.98</v>
      </c>
      <c r="D70">
        <v>41.49</v>
      </c>
      <c r="E70" s="28">
        <v>41.95</v>
      </c>
      <c r="F70">
        <v>1919200</v>
      </c>
    </row>
    <row r="71" spans="1:6">
      <c r="A71" s="68">
        <v>41311</v>
      </c>
      <c r="B71">
        <v>41.91</v>
      </c>
      <c r="C71">
        <v>42.17</v>
      </c>
      <c r="D71">
        <v>41.6</v>
      </c>
      <c r="E71" s="28">
        <v>41.85</v>
      </c>
      <c r="F71">
        <v>2420600</v>
      </c>
    </row>
    <row r="72" spans="1:6">
      <c r="A72" s="68">
        <v>41310</v>
      </c>
      <c r="B72">
        <v>41.84</v>
      </c>
      <c r="C72">
        <v>42.25</v>
      </c>
      <c r="D72">
        <v>41.59</v>
      </c>
      <c r="E72" s="28">
        <v>42.1</v>
      </c>
      <c r="F72">
        <v>1671600</v>
      </c>
    </row>
    <row r="73" spans="1:6">
      <c r="A73" s="68">
        <v>41309</v>
      </c>
      <c r="B73">
        <v>41.81</v>
      </c>
      <c r="C73">
        <v>42.21</v>
      </c>
      <c r="D73">
        <v>41.55</v>
      </c>
      <c r="E73" s="28">
        <v>41.56</v>
      </c>
      <c r="F73">
        <v>1851700</v>
      </c>
    </row>
    <row r="74" spans="1:6">
      <c r="A74" s="68">
        <v>41306</v>
      </c>
      <c r="B74">
        <v>41.97</v>
      </c>
      <c r="C74">
        <v>42.44</v>
      </c>
      <c r="D74">
        <v>41.63</v>
      </c>
      <c r="E74" s="28">
        <v>42.17</v>
      </c>
      <c r="F74">
        <v>1643200</v>
      </c>
    </row>
    <row r="75" spans="1:6">
      <c r="A75" s="68">
        <v>41305</v>
      </c>
      <c r="B75">
        <v>41.34</v>
      </c>
      <c r="C75">
        <v>41.95</v>
      </c>
      <c r="D75">
        <v>41.34</v>
      </c>
      <c r="E75" s="28">
        <v>41.55</v>
      </c>
      <c r="F75">
        <v>1523700</v>
      </c>
    </row>
    <row r="76" spans="1:6">
      <c r="A76" s="68">
        <v>41304</v>
      </c>
      <c r="B76">
        <v>41.65</v>
      </c>
      <c r="C76">
        <v>41.85</v>
      </c>
      <c r="D76">
        <v>41.22</v>
      </c>
      <c r="E76" s="28">
        <v>41.47</v>
      </c>
      <c r="F76">
        <v>2894600</v>
      </c>
    </row>
    <row r="77" spans="1:6">
      <c r="A77" s="68">
        <v>41303</v>
      </c>
      <c r="B77">
        <v>40</v>
      </c>
      <c r="C77">
        <v>41.71</v>
      </c>
      <c r="D77">
        <v>40</v>
      </c>
      <c r="E77" s="28">
        <v>41.71</v>
      </c>
      <c r="F77">
        <v>4776700</v>
      </c>
    </row>
    <row r="78" spans="1:6">
      <c r="A78" s="68">
        <v>41302</v>
      </c>
      <c r="B78">
        <v>44.8</v>
      </c>
      <c r="C78">
        <v>44.99</v>
      </c>
      <c r="D78">
        <v>44.42</v>
      </c>
      <c r="E78" s="28">
        <v>44.48</v>
      </c>
      <c r="F78">
        <v>1739200</v>
      </c>
    </row>
    <row r="79" spans="1:6">
      <c r="A79" s="68">
        <v>41299</v>
      </c>
      <c r="B79">
        <v>44.25</v>
      </c>
      <c r="C79">
        <v>44.82</v>
      </c>
      <c r="D79">
        <v>44.1</v>
      </c>
      <c r="E79" s="28">
        <v>44.5</v>
      </c>
      <c r="F79">
        <v>1062100</v>
      </c>
    </row>
    <row r="80" spans="1:6">
      <c r="A80" s="68">
        <v>41298</v>
      </c>
      <c r="B80">
        <v>43.86</v>
      </c>
      <c r="C80">
        <v>44.53</v>
      </c>
      <c r="D80">
        <v>43.85</v>
      </c>
      <c r="E80" s="28">
        <v>44.05</v>
      </c>
      <c r="F80">
        <v>993700</v>
      </c>
    </row>
    <row r="81" spans="1:6">
      <c r="A81" s="68">
        <v>41297</v>
      </c>
      <c r="B81">
        <v>43.73</v>
      </c>
      <c r="C81">
        <v>44.22</v>
      </c>
      <c r="D81">
        <v>43.54</v>
      </c>
      <c r="E81" s="28">
        <v>43.91</v>
      </c>
      <c r="F81">
        <v>1443000</v>
      </c>
    </row>
    <row r="82" spans="1:6">
      <c r="A82" s="68">
        <v>41296</v>
      </c>
      <c r="B82">
        <v>43.7</v>
      </c>
      <c r="C82">
        <v>43.83</v>
      </c>
      <c r="D82">
        <v>43.22</v>
      </c>
      <c r="E82" s="28">
        <v>43.36</v>
      </c>
      <c r="F82">
        <v>1117200</v>
      </c>
    </row>
    <row r="83" spans="1:6">
      <c r="A83" s="68">
        <v>41295</v>
      </c>
      <c r="B83">
        <v>43.81</v>
      </c>
      <c r="C83">
        <v>43.81</v>
      </c>
      <c r="D83">
        <v>43.81</v>
      </c>
      <c r="E83" s="28">
        <v>43.81</v>
      </c>
      <c r="F83">
        <v>0</v>
      </c>
    </row>
    <row r="84" spans="1:6">
      <c r="A84" s="68">
        <v>41292</v>
      </c>
      <c r="B84">
        <v>42.87</v>
      </c>
      <c r="C84">
        <v>43.82</v>
      </c>
      <c r="D84">
        <v>42.87</v>
      </c>
      <c r="E84" s="28">
        <v>43.81</v>
      </c>
      <c r="F84">
        <v>2141600</v>
      </c>
    </row>
    <row r="85" spans="1:6">
      <c r="A85" s="68">
        <v>41291</v>
      </c>
      <c r="B85">
        <v>42.82</v>
      </c>
      <c r="C85">
        <v>42.95</v>
      </c>
      <c r="D85">
        <v>42.65</v>
      </c>
      <c r="E85" s="28">
        <v>42.76</v>
      </c>
      <c r="F85">
        <v>995600</v>
      </c>
    </row>
    <row r="86" spans="1:6">
      <c r="A86" s="68">
        <v>41290</v>
      </c>
      <c r="B86">
        <v>42.61</v>
      </c>
      <c r="C86">
        <v>42.83</v>
      </c>
      <c r="D86">
        <v>42.17</v>
      </c>
      <c r="E86" s="28">
        <v>42.62</v>
      </c>
      <c r="F86">
        <v>1140500</v>
      </c>
    </row>
    <row r="87" spans="1:6">
      <c r="A87" s="68">
        <v>41289</v>
      </c>
      <c r="B87">
        <v>42.25</v>
      </c>
      <c r="C87">
        <v>42.82</v>
      </c>
      <c r="D87">
        <v>42.2</v>
      </c>
      <c r="E87" s="28">
        <v>42.65</v>
      </c>
      <c r="F87">
        <v>1545100</v>
      </c>
    </row>
    <row r="88" spans="1:6">
      <c r="A88" s="68">
        <v>41288</v>
      </c>
      <c r="B88">
        <v>42.49</v>
      </c>
      <c r="C88">
        <v>42.86</v>
      </c>
      <c r="D88">
        <v>42.28</v>
      </c>
      <c r="E88" s="28">
        <v>42.64</v>
      </c>
      <c r="F88">
        <v>957400</v>
      </c>
    </row>
    <row r="89" spans="1:6">
      <c r="A89" s="68">
        <v>41285</v>
      </c>
      <c r="B89">
        <v>42.25</v>
      </c>
      <c r="C89">
        <v>42.76</v>
      </c>
      <c r="D89">
        <v>42.13</v>
      </c>
      <c r="E89" s="28">
        <v>42.68</v>
      </c>
      <c r="F89">
        <v>1276800</v>
      </c>
    </row>
    <row r="90" spans="1:6">
      <c r="A90" s="68">
        <v>41284</v>
      </c>
      <c r="B90">
        <v>42.02</v>
      </c>
      <c r="C90">
        <v>42.41</v>
      </c>
      <c r="D90">
        <v>41.88</v>
      </c>
      <c r="E90" s="28">
        <v>42.23</v>
      </c>
      <c r="F90">
        <v>1810400</v>
      </c>
    </row>
    <row r="91" spans="1:6">
      <c r="A91" s="68">
        <v>41283</v>
      </c>
      <c r="B91">
        <v>41.05</v>
      </c>
      <c r="C91">
        <v>41.95</v>
      </c>
      <c r="D91">
        <v>41.01</v>
      </c>
      <c r="E91" s="28">
        <v>41.82</v>
      </c>
      <c r="F91">
        <v>1743400</v>
      </c>
    </row>
    <row r="92" spans="1:6">
      <c r="A92" s="68">
        <v>41282</v>
      </c>
      <c r="B92">
        <v>40.24</v>
      </c>
      <c r="C92">
        <v>41.08</v>
      </c>
      <c r="D92">
        <v>40.17</v>
      </c>
      <c r="E92" s="28">
        <v>40.92</v>
      </c>
      <c r="F92">
        <v>1186000</v>
      </c>
    </row>
    <row r="93" spans="1:6">
      <c r="A93" s="68">
        <v>41281</v>
      </c>
      <c r="B93">
        <v>40.700000000000003</v>
      </c>
      <c r="C93">
        <v>40.9</v>
      </c>
      <c r="D93">
        <v>40.28</v>
      </c>
      <c r="E93" s="28">
        <v>40.42</v>
      </c>
      <c r="F93">
        <v>916100</v>
      </c>
    </row>
    <row r="94" spans="1:6">
      <c r="A94" s="68">
        <v>41278</v>
      </c>
      <c r="B94">
        <v>40.92</v>
      </c>
      <c r="C94">
        <v>41.17</v>
      </c>
      <c r="D94">
        <v>40.72</v>
      </c>
      <c r="E94" s="28">
        <v>40.93</v>
      </c>
      <c r="F94">
        <v>818000</v>
      </c>
    </row>
    <row r="95" spans="1:6">
      <c r="A95" s="68">
        <v>41277</v>
      </c>
      <c r="B95">
        <v>41.04</v>
      </c>
      <c r="C95">
        <v>41.23</v>
      </c>
      <c r="D95">
        <v>40.68</v>
      </c>
      <c r="E95" s="28">
        <v>40.76</v>
      </c>
      <c r="F95">
        <v>976000</v>
      </c>
    </row>
    <row r="96" spans="1:6">
      <c r="A96" s="68">
        <v>41276</v>
      </c>
      <c r="B96">
        <v>40.28</v>
      </c>
      <c r="C96">
        <v>41.09</v>
      </c>
      <c r="D96">
        <v>40.21</v>
      </c>
      <c r="E96" s="28">
        <v>41.09</v>
      </c>
      <c r="F96">
        <v>2498700</v>
      </c>
    </row>
    <row r="97" spans="1:6">
      <c r="A97" s="68">
        <v>41275</v>
      </c>
      <c r="B97">
        <v>39.619999999999997</v>
      </c>
      <c r="C97">
        <v>39.619999999999997</v>
      </c>
      <c r="D97">
        <v>39.619999999999997</v>
      </c>
      <c r="E97" s="28">
        <v>39.619999999999997</v>
      </c>
      <c r="F97">
        <v>0</v>
      </c>
    </row>
    <row r="98" spans="1:6">
      <c r="A98" s="68">
        <v>41274</v>
      </c>
      <c r="B98">
        <v>39.56</v>
      </c>
      <c r="C98">
        <v>39.75</v>
      </c>
      <c r="D98">
        <v>39.31</v>
      </c>
      <c r="E98" s="28">
        <v>39.619999999999997</v>
      </c>
      <c r="F98">
        <v>1433100</v>
      </c>
    </row>
    <row r="99" spans="1:6">
      <c r="A99" s="68">
        <v>41271</v>
      </c>
      <c r="B99">
        <v>39.72</v>
      </c>
      <c r="C99">
        <v>39.880000000000003</v>
      </c>
      <c r="D99">
        <v>39.450000000000003</v>
      </c>
      <c r="E99" s="28">
        <v>39.56</v>
      </c>
      <c r="F99">
        <v>799400</v>
      </c>
    </row>
    <row r="100" spans="1:6">
      <c r="A100" s="68">
        <v>41270</v>
      </c>
      <c r="B100">
        <v>40.35</v>
      </c>
      <c r="C100">
        <v>40.39</v>
      </c>
      <c r="D100">
        <v>39.409999999999997</v>
      </c>
      <c r="E100" s="28">
        <v>39.880000000000003</v>
      </c>
      <c r="F100">
        <v>1381500</v>
      </c>
    </row>
    <row r="101" spans="1:6">
      <c r="A101" s="68">
        <v>41269</v>
      </c>
      <c r="B101">
        <v>40.74</v>
      </c>
      <c r="C101">
        <v>40.97</v>
      </c>
      <c r="D101">
        <v>40.29</v>
      </c>
      <c r="E101" s="28">
        <v>40.39</v>
      </c>
      <c r="F101">
        <v>982900</v>
      </c>
    </row>
    <row r="102" spans="1:6">
      <c r="A102" s="68">
        <v>41268</v>
      </c>
      <c r="B102">
        <v>40.869999999999997</v>
      </c>
      <c r="C102">
        <v>40.869999999999997</v>
      </c>
      <c r="D102">
        <v>40.869999999999997</v>
      </c>
      <c r="E102" s="28">
        <v>40.869999999999997</v>
      </c>
      <c r="F102">
        <v>0</v>
      </c>
    </row>
    <row r="103" spans="1:6">
      <c r="A103" s="68">
        <v>41267</v>
      </c>
      <c r="B103">
        <v>40.83</v>
      </c>
      <c r="C103">
        <v>41.04</v>
      </c>
      <c r="D103">
        <v>40.450000000000003</v>
      </c>
      <c r="E103" s="28">
        <v>40.869999999999997</v>
      </c>
      <c r="F103">
        <v>446900</v>
      </c>
    </row>
    <row r="104" spans="1:6">
      <c r="A104" s="68">
        <v>41264</v>
      </c>
      <c r="B104">
        <v>40.86</v>
      </c>
      <c r="C104">
        <v>41.1</v>
      </c>
      <c r="D104">
        <v>40.29</v>
      </c>
      <c r="E104" s="28">
        <v>40.71</v>
      </c>
      <c r="F104">
        <v>2968100</v>
      </c>
    </row>
    <row r="105" spans="1:6">
      <c r="A105" s="68">
        <v>41263</v>
      </c>
      <c r="B105">
        <v>41.98</v>
      </c>
      <c r="C105">
        <v>42.04</v>
      </c>
      <c r="D105">
        <v>41.79</v>
      </c>
      <c r="E105" s="28">
        <v>41.94</v>
      </c>
      <c r="F105">
        <v>1632100</v>
      </c>
    </row>
    <row r="106" spans="1:6">
      <c r="A106" s="68">
        <v>41262</v>
      </c>
      <c r="B106">
        <v>41.79</v>
      </c>
      <c r="C106">
        <v>42.3</v>
      </c>
      <c r="D106">
        <v>41.69</v>
      </c>
      <c r="E106" s="28">
        <v>41.91</v>
      </c>
      <c r="F106">
        <v>2858900</v>
      </c>
    </row>
    <row r="107" spans="1:6">
      <c r="A107" s="68">
        <v>41261</v>
      </c>
      <c r="B107">
        <v>41.11</v>
      </c>
      <c r="C107">
        <v>41.69</v>
      </c>
      <c r="D107">
        <v>40.82</v>
      </c>
      <c r="E107" s="28">
        <v>41.67</v>
      </c>
      <c r="F107">
        <v>2153400</v>
      </c>
    </row>
    <row r="108" spans="1:6">
      <c r="A108" s="68">
        <v>41260</v>
      </c>
      <c r="B108">
        <v>40.159999999999997</v>
      </c>
      <c r="C108">
        <v>41.1</v>
      </c>
      <c r="D108">
        <v>39.99</v>
      </c>
      <c r="E108" s="28">
        <v>41.08</v>
      </c>
      <c r="F108">
        <v>2233600</v>
      </c>
    </row>
    <row r="109" spans="1:6">
      <c r="A109" s="68">
        <v>41257</v>
      </c>
      <c r="B109">
        <v>39.729999999999997</v>
      </c>
      <c r="C109">
        <v>40.32</v>
      </c>
      <c r="D109">
        <v>39.61</v>
      </c>
      <c r="E109" s="28">
        <v>40.18</v>
      </c>
      <c r="F109">
        <v>995400</v>
      </c>
    </row>
    <row r="110" spans="1:6">
      <c r="A110" s="68">
        <v>41256</v>
      </c>
      <c r="B110">
        <v>40.68</v>
      </c>
      <c r="C110">
        <v>40.98</v>
      </c>
      <c r="D110">
        <v>39.799999999999997</v>
      </c>
      <c r="E110" s="28">
        <v>39.89</v>
      </c>
      <c r="F110">
        <v>1573100</v>
      </c>
    </row>
    <row r="111" spans="1:6">
      <c r="A111" s="68">
        <v>41255</v>
      </c>
      <c r="B111">
        <v>41.59</v>
      </c>
      <c r="C111">
        <v>41.6</v>
      </c>
      <c r="D111">
        <v>40.67</v>
      </c>
      <c r="E111" s="28">
        <v>40.799999999999997</v>
      </c>
      <c r="F111">
        <v>2112200</v>
      </c>
    </row>
    <row r="112" spans="1:6">
      <c r="A112" s="68">
        <v>41254</v>
      </c>
      <c r="B112">
        <v>41.3</v>
      </c>
      <c r="C112">
        <v>41.59</v>
      </c>
      <c r="D112">
        <v>40.950000000000003</v>
      </c>
      <c r="E112" s="28">
        <v>41.53</v>
      </c>
      <c r="F112">
        <v>1884300</v>
      </c>
    </row>
    <row r="113" spans="1:6">
      <c r="A113" s="68">
        <v>41253</v>
      </c>
      <c r="B113">
        <v>40.51</v>
      </c>
      <c r="C113">
        <v>41.42</v>
      </c>
      <c r="D113">
        <v>40.51</v>
      </c>
      <c r="E113" s="28">
        <v>41.42</v>
      </c>
      <c r="F113">
        <v>1126200</v>
      </c>
    </row>
    <row r="114" spans="1:6">
      <c r="A114" s="68">
        <v>41250</v>
      </c>
      <c r="B114">
        <v>41.01</v>
      </c>
      <c r="C114">
        <v>41.05</v>
      </c>
      <c r="D114">
        <v>40.69</v>
      </c>
      <c r="E114" s="28">
        <v>40.81</v>
      </c>
      <c r="F114">
        <v>1099200</v>
      </c>
    </row>
    <row r="115" spans="1:6">
      <c r="A115" s="68">
        <v>41249</v>
      </c>
      <c r="B115">
        <v>40.22</v>
      </c>
      <c r="C115">
        <v>40.74</v>
      </c>
      <c r="D115">
        <v>40.03</v>
      </c>
      <c r="E115" s="28">
        <v>40.729999999999997</v>
      </c>
      <c r="F115">
        <v>732200</v>
      </c>
    </row>
    <row r="116" spans="1:6">
      <c r="A116" s="68">
        <v>41248</v>
      </c>
      <c r="B116">
        <v>40.28</v>
      </c>
      <c r="C116">
        <v>40.380000000000003</v>
      </c>
      <c r="D116">
        <v>39.869999999999997</v>
      </c>
      <c r="E116" s="28">
        <v>40.200000000000003</v>
      </c>
      <c r="F116">
        <v>1217500</v>
      </c>
    </row>
    <row r="117" spans="1:6">
      <c r="A117" s="68">
        <v>41247</v>
      </c>
      <c r="B117">
        <v>40.6</v>
      </c>
      <c r="C117">
        <v>40.74</v>
      </c>
      <c r="D117">
        <v>40.22</v>
      </c>
      <c r="E117" s="28">
        <v>40.42</v>
      </c>
      <c r="F117">
        <v>937400</v>
      </c>
    </row>
    <row r="118" spans="1:6">
      <c r="A118" s="68">
        <v>41246</v>
      </c>
      <c r="B118">
        <v>41.08</v>
      </c>
      <c r="C118">
        <v>41.1</v>
      </c>
      <c r="D118">
        <v>40.54</v>
      </c>
      <c r="E118" s="28">
        <v>40.54</v>
      </c>
      <c r="F118">
        <v>861200</v>
      </c>
    </row>
    <row r="119" spans="1:6">
      <c r="A119" s="68">
        <v>41243</v>
      </c>
      <c r="B119">
        <v>40.950000000000003</v>
      </c>
      <c r="C119">
        <v>41.03</v>
      </c>
      <c r="D119">
        <v>40.72</v>
      </c>
      <c r="E119" s="28">
        <v>40.96</v>
      </c>
      <c r="F119">
        <v>1196900</v>
      </c>
    </row>
    <row r="120" spans="1:6">
      <c r="A120" s="68">
        <v>41242</v>
      </c>
      <c r="B120">
        <v>41</v>
      </c>
      <c r="C120">
        <v>41.08</v>
      </c>
      <c r="D120">
        <v>40.630000000000003</v>
      </c>
      <c r="E120" s="28">
        <v>40.880000000000003</v>
      </c>
      <c r="F120">
        <v>1101900</v>
      </c>
    </row>
    <row r="121" spans="1:6">
      <c r="A121" s="68">
        <v>41241</v>
      </c>
      <c r="B121">
        <v>40.340000000000003</v>
      </c>
      <c r="C121">
        <v>40.98</v>
      </c>
      <c r="D121">
        <v>39.93</v>
      </c>
      <c r="E121" s="28">
        <v>40.950000000000003</v>
      </c>
      <c r="F121">
        <v>1041000</v>
      </c>
    </row>
    <row r="122" spans="1:6">
      <c r="A122" s="68">
        <v>41240</v>
      </c>
      <c r="B122">
        <v>40.19</v>
      </c>
      <c r="C122">
        <v>41.36</v>
      </c>
      <c r="D122">
        <v>40.020000000000003</v>
      </c>
      <c r="E122" s="28">
        <v>40.619999999999997</v>
      </c>
      <c r="F122">
        <v>1894700</v>
      </c>
    </row>
    <row r="123" spans="1:6">
      <c r="A123" s="68">
        <v>41239</v>
      </c>
      <c r="B123">
        <v>40.090000000000003</v>
      </c>
      <c r="C123">
        <v>40.299999999999997</v>
      </c>
      <c r="D123">
        <v>39.79</v>
      </c>
      <c r="E123" s="28">
        <v>40.26</v>
      </c>
      <c r="F123">
        <v>1097800</v>
      </c>
    </row>
    <row r="124" spans="1:6">
      <c r="A124" s="68">
        <v>41236</v>
      </c>
      <c r="B124">
        <v>39.840000000000003</v>
      </c>
      <c r="C124">
        <v>40.26</v>
      </c>
      <c r="D124">
        <v>39.64</v>
      </c>
      <c r="E124" s="28">
        <v>40.19</v>
      </c>
      <c r="F124">
        <v>318800</v>
      </c>
    </row>
    <row r="125" spans="1:6">
      <c r="A125" s="68">
        <v>41235</v>
      </c>
      <c r="B125">
        <v>39.68</v>
      </c>
      <c r="C125">
        <v>39.68</v>
      </c>
      <c r="D125">
        <v>39.68</v>
      </c>
      <c r="E125" s="28">
        <v>39.68</v>
      </c>
      <c r="F125">
        <v>0</v>
      </c>
    </row>
    <row r="126" spans="1:6">
      <c r="A126" s="68">
        <v>41234</v>
      </c>
      <c r="B126">
        <v>39.53</v>
      </c>
      <c r="C126">
        <v>39.880000000000003</v>
      </c>
      <c r="D126">
        <v>39.479999999999997</v>
      </c>
      <c r="E126" s="28">
        <v>39.68</v>
      </c>
      <c r="F126">
        <v>536800</v>
      </c>
    </row>
    <row r="127" spans="1:6">
      <c r="A127" s="68">
        <v>41233</v>
      </c>
      <c r="B127">
        <v>39.58</v>
      </c>
      <c r="C127">
        <v>39.71</v>
      </c>
      <c r="D127">
        <v>39.33</v>
      </c>
      <c r="E127" s="28">
        <v>39.56</v>
      </c>
      <c r="F127">
        <v>1292700</v>
      </c>
    </row>
    <row r="128" spans="1:6">
      <c r="A128" s="68">
        <v>41232</v>
      </c>
      <c r="B128">
        <v>39.29</v>
      </c>
      <c r="C128">
        <v>39.659999999999997</v>
      </c>
      <c r="D128">
        <v>39.03</v>
      </c>
      <c r="E128" s="28">
        <v>39.590000000000003</v>
      </c>
      <c r="F128">
        <v>1018900</v>
      </c>
    </row>
    <row r="129" spans="1:6">
      <c r="A129" s="68">
        <v>41229</v>
      </c>
      <c r="B129">
        <v>38.89</v>
      </c>
      <c r="C129">
        <v>38.99</v>
      </c>
      <c r="D129">
        <v>38.04</v>
      </c>
      <c r="E129" s="28">
        <v>38.729999999999997</v>
      </c>
      <c r="F129">
        <v>1214600</v>
      </c>
    </row>
    <row r="130" spans="1:6">
      <c r="A130" s="68">
        <v>41228</v>
      </c>
      <c r="B130">
        <v>39.33</v>
      </c>
      <c r="C130">
        <v>39.47</v>
      </c>
      <c r="D130">
        <v>38.61</v>
      </c>
      <c r="E130" s="28">
        <v>39.01</v>
      </c>
      <c r="F130">
        <v>971800</v>
      </c>
    </row>
    <row r="131" spans="1:6">
      <c r="A131" s="68">
        <v>41227</v>
      </c>
      <c r="B131">
        <v>39.9</v>
      </c>
      <c r="C131">
        <v>40</v>
      </c>
      <c r="D131">
        <v>39.049999999999997</v>
      </c>
      <c r="E131" s="28">
        <v>39.26</v>
      </c>
      <c r="F131">
        <v>1222000</v>
      </c>
    </row>
    <row r="132" spans="1:6">
      <c r="A132" s="68">
        <v>41226</v>
      </c>
      <c r="B132">
        <v>39.92</v>
      </c>
      <c r="C132">
        <v>39.99</v>
      </c>
      <c r="D132">
        <v>39.54</v>
      </c>
      <c r="E132" s="28">
        <v>39.74</v>
      </c>
      <c r="F132">
        <v>805800</v>
      </c>
    </row>
    <row r="133" spans="1:6">
      <c r="A133" s="68">
        <v>41225</v>
      </c>
      <c r="B133">
        <v>40.299999999999997</v>
      </c>
      <c r="C133">
        <v>40.32</v>
      </c>
      <c r="D133">
        <v>39.729999999999997</v>
      </c>
      <c r="E133" s="28">
        <v>40.119999999999997</v>
      </c>
      <c r="F133">
        <v>642000</v>
      </c>
    </row>
    <row r="134" spans="1:6">
      <c r="A134" s="68">
        <v>41222</v>
      </c>
      <c r="B134">
        <v>39.82</v>
      </c>
      <c r="C134">
        <v>40.590000000000003</v>
      </c>
      <c r="D134">
        <v>39.82</v>
      </c>
      <c r="E134" s="28">
        <v>40.24</v>
      </c>
      <c r="F134">
        <v>972900</v>
      </c>
    </row>
    <row r="135" spans="1:6">
      <c r="A135" s="68">
        <v>41221</v>
      </c>
      <c r="B135">
        <v>40.94</v>
      </c>
      <c r="C135">
        <v>41.05</v>
      </c>
      <c r="D135">
        <v>39.96</v>
      </c>
      <c r="E135" s="28">
        <v>39.979999999999997</v>
      </c>
      <c r="F135">
        <v>1022600</v>
      </c>
    </row>
    <row r="136" spans="1:6">
      <c r="A136" s="68">
        <v>41220</v>
      </c>
      <c r="B136">
        <v>41.25</v>
      </c>
      <c r="C136">
        <v>41.34</v>
      </c>
      <c r="D136">
        <v>40.96</v>
      </c>
      <c r="E136" s="28">
        <v>41.08</v>
      </c>
      <c r="F136">
        <v>1507400</v>
      </c>
    </row>
    <row r="137" spans="1:6">
      <c r="A137" s="68">
        <v>41219</v>
      </c>
      <c r="B137">
        <v>41.21</v>
      </c>
      <c r="C137">
        <v>41.86</v>
      </c>
      <c r="D137">
        <v>41.19</v>
      </c>
      <c r="E137" s="28">
        <v>41.55</v>
      </c>
      <c r="F137">
        <v>2564300</v>
      </c>
    </row>
    <row r="138" spans="1:6">
      <c r="A138" s="68">
        <v>41218</v>
      </c>
      <c r="B138">
        <v>40.700000000000003</v>
      </c>
      <c r="C138">
        <v>41.16</v>
      </c>
      <c r="D138">
        <v>40.67</v>
      </c>
      <c r="E138" s="28">
        <v>41.06</v>
      </c>
      <c r="F138">
        <v>1298300</v>
      </c>
    </row>
    <row r="139" spans="1:6">
      <c r="A139" s="68">
        <v>41215</v>
      </c>
      <c r="B139">
        <v>41.11</v>
      </c>
      <c r="C139">
        <v>41.34</v>
      </c>
      <c r="D139">
        <v>40.97</v>
      </c>
      <c r="E139" s="28">
        <v>41.04</v>
      </c>
      <c r="F139">
        <v>1719300</v>
      </c>
    </row>
    <row r="140" spans="1:6">
      <c r="A140" s="68">
        <v>41214</v>
      </c>
      <c r="B140">
        <v>41.5</v>
      </c>
      <c r="C140">
        <v>41.72</v>
      </c>
      <c r="D140">
        <v>40.5</v>
      </c>
      <c r="E140" s="28">
        <v>40.98</v>
      </c>
      <c r="F140">
        <v>3891600</v>
      </c>
    </row>
    <row r="141" spans="1:6">
      <c r="A141" s="68">
        <v>41213</v>
      </c>
      <c r="B141">
        <v>41.02</v>
      </c>
      <c r="C141">
        <v>41.74</v>
      </c>
      <c r="D141">
        <v>40.49</v>
      </c>
      <c r="E141" s="28">
        <v>40.700000000000003</v>
      </c>
      <c r="F141">
        <v>1588900</v>
      </c>
    </row>
    <row r="142" spans="1:6">
      <c r="A142" s="68">
        <v>41212</v>
      </c>
      <c r="B142">
        <v>40.98</v>
      </c>
      <c r="C142">
        <v>40.98</v>
      </c>
      <c r="D142">
        <v>40.98</v>
      </c>
      <c r="E142" s="28">
        <v>40.98</v>
      </c>
      <c r="F142">
        <v>0</v>
      </c>
    </row>
    <row r="143" spans="1:6">
      <c r="A143" s="68">
        <v>41211</v>
      </c>
      <c r="B143">
        <v>40.98</v>
      </c>
      <c r="C143">
        <v>40.98</v>
      </c>
      <c r="D143">
        <v>40.98</v>
      </c>
      <c r="E143" s="28">
        <v>40.98</v>
      </c>
      <c r="F143">
        <v>0</v>
      </c>
    </row>
    <row r="144" spans="1:6">
      <c r="A144" s="68">
        <v>41208</v>
      </c>
      <c r="B144">
        <v>41.02</v>
      </c>
      <c r="C144">
        <v>41.58</v>
      </c>
      <c r="D144">
        <v>40.71</v>
      </c>
      <c r="E144" s="28">
        <v>40.98</v>
      </c>
      <c r="F144">
        <v>884200</v>
      </c>
    </row>
    <row r="145" spans="1:6">
      <c r="A145" s="68">
        <v>41207</v>
      </c>
      <c r="B145">
        <v>41.54</v>
      </c>
      <c r="C145">
        <v>41.74</v>
      </c>
      <c r="D145">
        <v>41.16</v>
      </c>
      <c r="E145" s="28">
        <v>41.47</v>
      </c>
      <c r="F145">
        <v>647800</v>
      </c>
    </row>
    <row r="146" spans="1:6">
      <c r="A146" s="68">
        <v>41206</v>
      </c>
      <c r="B146">
        <v>41.5</v>
      </c>
      <c r="C146">
        <v>41.76</v>
      </c>
      <c r="D146">
        <v>41.03</v>
      </c>
      <c r="E146" s="28">
        <v>41.38</v>
      </c>
      <c r="F146">
        <v>1233600</v>
      </c>
    </row>
    <row r="147" spans="1:6">
      <c r="A147" s="68">
        <v>41205</v>
      </c>
      <c r="B147">
        <v>40.770000000000003</v>
      </c>
      <c r="C147">
        <v>41.63</v>
      </c>
      <c r="D147">
        <v>40.35</v>
      </c>
      <c r="E147" s="28">
        <v>41.53</v>
      </c>
      <c r="F147">
        <v>1707300</v>
      </c>
    </row>
    <row r="148" spans="1:6">
      <c r="A148" s="68">
        <v>41204</v>
      </c>
      <c r="B148">
        <v>41.89</v>
      </c>
      <c r="C148">
        <v>41.89</v>
      </c>
      <c r="D148">
        <v>40.49</v>
      </c>
      <c r="E148" s="28">
        <v>41.02</v>
      </c>
      <c r="F148">
        <v>2081800</v>
      </c>
    </row>
    <row r="149" spans="1:6">
      <c r="A149" s="68">
        <v>41201</v>
      </c>
      <c r="B149">
        <v>41.12</v>
      </c>
      <c r="C149">
        <v>41.27</v>
      </c>
      <c r="D149">
        <v>40.24</v>
      </c>
      <c r="E149" s="28">
        <v>40.340000000000003</v>
      </c>
      <c r="F149">
        <v>1029700</v>
      </c>
    </row>
    <row r="150" spans="1:6">
      <c r="A150" s="68">
        <v>41200</v>
      </c>
      <c r="B150">
        <v>41.19</v>
      </c>
      <c r="C150">
        <v>41.46</v>
      </c>
      <c r="D150">
        <v>40.89</v>
      </c>
      <c r="E150" s="28">
        <v>41.1</v>
      </c>
      <c r="F150">
        <v>1115600</v>
      </c>
    </row>
    <row r="151" spans="1:6">
      <c r="A151" s="68">
        <v>41199</v>
      </c>
      <c r="B151">
        <v>41.59</v>
      </c>
      <c r="C151">
        <v>41.74</v>
      </c>
      <c r="D151">
        <v>41.05</v>
      </c>
      <c r="E151" s="28">
        <v>41.13</v>
      </c>
      <c r="F151">
        <v>1319000</v>
      </c>
    </row>
    <row r="152" spans="1:6">
      <c r="A152" s="68">
        <v>41198</v>
      </c>
      <c r="B152">
        <v>41.44</v>
      </c>
      <c r="C152">
        <v>42.17</v>
      </c>
      <c r="D152">
        <v>41.23</v>
      </c>
      <c r="E152" s="28">
        <v>42.02</v>
      </c>
      <c r="F152">
        <v>1311300</v>
      </c>
    </row>
    <row r="153" spans="1:6">
      <c r="A153" s="68">
        <v>41197</v>
      </c>
      <c r="B153">
        <v>42</v>
      </c>
      <c r="C153">
        <v>42.2</v>
      </c>
      <c r="D153">
        <v>41.14</v>
      </c>
      <c r="E153" s="28">
        <v>41.49</v>
      </c>
      <c r="F153">
        <v>1611200</v>
      </c>
    </row>
    <row r="154" spans="1:6">
      <c r="A154" s="68">
        <v>41194</v>
      </c>
      <c r="B154">
        <v>42.51</v>
      </c>
      <c r="C154">
        <v>42.78</v>
      </c>
      <c r="D154">
        <v>42.31</v>
      </c>
      <c r="E154" s="28">
        <v>42.55</v>
      </c>
      <c r="F154">
        <v>837300</v>
      </c>
    </row>
    <row r="155" spans="1:6">
      <c r="A155" s="68">
        <v>41193</v>
      </c>
      <c r="B155">
        <v>42.15</v>
      </c>
      <c r="C155">
        <v>42.52</v>
      </c>
      <c r="D155">
        <v>41.94</v>
      </c>
      <c r="E155" s="28">
        <v>42.43</v>
      </c>
      <c r="F155">
        <v>1319100</v>
      </c>
    </row>
    <row r="156" spans="1:6">
      <c r="A156" s="68">
        <v>41192</v>
      </c>
      <c r="B156">
        <v>42.46</v>
      </c>
      <c r="C156">
        <v>42.58</v>
      </c>
      <c r="D156">
        <v>41.91</v>
      </c>
      <c r="E156" s="28">
        <v>41.96</v>
      </c>
      <c r="F156">
        <v>1936500</v>
      </c>
    </row>
    <row r="157" spans="1:6">
      <c r="A157" s="68">
        <v>41191</v>
      </c>
      <c r="B157">
        <v>43.17</v>
      </c>
      <c r="C157">
        <v>43.24</v>
      </c>
      <c r="D157">
        <v>42.22</v>
      </c>
      <c r="E157" s="28">
        <v>42.45</v>
      </c>
      <c r="F157">
        <v>1101300</v>
      </c>
    </row>
    <row r="158" spans="1:6">
      <c r="A158" s="68">
        <v>41190</v>
      </c>
      <c r="B158">
        <v>43.19</v>
      </c>
      <c r="C158">
        <v>43.54</v>
      </c>
      <c r="D158">
        <v>43.05</v>
      </c>
      <c r="E158" s="28">
        <v>43.28</v>
      </c>
      <c r="F158">
        <v>712200</v>
      </c>
    </row>
    <row r="159" spans="1:6">
      <c r="A159" s="68">
        <v>41187</v>
      </c>
      <c r="B159">
        <v>43.67</v>
      </c>
      <c r="C159">
        <v>43.79</v>
      </c>
      <c r="D159">
        <v>43.2</v>
      </c>
      <c r="E159" s="28">
        <v>43.34</v>
      </c>
      <c r="F159">
        <v>1280300</v>
      </c>
    </row>
    <row r="160" spans="1:6">
      <c r="A160" s="68">
        <v>41186</v>
      </c>
      <c r="B160">
        <v>43.41</v>
      </c>
      <c r="C160">
        <v>43.62</v>
      </c>
      <c r="D160">
        <v>42.9</v>
      </c>
      <c r="E160" s="28">
        <v>43.39</v>
      </c>
      <c r="F160">
        <v>1049700</v>
      </c>
    </row>
    <row r="161" spans="1:6">
      <c r="A161" s="68">
        <v>41185</v>
      </c>
      <c r="B161">
        <v>43.45</v>
      </c>
      <c r="C161">
        <v>43.81</v>
      </c>
      <c r="D161">
        <v>42.97</v>
      </c>
      <c r="E161" s="28">
        <v>43.34</v>
      </c>
      <c r="F161">
        <v>1345100</v>
      </c>
    </row>
    <row r="162" spans="1:6">
      <c r="A162" s="68">
        <v>41184</v>
      </c>
      <c r="B162">
        <v>43</v>
      </c>
      <c r="C162">
        <v>44.06</v>
      </c>
      <c r="D162">
        <v>42.95</v>
      </c>
      <c r="E162" s="28">
        <v>43.48</v>
      </c>
      <c r="F162">
        <v>2710800</v>
      </c>
    </row>
    <row r="163" spans="1:6">
      <c r="A163" s="68">
        <v>41183</v>
      </c>
      <c r="B163">
        <v>41.88</v>
      </c>
      <c r="C163">
        <v>45</v>
      </c>
      <c r="D163">
        <v>41.22</v>
      </c>
      <c r="E163" s="28">
        <v>42.85</v>
      </c>
      <c r="F163">
        <v>6330500</v>
      </c>
    </row>
    <row r="164" spans="1:6">
      <c r="A164" s="68">
        <v>41180</v>
      </c>
      <c r="B164">
        <v>41.43</v>
      </c>
      <c r="C164">
        <v>41.75</v>
      </c>
      <c r="D164">
        <v>41.18</v>
      </c>
      <c r="E164" s="28">
        <v>41.49</v>
      </c>
      <c r="F164">
        <v>751200</v>
      </c>
    </row>
    <row r="165" spans="1:6">
      <c r="A165" s="68">
        <v>41179</v>
      </c>
      <c r="B165">
        <v>41.53</v>
      </c>
      <c r="C165">
        <v>41.86</v>
      </c>
      <c r="D165">
        <v>41.1</v>
      </c>
      <c r="E165" s="28">
        <v>41.67</v>
      </c>
      <c r="F165">
        <v>1022700</v>
      </c>
    </row>
    <row r="166" spans="1:6">
      <c r="A166" s="68">
        <v>41178</v>
      </c>
      <c r="B166">
        <v>41.91</v>
      </c>
      <c r="C166">
        <v>41.92</v>
      </c>
      <c r="D166">
        <v>41.26</v>
      </c>
      <c r="E166" s="28">
        <v>41.33</v>
      </c>
      <c r="F166">
        <v>1287500</v>
      </c>
    </row>
    <row r="167" spans="1:6">
      <c r="A167" s="68">
        <v>41177</v>
      </c>
      <c r="B167">
        <v>42.73</v>
      </c>
      <c r="C167">
        <v>42.87</v>
      </c>
      <c r="D167">
        <v>41.78</v>
      </c>
      <c r="E167" s="28">
        <v>41.85</v>
      </c>
      <c r="F167">
        <v>1204400</v>
      </c>
    </row>
    <row r="168" spans="1:6">
      <c r="A168" s="68">
        <v>41176</v>
      </c>
      <c r="B168">
        <v>42.51</v>
      </c>
      <c r="C168">
        <v>42.99</v>
      </c>
      <c r="D168">
        <v>42.38</v>
      </c>
      <c r="E168" s="28">
        <v>42.68</v>
      </c>
      <c r="F168">
        <v>862200</v>
      </c>
    </row>
    <row r="169" spans="1:6">
      <c r="A169" s="68">
        <v>41173</v>
      </c>
      <c r="B169">
        <v>42.83</v>
      </c>
      <c r="C169">
        <v>43.09</v>
      </c>
      <c r="D169">
        <v>42.51</v>
      </c>
      <c r="E169" s="28">
        <v>42.79</v>
      </c>
      <c r="F169">
        <v>3561100</v>
      </c>
    </row>
    <row r="170" spans="1:6">
      <c r="A170" s="68">
        <v>41172</v>
      </c>
      <c r="B170">
        <v>42.71</v>
      </c>
      <c r="C170">
        <v>43</v>
      </c>
      <c r="D170">
        <v>42.65</v>
      </c>
      <c r="E170" s="28">
        <v>42.83</v>
      </c>
      <c r="F170">
        <v>671700</v>
      </c>
    </row>
    <row r="171" spans="1:6">
      <c r="A171" s="68">
        <v>41171</v>
      </c>
      <c r="B171">
        <v>43</v>
      </c>
      <c r="C171">
        <v>43.48</v>
      </c>
      <c r="D171">
        <v>42.85</v>
      </c>
      <c r="E171" s="28">
        <v>42.94</v>
      </c>
      <c r="F171">
        <v>737300</v>
      </c>
    </row>
    <row r="172" spans="1:6">
      <c r="A172" s="68">
        <v>41170</v>
      </c>
      <c r="B172">
        <v>43.6</v>
      </c>
      <c r="C172">
        <v>44.2</v>
      </c>
      <c r="D172">
        <v>42.99</v>
      </c>
      <c r="E172" s="28">
        <v>43.09</v>
      </c>
      <c r="F172">
        <v>1080200</v>
      </c>
    </row>
    <row r="173" spans="1:6">
      <c r="A173" s="68">
        <v>41169</v>
      </c>
      <c r="B173">
        <v>43.2</v>
      </c>
      <c r="C173">
        <v>43.25</v>
      </c>
      <c r="D173">
        <v>42.71</v>
      </c>
      <c r="E173" s="28">
        <v>42.99</v>
      </c>
      <c r="F173">
        <v>769600</v>
      </c>
    </row>
    <row r="174" spans="1:6">
      <c r="A174" s="68">
        <v>41166</v>
      </c>
      <c r="B174">
        <v>42.95</v>
      </c>
      <c r="C174">
        <v>43.42</v>
      </c>
      <c r="D174">
        <v>42.76</v>
      </c>
      <c r="E174" s="28">
        <v>43.09</v>
      </c>
      <c r="F174">
        <v>920600</v>
      </c>
    </row>
    <row r="175" spans="1:6">
      <c r="A175" s="68">
        <v>41165</v>
      </c>
      <c r="B175">
        <v>42.7</v>
      </c>
      <c r="C175">
        <v>43.24</v>
      </c>
      <c r="D175">
        <v>42.37</v>
      </c>
      <c r="E175" s="28">
        <v>42.96</v>
      </c>
      <c r="F175">
        <v>785600</v>
      </c>
    </row>
    <row r="176" spans="1:6">
      <c r="A176" s="68">
        <v>41164</v>
      </c>
      <c r="B176">
        <v>42.81</v>
      </c>
      <c r="C176">
        <v>42.95</v>
      </c>
      <c r="D176">
        <v>42.49</v>
      </c>
      <c r="E176" s="28">
        <v>42.67</v>
      </c>
      <c r="F176">
        <v>769900</v>
      </c>
    </row>
    <row r="177" spans="1:6">
      <c r="A177" s="68">
        <v>41163</v>
      </c>
      <c r="B177">
        <v>42.59</v>
      </c>
      <c r="C177">
        <v>43</v>
      </c>
      <c r="D177">
        <v>42.07</v>
      </c>
      <c r="E177" s="28">
        <v>42.76</v>
      </c>
      <c r="F177">
        <v>896400</v>
      </c>
    </row>
    <row r="178" spans="1:6">
      <c r="A178" s="68">
        <v>41162</v>
      </c>
      <c r="B178">
        <v>43.08</v>
      </c>
      <c r="C178">
        <v>43.16</v>
      </c>
      <c r="D178">
        <v>42.52</v>
      </c>
      <c r="E178" s="28">
        <v>42.7</v>
      </c>
      <c r="F178">
        <v>1323600</v>
      </c>
    </row>
    <row r="179" spans="1:6">
      <c r="A179" s="68">
        <v>41159</v>
      </c>
      <c r="B179">
        <v>43.34</v>
      </c>
      <c r="C179">
        <v>43.48</v>
      </c>
      <c r="D179">
        <v>43.11</v>
      </c>
      <c r="E179" s="28">
        <v>43.33</v>
      </c>
      <c r="F179">
        <v>856800</v>
      </c>
    </row>
    <row r="180" spans="1:6">
      <c r="A180" s="68">
        <v>41158</v>
      </c>
      <c r="B180">
        <v>42.36</v>
      </c>
      <c r="C180">
        <v>43.61</v>
      </c>
      <c r="D180">
        <v>42.29</v>
      </c>
      <c r="E180" s="28">
        <v>43.49</v>
      </c>
      <c r="F180">
        <v>1710200</v>
      </c>
    </row>
    <row r="181" spans="1:6">
      <c r="A181" s="68">
        <v>41157</v>
      </c>
      <c r="B181">
        <v>41.86</v>
      </c>
      <c r="C181">
        <v>42.24</v>
      </c>
      <c r="D181">
        <v>41.74</v>
      </c>
      <c r="E181" s="28">
        <v>42.18</v>
      </c>
      <c r="F181">
        <v>1323100</v>
      </c>
    </row>
    <row r="182" spans="1:6">
      <c r="A182" s="68">
        <v>41156</v>
      </c>
      <c r="B182">
        <v>41.43</v>
      </c>
      <c r="C182">
        <v>42.13</v>
      </c>
      <c r="D182">
        <v>41.31</v>
      </c>
      <c r="E182" s="28">
        <v>42</v>
      </c>
      <c r="F182">
        <v>1093100</v>
      </c>
    </row>
    <row r="183" spans="1:6">
      <c r="A183" s="68">
        <v>41155</v>
      </c>
      <c r="B183">
        <v>41.4</v>
      </c>
      <c r="C183">
        <v>41.4</v>
      </c>
      <c r="D183">
        <v>41.4</v>
      </c>
      <c r="E183" s="28">
        <v>41.4</v>
      </c>
      <c r="F183">
        <v>0</v>
      </c>
    </row>
    <row r="184" spans="1:6">
      <c r="A184" s="68">
        <v>41152</v>
      </c>
      <c r="B184">
        <v>41.46</v>
      </c>
      <c r="C184">
        <v>41.82</v>
      </c>
      <c r="D184">
        <v>41.07</v>
      </c>
      <c r="E184" s="28">
        <v>41.4</v>
      </c>
      <c r="F184">
        <v>1066600</v>
      </c>
    </row>
    <row r="185" spans="1:6">
      <c r="A185" s="68">
        <v>41151</v>
      </c>
      <c r="B185">
        <v>41.57</v>
      </c>
      <c r="C185">
        <v>41.6</v>
      </c>
      <c r="D185">
        <v>40.98</v>
      </c>
      <c r="E185" s="28">
        <v>41.09</v>
      </c>
      <c r="F185">
        <v>780100</v>
      </c>
    </row>
    <row r="186" spans="1:6">
      <c r="A186" s="68">
        <v>41150</v>
      </c>
      <c r="B186">
        <v>41.54</v>
      </c>
      <c r="C186">
        <v>41.82</v>
      </c>
      <c r="D186">
        <v>41.44</v>
      </c>
      <c r="E186" s="28">
        <v>41.75</v>
      </c>
      <c r="F186">
        <v>815200</v>
      </c>
    </row>
    <row r="187" spans="1:6">
      <c r="A187" s="68">
        <v>41149</v>
      </c>
      <c r="B187">
        <v>41.58</v>
      </c>
      <c r="C187">
        <v>41.94</v>
      </c>
      <c r="D187">
        <v>41.36</v>
      </c>
      <c r="E187" s="28">
        <v>41.68</v>
      </c>
      <c r="F187">
        <v>980000</v>
      </c>
    </row>
    <row r="188" spans="1:6">
      <c r="A188" s="68">
        <v>41148</v>
      </c>
      <c r="B188">
        <v>42.2</v>
      </c>
      <c r="C188">
        <v>42.22</v>
      </c>
      <c r="D188">
        <v>41.48</v>
      </c>
      <c r="E188" s="28">
        <v>41.54</v>
      </c>
      <c r="F188">
        <v>1056700</v>
      </c>
    </row>
    <row r="189" spans="1:6">
      <c r="A189" s="68">
        <v>41145</v>
      </c>
      <c r="B189">
        <v>41.86</v>
      </c>
      <c r="C189">
        <v>42.51</v>
      </c>
      <c r="D189">
        <v>41.81</v>
      </c>
      <c r="E189" s="28">
        <v>42.14</v>
      </c>
      <c r="F189">
        <v>1097900</v>
      </c>
    </row>
    <row r="190" spans="1:6">
      <c r="A190" s="68">
        <v>41144</v>
      </c>
      <c r="B190">
        <v>41.99</v>
      </c>
      <c r="C190">
        <v>42.35</v>
      </c>
      <c r="D190">
        <v>41.82</v>
      </c>
      <c r="E190" s="28">
        <v>42.04</v>
      </c>
      <c r="F190">
        <v>909300</v>
      </c>
    </row>
    <row r="191" spans="1:6">
      <c r="A191" s="68">
        <v>41143</v>
      </c>
      <c r="B191">
        <v>42.27</v>
      </c>
      <c r="C191">
        <v>42.42</v>
      </c>
      <c r="D191">
        <v>42.05</v>
      </c>
      <c r="E191" s="28">
        <v>42.17</v>
      </c>
      <c r="F191">
        <v>1272600</v>
      </c>
    </row>
    <row r="192" spans="1:6">
      <c r="A192" s="68">
        <v>41142</v>
      </c>
      <c r="B192">
        <v>42.26</v>
      </c>
      <c r="C192">
        <v>42.59</v>
      </c>
      <c r="D192">
        <v>42.14</v>
      </c>
      <c r="E192" s="28">
        <v>42.28</v>
      </c>
      <c r="F192">
        <v>1156900</v>
      </c>
    </row>
    <row r="193" spans="1:6">
      <c r="A193" s="68">
        <v>41141</v>
      </c>
      <c r="B193">
        <v>42.8</v>
      </c>
      <c r="C193">
        <v>42.8</v>
      </c>
      <c r="D193">
        <v>42.15</v>
      </c>
      <c r="E193" s="28">
        <v>42.24</v>
      </c>
      <c r="F193">
        <v>1209100</v>
      </c>
    </row>
    <row r="194" spans="1:6">
      <c r="A194" s="68">
        <v>41138</v>
      </c>
      <c r="B194">
        <v>42.48</v>
      </c>
      <c r="C194">
        <v>42.8</v>
      </c>
      <c r="D194">
        <v>41.89</v>
      </c>
      <c r="E194" s="28">
        <v>42.66</v>
      </c>
      <c r="F194">
        <v>1534100</v>
      </c>
    </row>
    <row r="195" spans="1:6">
      <c r="A195" s="68">
        <v>41137</v>
      </c>
      <c r="B195">
        <v>41.5</v>
      </c>
      <c r="C195">
        <v>42.43</v>
      </c>
      <c r="D195">
        <v>41.43</v>
      </c>
      <c r="E195" s="28">
        <v>42.4</v>
      </c>
      <c r="F195">
        <v>1482700</v>
      </c>
    </row>
    <row r="196" spans="1:6">
      <c r="A196" s="68">
        <v>41136</v>
      </c>
      <c r="B196">
        <v>40.99</v>
      </c>
      <c r="C196">
        <v>41.51</v>
      </c>
      <c r="D196">
        <v>40.85</v>
      </c>
      <c r="E196" s="28">
        <v>41.4</v>
      </c>
      <c r="F196">
        <v>609600</v>
      </c>
    </row>
    <row r="197" spans="1:6">
      <c r="A197" s="68">
        <v>41135</v>
      </c>
      <c r="B197">
        <v>41.11</v>
      </c>
      <c r="C197">
        <v>41.65</v>
      </c>
      <c r="D197">
        <v>40.94</v>
      </c>
      <c r="E197" s="28">
        <v>41.05</v>
      </c>
      <c r="F197">
        <v>1387400</v>
      </c>
    </row>
    <row r="198" spans="1:6">
      <c r="A198" s="68">
        <v>41134</v>
      </c>
      <c r="B198">
        <v>41.13</v>
      </c>
      <c r="C198">
        <v>41.33</v>
      </c>
      <c r="D198">
        <v>40.9</v>
      </c>
      <c r="E198" s="28">
        <v>41.01</v>
      </c>
      <c r="F198">
        <v>1147800</v>
      </c>
    </row>
    <row r="199" spans="1:6">
      <c r="A199" s="68">
        <v>41131</v>
      </c>
      <c r="B199">
        <v>40.93</v>
      </c>
      <c r="C199">
        <v>41.29</v>
      </c>
      <c r="D199">
        <v>40.9</v>
      </c>
      <c r="E199" s="28">
        <v>41.25</v>
      </c>
      <c r="F199">
        <v>843700</v>
      </c>
    </row>
    <row r="200" spans="1:6">
      <c r="A200" s="68">
        <v>41130</v>
      </c>
      <c r="B200">
        <v>40.71</v>
      </c>
      <c r="C200">
        <v>41.4</v>
      </c>
      <c r="D200">
        <v>40.68</v>
      </c>
      <c r="E200" s="28">
        <v>41</v>
      </c>
      <c r="F200">
        <v>1527000</v>
      </c>
    </row>
    <row r="201" spans="1:6">
      <c r="A201" s="68">
        <v>41129</v>
      </c>
      <c r="B201">
        <v>40.590000000000003</v>
      </c>
      <c r="C201">
        <v>41.23</v>
      </c>
      <c r="D201">
        <v>40.5</v>
      </c>
      <c r="E201" s="28">
        <v>40.93</v>
      </c>
      <c r="F201">
        <v>2104600</v>
      </c>
    </row>
    <row r="202" spans="1:6">
      <c r="A202" s="68">
        <v>41128</v>
      </c>
      <c r="B202">
        <v>40.340000000000003</v>
      </c>
      <c r="C202">
        <v>41.07</v>
      </c>
      <c r="D202">
        <v>40.32</v>
      </c>
      <c r="E202" s="28">
        <v>40.76</v>
      </c>
      <c r="F202">
        <v>2185300</v>
      </c>
    </row>
    <row r="203" spans="1:6">
      <c r="A203" s="68">
        <v>41127</v>
      </c>
      <c r="B203">
        <v>39.35</v>
      </c>
      <c r="C203">
        <v>40.72</v>
      </c>
      <c r="D203">
        <v>39.25</v>
      </c>
      <c r="E203" s="28">
        <v>40.340000000000003</v>
      </c>
      <c r="F203">
        <v>2203300</v>
      </c>
    </row>
    <row r="204" spans="1:6">
      <c r="A204" s="68">
        <v>41124</v>
      </c>
      <c r="B204">
        <v>38.26</v>
      </c>
      <c r="C204">
        <v>39.36</v>
      </c>
      <c r="D204">
        <v>38.08</v>
      </c>
      <c r="E204" s="28">
        <v>39.130000000000003</v>
      </c>
      <c r="F204">
        <v>2363800</v>
      </c>
    </row>
    <row r="205" spans="1:6">
      <c r="A205" s="68">
        <v>41123</v>
      </c>
      <c r="B205">
        <v>36.869999999999997</v>
      </c>
      <c r="C205">
        <v>37.86</v>
      </c>
      <c r="D205">
        <v>36.61</v>
      </c>
      <c r="E205" s="28">
        <v>37.81</v>
      </c>
      <c r="F205">
        <v>1965800</v>
      </c>
    </row>
    <row r="206" spans="1:6">
      <c r="A206" s="68">
        <v>41122</v>
      </c>
      <c r="B206">
        <v>36.92</v>
      </c>
      <c r="C206">
        <v>37.96</v>
      </c>
      <c r="D206">
        <v>35.479999999999997</v>
      </c>
      <c r="E206" s="28">
        <v>37.51</v>
      </c>
      <c r="F206">
        <v>4906500</v>
      </c>
    </row>
    <row r="207" spans="1:6">
      <c r="A207" s="68">
        <v>41121</v>
      </c>
      <c r="B207">
        <v>39.770000000000003</v>
      </c>
      <c r="C207">
        <v>39.99</v>
      </c>
      <c r="D207">
        <v>39.17</v>
      </c>
      <c r="E207" s="28">
        <v>39.6</v>
      </c>
      <c r="F207">
        <v>2479700</v>
      </c>
    </row>
    <row r="208" spans="1:6">
      <c r="A208" s="68">
        <v>41120</v>
      </c>
      <c r="B208">
        <v>39.93</v>
      </c>
      <c r="C208">
        <v>40.479999999999997</v>
      </c>
      <c r="D208">
        <v>39.29</v>
      </c>
      <c r="E208" s="28">
        <v>39.520000000000003</v>
      </c>
      <c r="F208">
        <v>1893200</v>
      </c>
    </row>
    <row r="209" spans="1:6">
      <c r="A209" s="68">
        <v>41117</v>
      </c>
      <c r="B209">
        <v>40</v>
      </c>
      <c r="C209">
        <v>40.11</v>
      </c>
      <c r="D209">
        <v>39.18</v>
      </c>
      <c r="E209" s="28">
        <v>39.76</v>
      </c>
      <c r="F209">
        <v>1922400</v>
      </c>
    </row>
    <row r="210" spans="1:6">
      <c r="A210" s="68">
        <v>41116</v>
      </c>
      <c r="B210">
        <v>39.840000000000003</v>
      </c>
      <c r="C210">
        <v>40.42</v>
      </c>
      <c r="D210">
        <v>39.4</v>
      </c>
      <c r="E210" s="28">
        <v>39.92</v>
      </c>
      <c r="F210">
        <v>1069200</v>
      </c>
    </row>
    <row r="211" spans="1:6">
      <c r="A211" s="68">
        <v>41115</v>
      </c>
      <c r="B211">
        <v>38.71</v>
      </c>
      <c r="C211">
        <v>39.43</v>
      </c>
      <c r="D211">
        <v>38.58</v>
      </c>
      <c r="E211" s="28">
        <v>39.130000000000003</v>
      </c>
      <c r="F211">
        <v>1218100</v>
      </c>
    </row>
    <row r="212" spans="1:6">
      <c r="A212" s="68">
        <v>41114</v>
      </c>
      <c r="B212">
        <v>39.31</v>
      </c>
      <c r="C212">
        <v>39.44</v>
      </c>
      <c r="D212">
        <v>38.520000000000003</v>
      </c>
      <c r="E212" s="28">
        <v>38.75</v>
      </c>
      <c r="F212">
        <v>1632900</v>
      </c>
    </row>
    <row r="213" spans="1:6">
      <c r="A213" s="68">
        <v>41113</v>
      </c>
      <c r="B213">
        <v>39.64</v>
      </c>
      <c r="C213">
        <v>39.72</v>
      </c>
      <c r="D213">
        <v>38.56</v>
      </c>
      <c r="E213" s="28">
        <v>39.299999999999997</v>
      </c>
      <c r="F213">
        <v>1595300</v>
      </c>
    </row>
    <row r="214" spans="1:6">
      <c r="A214" s="68">
        <v>41110</v>
      </c>
      <c r="B214">
        <v>40.880000000000003</v>
      </c>
      <c r="C214">
        <v>40.880000000000003</v>
      </c>
      <c r="D214">
        <v>40.229999999999997</v>
      </c>
      <c r="E214" s="28">
        <v>40.42</v>
      </c>
      <c r="F214">
        <v>1012800</v>
      </c>
    </row>
    <row r="215" spans="1:6">
      <c r="A215" s="68">
        <v>41109</v>
      </c>
      <c r="B215">
        <v>40.659999999999997</v>
      </c>
      <c r="C215">
        <v>41.27</v>
      </c>
      <c r="D215">
        <v>40.54</v>
      </c>
      <c r="E215" s="28">
        <v>40.83</v>
      </c>
      <c r="F215">
        <v>1302100</v>
      </c>
    </row>
    <row r="216" spans="1:6">
      <c r="A216" s="68">
        <v>41108</v>
      </c>
      <c r="B216">
        <v>39.17</v>
      </c>
      <c r="C216">
        <v>40.94</v>
      </c>
      <c r="D216">
        <v>39.090000000000003</v>
      </c>
      <c r="E216" s="28">
        <v>40.6</v>
      </c>
      <c r="F216">
        <v>1112200</v>
      </c>
    </row>
    <row r="217" spans="1:6">
      <c r="A217" s="68">
        <v>41107</v>
      </c>
      <c r="B217">
        <v>39.47</v>
      </c>
      <c r="C217">
        <v>39.619999999999997</v>
      </c>
      <c r="D217">
        <v>38.85</v>
      </c>
      <c r="E217" s="28">
        <v>39.51</v>
      </c>
      <c r="F217">
        <v>717200</v>
      </c>
    </row>
    <row r="218" spans="1:6">
      <c r="A218" s="68">
        <v>41106</v>
      </c>
      <c r="B218">
        <v>39.29</v>
      </c>
      <c r="C218">
        <v>39.479999999999997</v>
      </c>
      <c r="D218">
        <v>38.86</v>
      </c>
      <c r="E218" s="28">
        <v>39.32</v>
      </c>
      <c r="F218">
        <v>1218100</v>
      </c>
    </row>
    <row r="219" spans="1:6">
      <c r="A219" s="68">
        <v>41103</v>
      </c>
      <c r="B219">
        <v>39.020000000000003</v>
      </c>
      <c r="C219">
        <v>39.61</v>
      </c>
      <c r="D219">
        <v>38.94</v>
      </c>
      <c r="E219" s="28">
        <v>39.53</v>
      </c>
      <c r="F219">
        <v>1245300</v>
      </c>
    </row>
    <row r="220" spans="1:6">
      <c r="A220" s="68">
        <v>41102</v>
      </c>
      <c r="B220">
        <v>39.15</v>
      </c>
      <c r="C220">
        <v>39.33</v>
      </c>
      <c r="D220">
        <v>38.76</v>
      </c>
      <c r="E220" s="28">
        <v>39.07</v>
      </c>
      <c r="F220">
        <v>1199600</v>
      </c>
    </row>
    <row r="221" spans="1:6">
      <c r="A221" s="68">
        <v>41101</v>
      </c>
      <c r="B221">
        <v>39.64</v>
      </c>
      <c r="C221">
        <v>40.1</v>
      </c>
      <c r="D221">
        <v>39.21</v>
      </c>
      <c r="E221" s="28">
        <v>39.450000000000003</v>
      </c>
      <c r="F221">
        <v>1108700</v>
      </c>
    </row>
    <row r="222" spans="1:6">
      <c r="A222" s="68">
        <v>41100</v>
      </c>
      <c r="B222">
        <v>40.340000000000003</v>
      </c>
      <c r="C222">
        <v>40.6</v>
      </c>
      <c r="D222">
        <v>39.44</v>
      </c>
      <c r="E222" s="28">
        <v>39.64</v>
      </c>
      <c r="F222">
        <v>1340900</v>
      </c>
    </row>
    <row r="223" spans="1:6">
      <c r="A223" s="68">
        <v>41099</v>
      </c>
      <c r="B223">
        <v>40.47</v>
      </c>
      <c r="C223">
        <v>40.61</v>
      </c>
      <c r="D223">
        <v>39.82</v>
      </c>
      <c r="E223" s="28">
        <v>40.18</v>
      </c>
      <c r="F223">
        <v>1689500</v>
      </c>
    </row>
    <row r="224" spans="1:6">
      <c r="A224" s="68">
        <v>41096</v>
      </c>
      <c r="B224">
        <v>41.92</v>
      </c>
      <c r="C224">
        <v>42.12</v>
      </c>
      <c r="D224">
        <v>40.33</v>
      </c>
      <c r="E224" s="28">
        <v>40.67</v>
      </c>
      <c r="F224">
        <v>2169000</v>
      </c>
    </row>
    <row r="225" spans="1:6">
      <c r="A225" s="68">
        <v>41095</v>
      </c>
      <c r="B225">
        <v>42.38</v>
      </c>
      <c r="C225">
        <v>42.8</v>
      </c>
      <c r="D225">
        <v>41.97</v>
      </c>
      <c r="E225" s="28">
        <v>42.18</v>
      </c>
      <c r="F225">
        <v>1235000</v>
      </c>
    </row>
    <row r="226" spans="1:6">
      <c r="A226" s="68">
        <v>41094</v>
      </c>
      <c r="B226">
        <v>42.29</v>
      </c>
      <c r="C226">
        <v>42.29</v>
      </c>
      <c r="D226">
        <v>42.29</v>
      </c>
      <c r="E226" s="28">
        <v>42.29</v>
      </c>
      <c r="F226">
        <v>0</v>
      </c>
    </row>
    <row r="227" spans="1:6">
      <c r="A227" s="68">
        <v>41093</v>
      </c>
      <c r="B227">
        <v>42.91</v>
      </c>
      <c r="C227">
        <v>42.94</v>
      </c>
      <c r="D227">
        <v>42.04</v>
      </c>
      <c r="E227" s="28">
        <v>42.29</v>
      </c>
      <c r="F227">
        <v>1223400</v>
      </c>
    </row>
    <row r="228" spans="1:6">
      <c r="A228" s="68">
        <v>41092</v>
      </c>
      <c r="B228">
        <v>43</v>
      </c>
      <c r="C228">
        <v>43.6</v>
      </c>
      <c r="D228">
        <v>42.44</v>
      </c>
      <c r="E228" s="28">
        <v>42.58</v>
      </c>
      <c r="F228">
        <v>1157800</v>
      </c>
    </row>
    <row r="229" spans="1:6">
      <c r="A229" s="68">
        <v>41089</v>
      </c>
      <c r="B229">
        <v>42.14</v>
      </c>
      <c r="C229">
        <v>42.7</v>
      </c>
      <c r="D229">
        <v>41.81</v>
      </c>
      <c r="E229" s="28">
        <v>42.68</v>
      </c>
      <c r="F229">
        <v>1657200</v>
      </c>
    </row>
    <row r="230" spans="1:6">
      <c r="A230" s="68">
        <v>41088</v>
      </c>
      <c r="B230">
        <v>41.5</v>
      </c>
      <c r="C230">
        <v>41.64</v>
      </c>
      <c r="D230">
        <v>40.950000000000003</v>
      </c>
      <c r="E230" s="28">
        <v>41.53</v>
      </c>
      <c r="F230">
        <v>733700</v>
      </c>
    </row>
    <row r="231" spans="1:6">
      <c r="A231" s="68">
        <v>41087</v>
      </c>
      <c r="B231">
        <v>41.69</v>
      </c>
      <c r="C231">
        <v>42.04</v>
      </c>
      <c r="D231">
        <v>41.39</v>
      </c>
      <c r="E231" s="28">
        <v>41.71</v>
      </c>
      <c r="F231">
        <v>1079600</v>
      </c>
    </row>
    <row r="232" spans="1:6">
      <c r="A232" s="68">
        <v>41086</v>
      </c>
      <c r="B232">
        <v>41.83</v>
      </c>
      <c r="C232">
        <v>42</v>
      </c>
      <c r="D232">
        <v>41.45</v>
      </c>
      <c r="E232" s="28">
        <v>41.52</v>
      </c>
      <c r="F232">
        <v>1325900</v>
      </c>
    </row>
    <row r="233" spans="1:6">
      <c r="A233" s="68">
        <v>41085</v>
      </c>
      <c r="B233">
        <v>42.67</v>
      </c>
      <c r="C233">
        <v>42.72</v>
      </c>
      <c r="D233">
        <v>41.73</v>
      </c>
      <c r="E233" s="28">
        <v>41.78</v>
      </c>
      <c r="F233">
        <v>1405400</v>
      </c>
    </row>
    <row r="234" spans="1:6">
      <c r="A234" s="68">
        <v>41082</v>
      </c>
      <c r="B234">
        <v>42.32</v>
      </c>
      <c r="C234">
        <v>43.02</v>
      </c>
      <c r="D234">
        <v>42.32</v>
      </c>
      <c r="E234" s="28">
        <v>42.9</v>
      </c>
      <c r="F234">
        <v>1898100</v>
      </c>
    </row>
    <row r="235" spans="1:6">
      <c r="A235" s="68">
        <v>41081</v>
      </c>
      <c r="B235">
        <v>43.77</v>
      </c>
      <c r="C235">
        <v>43.99</v>
      </c>
      <c r="D235">
        <v>42.18</v>
      </c>
      <c r="E235" s="28">
        <v>42.32</v>
      </c>
      <c r="F235">
        <v>2368500</v>
      </c>
    </row>
    <row r="236" spans="1:6">
      <c r="A236" s="68">
        <v>41080</v>
      </c>
      <c r="B236">
        <v>43.94</v>
      </c>
      <c r="C236">
        <v>44.2</v>
      </c>
      <c r="D236">
        <v>43.68</v>
      </c>
      <c r="E236" s="28">
        <v>43.96</v>
      </c>
      <c r="F236">
        <v>1455100</v>
      </c>
    </row>
    <row r="237" spans="1:6">
      <c r="A237" s="68">
        <v>41079</v>
      </c>
      <c r="B237">
        <v>44.3</v>
      </c>
      <c r="C237">
        <v>44.69</v>
      </c>
      <c r="D237">
        <v>43.64</v>
      </c>
      <c r="E237" s="28">
        <v>43.83</v>
      </c>
      <c r="F237">
        <v>1695400</v>
      </c>
    </row>
    <row r="238" spans="1:6">
      <c r="A238" s="68">
        <v>41078</v>
      </c>
      <c r="B238">
        <v>43.69</v>
      </c>
      <c r="C238">
        <v>44.32</v>
      </c>
      <c r="D238">
        <v>43.45</v>
      </c>
      <c r="E238" s="28">
        <v>44.01</v>
      </c>
      <c r="F238">
        <v>1407300</v>
      </c>
    </row>
    <row r="239" spans="1:6">
      <c r="A239" s="68">
        <v>41075</v>
      </c>
      <c r="B239">
        <v>43.07</v>
      </c>
      <c r="C239">
        <v>43.85</v>
      </c>
      <c r="D239">
        <v>42.92</v>
      </c>
      <c r="E239" s="28">
        <v>43.76</v>
      </c>
      <c r="F239">
        <v>2489400</v>
      </c>
    </row>
    <row r="240" spans="1:6">
      <c r="A240" s="68">
        <v>41074</v>
      </c>
      <c r="B240">
        <v>43.31</v>
      </c>
      <c r="C240">
        <v>43.65</v>
      </c>
      <c r="D240">
        <v>42.68</v>
      </c>
      <c r="E240" s="28">
        <v>43</v>
      </c>
      <c r="F240">
        <v>2866600</v>
      </c>
    </row>
    <row r="241" spans="1:6">
      <c r="A241" s="68">
        <v>41073</v>
      </c>
      <c r="B241">
        <v>43</v>
      </c>
      <c r="C241">
        <v>43.73</v>
      </c>
      <c r="D241">
        <v>42.52</v>
      </c>
      <c r="E241" s="28">
        <v>43.44</v>
      </c>
      <c r="F241">
        <v>2176800</v>
      </c>
    </row>
    <row r="242" spans="1:6">
      <c r="A242" s="68">
        <v>41072</v>
      </c>
      <c r="B242">
        <v>42.48</v>
      </c>
      <c r="C242">
        <v>43.29</v>
      </c>
      <c r="D242">
        <v>42.3</v>
      </c>
      <c r="E242" s="28">
        <v>43.25</v>
      </c>
      <c r="F242">
        <v>1772100</v>
      </c>
    </row>
    <row r="243" spans="1:6">
      <c r="A243" s="68">
        <v>41071</v>
      </c>
      <c r="B243">
        <v>43.67</v>
      </c>
      <c r="C243">
        <v>43.78</v>
      </c>
      <c r="D243">
        <v>42.38</v>
      </c>
      <c r="E243" s="28">
        <v>42.47</v>
      </c>
      <c r="F243">
        <v>1672800</v>
      </c>
    </row>
    <row r="244" spans="1:6">
      <c r="A244" s="68">
        <v>41068</v>
      </c>
      <c r="B244">
        <v>43.36</v>
      </c>
      <c r="C244">
        <v>43.84</v>
      </c>
      <c r="D244">
        <v>43.21</v>
      </c>
      <c r="E244" s="28">
        <v>43.7</v>
      </c>
      <c r="F244">
        <v>1416100</v>
      </c>
    </row>
    <row r="245" spans="1:6">
      <c r="A245" s="68">
        <v>41067</v>
      </c>
      <c r="B245">
        <v>44</v>
      </c>
      <c r="C245">
        <v>44.07</v>
      </c>
      <c r="D245">
        <v>43.32</v>
      </c>
      <c r="E245" s="28">
        <v>43.71</v>
      </c>
      <c r="F245">
        <v>2255900</v>
      </c>
    </row>
    <row r="246" spans="1:6">
      <c r="A246" s="68">
        <v>41066</v>
      </c>
      <c r="B246">
        <v>42.52</v>
      </c>
      <c r="C246">
        <v>43.71</v>
      </c>
      <c r="D246">
        <v>42.36</v>
      </c>
      <c r="E246" s="28">
        <v>43.71</v>
      </c>
      <c r="F246">
        <v>1886000</v>
      </c>
    </row>
    <row r="247" spans="1:6">
      <c r="A247" s="68">
        <v>41065</v>
      </c>
      <c r="B247">
        <v>41.24</v>
      </c>
      <c r="C247">
        <v>42.38</v>
      </c>
      <c r="D247">
        <v>41.23</v>
      </c>
      <c r="E247" s="28">
        <v>42.23</v>
      </c>
      <c r="F247">
        <v>1126500</v>
      </c>
    </row>
    <row r="248" spans="1:6">
      <c r="A248" s="68">
        <v>41064</v>
      </c>
      <c r="B248">
        <v>42.04</v>
      </c>
      <c r="C248">
        <v>42.86</v>
      </c>
      <c r="D248">
        <v>41.27</v>
      </c>
      <c r="E248" s="28">
        <v>41.71</v>
      </c>
      <c r="F248">
        <v>1466500</v>
      </c>
    </row>
    <row r="249" spans="1:6">
      <c r="A249" s="68">
        <v>41061</v>
      </c>
      <c r="B249">
        <v>41.73</v>
      </c>
      <c r="C249">
        <v>42.56</v>
      </c>
      <c r="D249">
        <v>41.62</v>
      </c>
      <c r="E249" s="28">
        <v>41.89</v>
      </c>
      <c r="F249">
        <v>2829900</v>
      </c>
    </row>
    <row r="250" spans="1:6">
      <c r="A250" s="68">
        <v>41060</v>
      </c>
      <c r="B250">
        <v>43.12</v>
      </c>
      <c r="C250">
        <v>43.12</v>
      </c>
      <c r="D250">
        <v>41.77</v>
      </c>
      <c r="E250" s="28">
        <v>42.32</v>
      </c>
      <c r="F250">
        <v>3210800</v>
      </c>
    </row>
    <row r="251" spans="1:6">
      <c r="A251" s="68">
        <v>41059</v>
      </c>
      <c r="B251">
        <v>43.36</v>
      </c>
      <c r="C251">
        <v>43.38</v>
      </c>
      <c r="D251">
        <v>42.83</v>
      </c>
      <c r="E251" s="28">
        <v>43</v>
      </c>
      <c r="F251">
        <v>1445800</v>
      </c>
    </row>
    <row r="252" spans="1:6">
      <c r="A252" s="68">
        <v>41058</v>
      </c>
      <c r="B252">
        <v>44.05</v>
      </c>
      <c r="C252">
        <v>44.29</v>
      </c>
      <c r="D252">
        <v>43.27</v>
      </c>
      <c r="E252" s="28">
        <v>43.86</v>
      </c>
      <c r="F252">
        <v>1788200</v>
      </c>
    </row>
    <row r="253" spans="1:6">
      <c r="A253" s="68">
        <v>41057</v>
      </c>
      <c r="B253">
        <v>43.69</v>
      </c>
      <c r="C253">
        <v>43.69</v>
      </c>
      <c r="D253">
        <v>43.69</v>
      </c>
      <c r="E253" s="28">
        <v>43.69</v>
      </c>
      <c r="F253">
        <v>0</v>
      </c>
    </row>
    <row r="254" spans="1:6">
      <c r="A254" s="68">
        <v>41054</v>
      </c>
      <c r="B254">
        <v>43.15</v>
      </c>
      <c r="C254">
        <v>44.16</v>
      </c>
      <c r="D254">
        <v>43.01</v>
      </c>
      <c r="E254" s="28">
        <v>43.69</v>
      </c>
      <c r="F254">
        <v>2365600</v>
      </c>
    </row>
    <row r="255" spans="1:6">
      <c r="A255" s="68">
        <v>41053</v>
      </c>
      <c r="B255">
        <v>43.19</v>
      </c>
      <c r="C255">
        <v>43.24</v>
      </c>
      <c r="D255">
        <v>42.44</v>
      </c>
      <c r="E255" s="28">
        <v>42.97</v>
      </c>
      <c r="F255">
        <v>2489100</v>
      </c>
    </row>
    <row r="256" spans="1:6">
      <c r="A256" s="68">
        <v>41052</v>
      </c>
      <c r="B256">
        <v>42.37</v>
      </c>
      <c r="C256">
        <v>43.51</v>
      </c>
      <c r="D256">
        <v>42.01</v>
      </c>
      <c r="E256" s="28">
        <v>43.39</v>
      </c>
      <c r="F256">
        <v>2624200</v>
      </c>
    </row>
    <row r="257" spans="1:6">
      <c r="A257" s="68">
        <v>41051</v>
      </c>
      <c r="B257">
        <v>42.9</v>
      </c>
      <c r="C257">
        <v>43.01</v>
      </c>
      <c r="D257">
        <v>42.47</v>
      </c>
      <c r="E257" s="28">
        <v>42.73</v>
      </c>
      <c r="F257">
        <v>1839100</v>
      </c>
    </row>
    <row r="258" spans="1:6">
      <c r="A258" s="68">
        <v>41050</v>
      </c>
      <c r="B258">
        <v>41.59</v>
      </c>
      <c r="C258">
        <v>43.18</v>
      </c>
      <c r="D258">
        <v>41.49</v>
      </c>
      <c r="E258" s="28">
        <v>42.96</v>
      </c>
      <c r="F258">
        <v>2735200</v>
      </c>
    </row>
    <row r="259" spans="1:6">
      <c r="A259" s="68">
        <v>41047</v>
      </c>
      <c r="B259">
        <v>42.52</v>
      </c>
      <c r="C259">
        <v>43.05</v>
      </c>
      <c r="D259">
        <v>41.54</v>
      </c>
      <c r="E259" s="28">
        <v>41.66</v>
      </c>
      <c r="F259">
        <v>4568800</v>
      </c>
    </row>
    <row r="260" spans="1:6">
      <c r="A260" s="68">
        <v>41046</v>
      </c>
      <c r="B260">
        <v>43.5</v>
      </c>
      <c r="C260">
        <v>43.7</v>
      </c>
      <c r="D260">
        <v>42.35</v>
      </c>
      <c r="E260" s="28">
        <v>42.38</v>
      </c>
      <c r="F260">
        <v>2546500</v>
      </c>
    </row>
    <row r="261" spans="1:6">
      <c r="A261" s="68">
        <v>41045</v>
      </c>
      <c r="B261">
        <v>44.5</v>
      </c>
      <c r="C261">
        <v>44.5</v>
      </c>
      <c r="D261">
        <v>43.29</v>
      </c>
      <c r="E261" s="28">
        <v>43.3</v>
      </c>
      <c r="F261">
        <v>5806700</v>
      </c>
    </row>
    <row r="262" spans="1:6">
      <c r="A262" s="68">
        <v>41044</v>
      </c>
      <c r="B262">
        <v>43.75</v>
      </c>
      <c r="C262">
        <v>45.7</v>
      </c>
      <c r="D262">
        <v>42.88</v>
      </c>
      <c r="E262" s="28">
        <v>44.51</v>
      </c>
      <c r="F262">
        <v>9349900</v>
      </c>
    </row>
    <row r="263" spans="1:6">
      <c r="A263" s="68">
        <v>41043</v>
      </c>
      <c r="B263">
        <v>42.03</v>
      </c>
      <c r="C263">
        <v>44.35</v>
      </c>
      <c r="D263">
        <v>41.73</v>
      </c>
      <c r="E263" s="28">
        <v>43.92</v>
      </c>
      <c r="F263">
        <v>7045700</v>
      </c>
    </row>
    <row r="264" spans="1:6">
      <c r="A264" s="68">
        <v>41040</v>
      </c>
      <c r="B264">
        <v>40.11</v>
      </c>
      <c r="C264">
        <v>40.93</v>
      </c>
      <c r="D264">
        <v>40.07</v>
      </c>
      <c r="E264" s="28">
        <v>40.4</v>
      </c>
      <c r="F264">
        <v>1823400</v>
      </c>
    </row>
    <row r="265" spans="1:6">
      <c r="A265" s="68">
        <v>41039</v>
      </c>
      <c r="B265">
        <v>38.97</v>
      </c>
      <c r="C265">
        <v>40.68</v>
      </c>
      <c r="D265">
        <v>38.97</v>
      </c>
      <c r="E265" s="28">
        <v>40.28</v>
      </c>
      <c r="F265">
        <v>3679900</v>
      </c>
    </row>
    <row r="266" spans="1:6">
      <c r="A266" s="68">
        <v>41038</v>
      </c>
      <c r="B266">
        <v>39.46</v>
      </c>
      <c r="C266">
        <v>40.15</v>
      </c>
      <c r="D266">
        <v>39.08</v>
      </c>
      <c r="E266" s="28">
        <v>39.71</v>
      </c>
      <c r="F266">
        <v>2542600</v>
      </c>
    </row>
    <row r="267" spans="1:6">
      <c r="A267" s="68">
        <v>41037</v>
      </c>
      <c r="B267">
        <v>39.81</v>
      </c>
      <c r="C267">
        <v>39.92</v>
      </c>
      <c r="D267">
        <v>39.130000000000003</v>
      </c>
      <c r="E267" s="28">
        <v>39.86</v>
      </c>
      <c r="F267">
        <v>2381000</v>
      </c>
    </row>
    <row r="268" spans="1:6">
      <c r="A268" s="68">
        <v>41036</v>
      </c>
      <c r="B268">
        <v>39.9</v>
      </c>
      <c r="C268">
        <v>40.33</v>
      </c>
      <c r="D268">
        <v>39.86</v>
      </c>
      <c r="E268" s="28">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Wall Street Prep</cp:lastModifiedBy>
  <cp:lastPrinted>2014-05-30T16:55:05Z</cp:lastPrinted>
  <dcterms:created xsi:type="dcterms:W3CDTF">2014-05-28T19:09:08Z</dcterms:created>
  <dcterms:modified xsi:type="dcterms:W3CDTF">2014-12-11T15:17:49Z</dcterms:modified>
</cp:coreProperties>
</file>