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defaultThemeVersion="124226"/>
  <mc:AlternateContent xmlns:mc="http://schemas.openxmlformats.org/markup-compatibility/2006">
    <mc:Choice Requires="x15">
      <x15ac:absPath xmlns:x15ac="http://schemas.microsoft.com/office/spreadsheetml/2010/11/ac" url="C:\Users\mfeld\Dropbox (Wall Street Prep)\Course Materials- WSP\LBO-BMC\AdvLBO-Online-Download-Kit-BMC\Model Templates\"/>
    </mc:Choice>
  </mc:AlternateContent>
  <xr:revisionPtr revIDLastSave="0" documentId="13_ncr:1_{74B4780D-71A7-49A2-9E7E-4EED81D1DA68}" xr6:coauthVersionLast="37" xr6:coauthVersionMax="37" xr10:uidLastSave="{00000000-0000-0000-0000-000000000000}"/>
  <bookViews>
    <workbookView xWindow="0" yWindow="0" windowWidth="28800" windowHeight="12225" xr2:uid="{00000000-000D-0000-FFFF-FFFF00000000}"/>
  </bookViews>
  <sheets>
    <sheet name="LBO" sheetId="1" r:id="rId1"/>
    <sheet name="Shares" sheetId="11" r:id="rId2"/>
    <sheet name="52wkHL" sheetId="9" r:id="rId3"/>
  </sheets>
  <externalReferences>
    <externalReference r:id="rId4"/>
    <externalReference r:id="rId5"/>
  </externalReferences>
  <definedNames>
    <definedName name="Inv_Cap">[1]Results!$E$182:$AD$182</definedName>
    <definedName name="NOPLAT">[1]Results!$E$145:$AD$145</definedName>
    <definedName name="One">'[1]Forecast Drivers'!$D$330</definedName>
    <definedName name="Products">[2]Array0!$B$5:$C$7</definedName>
    <definedName name="Rev">'[1]Forecast Drivers'!$E$25:$S$25</definedName>
  </definedNames>
  <calcPr calcId="179021" calcMode="autoNoTable" iterate="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21" i="1" l="1"/>
  <c r="E7" i="11"/>
  <c r="H348" i="1"/>
  <c r="I348" i="1"/>
  <c r="J348" i="1"/>
  <c r="K348" i="1"/>
  <c r="G348" i="1"/>
  <c r="F215" i="1" l="1"/>
  <c r="G215" i="1" l="1"/>
  <c r="H215" i="1" s="1"/>
  <c r="I215" i="1" s="1"/>
  <c r="J215" i="1" s="1"/>
  <c r="J102" i="1" l="1"/>
  <c r="I102" i="1"/>
  <c r="H102" i="1"/>
  <c r="G102" i="1"/>
  <c r="F102" i="1"/>
  <c r="E74" i="1"/>
  <c r="D74" i="1"/>
  <c r="D105" i="1"/>
  <c r="E105" i="1"/>
  <c r="F299" i="1" l="1"/>
  <c r="C200" i="1"/>
  <c r="E200" i="1"/>
  <c r="D200" i="1"/>
  <c r="E87" i="1"/>
  <c r="D87" i="1"/>
  <c r="E72" i="1"/>
  <c r="D72" i="1"/>
  <c r="E39" i="1"/>
  <c r="E86" i="1" s="1"/>
  <c r="F32" i="1"/>
  <c r="F31" i="1"/>
  <c r="F30" i="1"/>
  <c r="F29" i="1"/>
  <c r="F28" i="1"/>
  <c r="H8" i="1"/>
  <c r="J21" i="1"/>
  <c r="H15" i="1"/>
  <c r="H14" i="1"/>
  <c r="B280" i="1"/>
  <c r="B281" i="1"/>
  <c r="B282" i="1"/>
  <c r="E5" i="9"/>
  <c r="E4" i="9"/>
  <c r="B3" i="11"/>
  <c r="B2" i="11"/>
  <c r="B2" i="1"/>
  <c r="B19" i="11"/>
  <c r="B20" i="11" s="1"/>
  <c r="B21" i="11" s="1"/>
  <c r="B22" i="11" s="1"/>
  <c r="B23" i="11" s="1"/>
  <c r="B24" i="11" s="1"/>
  <c r="B25" i="11" s="1"/>
  <c r="B26" i="11" s="1"/>
  <c r="B27" i="11" s="1"/>
  <c r="E71" i="1" l="1"/>
  <c r="E199" i="1"/>
  <c r="C92" i="1"/>
  <c r="C93" i="1"/>
  <c r="C98" i="1"/>
  <c r="C99" i="1"/>
  <c r="E302" i="1"/>
  <c r="E303" i="1" s="1"/>
  <c r="E304" i="1" s="1"/>
  <c r="E305" i="1" s="1"/>
  <c r="G300" i="1"/>
  <c r="H300" i="1" s="1"/>
  <c r="I300" i="1" s="1"/>
  <c r="J300" i="1" s="1"/>
  <c r="E319" i="1"/>
  <c r="F139" i="1"/>
  <c r="D27" i="1"/>
  <c r="B342" i="1"/>
  <c r="B341" i="1"/>
  <c r="E342" i="1"/>
  <c r="D342" i="1"/>
  <c r="E359" i="1"/>
  <c r="D359" i="1"/>
  <c r="E358" i="1"/>
  <c r="D358" i="1"/>
  <c r="E355" i="1"/>
  <c r="D355" i="1"/>
  <c r="B361" i="1"/>
  <c r="B360" i="1"/>
  <c r="B359" i="1"/>
  <c r="B358" i="1"/>
  <c r="B356" i="1"/>
  <c r="B355" i="1"/>
  <c r="B350" i="1"/>
  <c r="B343" i="1"/>
  <c r="F337" i="1"/>
  <c r="E337" i="1"/>
  <c r="E326" i="1"/>
  <c r="D349" i="1" s="1"/>
  <c r="F331" i="1"/>
  <c r="E354" i="1" s="1"/>
  <c r="E331" i="1"/>
  <c r="D354" i="1" s="1"/>
  <c r="F325" i="1"/>
  <c r="E348" i="1" s="1"/>
  <c r="E325" i="1"/>
  <c r="D348" i="1" s="1"/>
  <c r="F324" i="1"/>
  <c r="E347" i="1" s="1"/>
  <c r="E324" i="1"/>
  <c r="D347" i="1" s="1"/>
  <c r="F323" i="1"/>
  <c r="E346" i="1" s="1"/>
  <c r="E323" i="1"/>
  <c r="D346" i="1" s="1"/>
  <c r="F322" i="1"/>
  <c r="E322" i="1"/>
  <c r="D345" i="1" s="1"/>
  <c r="B331" i="1"/>
  <c r="B354" i="1" s="1"/>
  <c r="B330" i="1"/>
  <c r="B353" i="1" s="1"/>
  <c r="B329" i="1"/>
  <c r="B352" i="1" s="1"/>
  <c r="B326" i="1"/>
  <c r="B349" i="1" s="1"/>
  <c r="B325" i="1"/>
  <c r="B348" i="1" s="1"/>
  <c r="B324" i="1"/>
  <c r="B347" i="1" s="1"/>
  <c r="B323" i="1"/>
  <c r="B346" i="1" s="1"/>
  <c r="B322" i="1"/>
  <c r="B345" i="1" s="1"/>
  <c r="B321" i="1"/>
  <c r="B344" i="1" s="1"/>
  <c r="J14" i="1"/>
  <c r="I14" i="1"/>
  <c r="J15" i="1"/>
  <c r="I15" i="1"/>
  <c r="F123" i="1"/>
  <c r="D57" i="1"/>
  <c r="E57" i="1"/>
  <c r="F326" i="1"/>
  <c r="E349" i="1" s="1"/>
  <c r="F321" i="1"/>
  <c r="E92" i="1"/>
  <c r="D92" i="1"/>
  <c r="D93" i="1"/>
  <c r="E93" i="1"/>
  <c r="F101" i="1"/>
  <c r="E96" i="1"/>
  <c r="E99" i="1" s="1"/>
  <c r="K99" i="1" s="1"/>
  <c r="F99" i="1" s="1"/>
  <c r="G99" i="1" s="1"/>
  <c r="J321" i="1" l="1"/>
  <c r="F344" i="1" s="1"/>
  <c r="E344" i="1"/>
  <c r="J322" i="1"/>
  <c r="F345" i="1" s="1"/>
  <c r="E345" i="1"/>
  <c r="J331" i="1"/>
  <c r="F354" i="1" s="1"/>
  <c r="D360" i="1"/>
  <c r="E360" i="1"/>
  <c r="J324" i="1"/>
  <c r="F347" i="1" s="1"/>
  <c r="H99" i="1"/>
  <c r="G97" i="1"/>
  <c r="F97" i="1"/>
  <c r="G123" i="1" l="1"/>
  <c r="I99" i="1"/>
  <c r="H97" i="1"/>
  <c r="G101" i="1"/>
  <c r="H101" i="1" l="1"/>
  <c r="H123" i="1"/>
  <c r="J99" i="1"/>
  <c r="J97" i="1" s="1"/>
  <c r="I97" i="1"/>
  <c r="J123" i="1" l="1"/>
  <c r="I123" i="1"/>
  <c r="I101" i="1"/>
  <c r="J101" i="1" l="1"/>
  <c r="C46" i="1" l="1"/>
  <c r="D46" i="1"/>
  <c r="E46" i="1"/>
  <c r="D96" i="1"/>
  <c r="D99" i="1" s="1"/>
  <c r="E98" i="1"/>
  <c r="E80" i="1"/>
  <c r="F330" i="1" s="1"/>
  <c r="D80" i="1"/>
  <c r="E330" i="1" s="1"/>
  <c r="D353" i="1" s="1"/>
  <c r="E78" i="1"/>
  <c r="F329" i="1" s="1"/>
  <c r="D78" i="1"/>
  <c r="E329" i="1" s="1"/>
  <c r="D352" i="1" s="1"/>
  <c r="E77" i="1"/>
  <c r="F77" i="1" s="1"/>
  <c r="G77" i="1" s="1"/>
  <c r="H77" i="1" s="1"/>
  <c r="I77" i="1" s="1"/>
  <c r="J77" i="1" s="1"/>
  <c r="D77" i="1"/>
  <c r="D141" i="1"/>
  <c r="E320" i="1" s="1"/>
  <c r="D343" i="1" s="1"/>
  <c r="E141" i="1"/>
  <c r="F107" i="1"/>
  <c r="E59" i="1"/>
  <c r="E43" i="1"/>
  <c r="D43" i="1"/>
  <c r="C43" i="1"/>
  <c r="F318" i="1"/>
  <c r="E311" i="1"/>
  <c r="E312" i="1" s="1"/>
  <c r="E313" i="1" s="1"/>
  <c r="E314" i="1" s="1"/>
  <c r="G309" i="1"/>
  <c r="H309" i="1" s="1"/>
  <c r="I309" i="1" s="1"/>
  <c r="J309" i="1" s="1"/>
  <c r="F289" i="1"/>
  <c r="G290" i="1"/>
  <c r="H290" i="1" s="1"/>
  <c r="I290" i="1" s="1"/>
  <c r="J290" i="1" s="1"/>
  <c r="E292" i="1"/>
  <c r="E293" i="1" s="1"/>
  <c r="E294" i="1" s="1"/>
  <c r="E295" i="1" s="1"/>
  <c r="G107" i="1" l="1"/>
  <c r="H354" i="1" s="1"/>
  <c r="G354" i="1"/>
  <c r="J329" i="1"/>
  <c r="F352" i="1" s="1"/>
  <c r="E352" i="1"/>
  <c r="J330" i="1"/>
  <c r="F353" i="1" s="1"/>
  <c r="E353" i="1"/>
  <c r="F341" i="1"/>
  <c r="D356" i="1"/>
  <c r="F320" i="1"/>
  <c r="E343" i="1" s="1"/>
  <c r="F333" i="1"/>
  <c r="D75" i="1"/>
  <c r="E321" i="1"/>
  <c r="D344" i="1" s="1"/>
  <c r="E333" i="1"/>
  <c r="D98" i="1"/>
  <c r="F252" i="1"/>
  <c r="F253" i="1" s="1"/>
  <c r="F254" i="1" s="1"/>
  <c r="F255" i="1" s="1"/>
  <c r="G252" i="1"/>
  <c r="G253" i="1" s="1"/>
  <c r="G254" i="1" s="1"/>
  <c r="G255" i="1" s="1"/>
  <c r="H252" i="1"/>
  <c r="H253" i="1" s="1"/>
  <c r="H254" i="1" s="1"/>
  <c r="H255" i="1" s="1"/>
  <c r="I252" i="1"/>
  <c r="I253" i="1" s="1"/>
  <c r="I254" i="1" s="1"/>
  <c r="I255" i="1" s="1"/>
  <c r="B272" i="1"/>
  <c r="B271" i="1"/>
  <c r="H270" i="1"/>
  <c r="H269" i="1"/>
  <c r="E327" i="1" l="1"/>
  <c r="D350" i="1" s="1"/>
  <c r="D361" i="1" s="1"/>
  <c r="E356" i="1"/>
  <c r="F327" i="1"/>
  <c r="E350" i="1" s="1"/>
  <c r="H107" i="1"/>
  <c r="I354" i="1" s="1"/>
  <c r="K93" i="1"/>
  <c r="F93" i="1" s="1"/>
  <c r="G93" i="1" s="1"/>
  <c r="H93" i="1" s="1"/>
  <c r="I93" i="1" s="1"/>
  <c r="J93" i="1" s="1"/>
  <c r="B239" i="1"/>
  <c r="E338" i="1" l="1"/>
  <c r="E361" i="1"/>
  <c r="F338" i="1"/>
  <c r="I107" i="1"/>
  <c r="J354" i="1" s="1"/>
  <c r="B251" i="1"/>
  <c r="J107" i="1" l="1"/>
  <c r="K354" i="1" s="1"/>
  <c r="B270" i="1"/>
  <c r="B269" i="1"/>
  <c r="B268" i="1"/>
  <c r="B267" i="1"/>
  <c r="B266" i="1"/>
  <c r="B265" i="1"/>
  <c r="I258" i="1"/>
  <c r="I259" i="1" s="1"/>
  <c r="I260" i="1" s="1"/>
  <c r="I261" i="1" s="1"/>
  <c r="H258" i="1"/>
  <c r="H259" i="1" s="1"/>
  <c r="H260" i="1" s="1"/>
  <c r="H261" i="1" s="1"/>
  <c r="G258" i="1"/>
  <c r="G259" i="1" s="1"/>
  <c r="G260" i="1" s="1"/>
  <c r="G261" i="1" s="1"/>
  <c r="F258" i="1"/>
  <c r="F259" i="1" s="1"/>
  <c r="F260" i="1" s="1"/>
  <c r="F261" i="1" s="1"/>
  <c r="B257" i="1"/>
  <c r="B245" i="1"/>
  <c r="B252" i="1"/>
  <c r="F147" i="1"/>
  <c r="G147" i="1" s="1"/>
  <c r="H147" i="1" s="1"/>
  <c r="I147" i="1" s="1"/>
  <c r="J147" i="1" s="1"/>
  <c r="C137" i="1"/>
  <c r="E83" i="1"/>
  <c r="D83" i="1"/>
  <c r="B240" i="1" l="1"/>
  <c r="B246" i="1"/>
  <c r="B258" i="1"/>
  <c r="F105" i="1"/>
  <c r="G105" i="1" s="1"/>
  <c r="B253" i="1" l="1"/>
  <c r="B263" i="1"/>
  <c r="B247" i="1"/>
  <c r="B260" i="1"/>
  <c r="B259" i="1"/>
  <c r="B241" i="1"/>
  <c r="G117" i="1"/>
  <c r="F117" i="1"/>
  <c r="H105" i="1"/>
  <c r="B249" i="1" l="1"/>
  <c r="B242" i="1"/>
  <c r="B248" i="1"/>
  <c r="B254" i="1"/>
  <c r="B243" i="1"/>
  <c r="B255" i="1"/>
  <c r="B261" i="1"/>
  <c r="H117" i="1"/>
  <c r="I105" i="1"/>
  <c r="I117" i="1" l="1"/>
  <c r="J105" i="1"/>
  <c r="J117" i="1" s="1"/>
  <c r="E143" i="1" l="1"/>
  <c r="D143" i="1"/>
  <c r="D142" i="1" s="1"/>
  <c r="D137" i="1"/>
  <c r="B137" i="1"/>
  <c r="B136" i="1"/>
  <c r="B111" i="1"/>
  <c r="B110" i="1"/>
  <c r="E68" i="1"/>
  <c r="G68" i="1" s="1"/>
  <c r="H68" i="1" s="1"/>
  <c r="I68" i="1" s="1"/>
  <c r="J68" i="1" s="1"/>
  <c r="D68" i="1"/>
  <c r="C68" i="1"/>
  <c r="D79" i="1"/>
  <c r="E75" i="1"/>
  <c r="F75" i="1" s="1"/>
  <c r="D81" i="1"/>
  <c r="E66" i="1"/>
  <c r="D66" i="1"/>
  <c r="C66" i="1"/>
  <c r="E65" i="1"/>
  <c r="D65" i="1"/>
  <c r="C65" i="1"/>
  <c r="E63" i="1"/>
  <c r="D63" i="1"/>
  <c r="E44" i="1"/>
  <c r="D44" i="1"/>
  <c r="C44" i="1"/>
  <c r="C47" i="1" s="1"/>
  <c r="C56" i="1" s="1"/>
  <c r="C60" i="1" s="1"/>
  <c r="F319" i="1"/>
  <c r="E142" i="1" l="1"/>
  <c r="F142" i="1" s="1"/>
  <c r="G142" i="1" s="1"/>
  <c r="H142" i="1" s="1"/>
  <c r="I142" i="1" s="1"/>
  <c r="J142" i="1" s="1"/>
  <c r="F66" i="1"/>
  <c r="G66" i="1" s="1"/>
  <c r="F342" i="1"/>
  <c r="F65" i="1"/>
  <c r="G65" i="1" s="1"/>
  <c r="H65" i="1" s="1"/>
  <c r="I65" i="1" s="1"/>
  <c r="J65" i="1" s="1"/>
  <c r="G75" i="1"/>
  <c r="H75" i="1" s="1"/>
  <c r="I75" i="1" s="1"/>
  <c r="J75" i="1" s="1"/>
  <c r="D64" i="1"/>
  <c r="D47" i="1"/>
  <c r="D56" i="1" s="1"/>
  <c r="D60" i="1" s="1"/>
  <c r="E64" i="1"/>
  <c r="E47" i="1"/>
  <c r="E56" i="1" s="1"/>
  <c r="E60" i="1" s="1"/>
  <c r="D13" i="1" s="1"/>
  <c r="F146" i="1"/>
  <c r="F148" i="1" s="1"/>
  <c r="E136" i="1"/>
  <c r="D39" i="1"/>
  <c r="D199" i="1" s="1"/>
  <c r="F39" i="1"/>
  <c r="F199" i="1" s="1"/>
  <c r="C64" i="1"/>
  <c r="E79" i="1"/>
  <c r="F79" i="1" s="1"/>
  <c r="G79" i="1" s="1"/>
  <c r="H79" i="1" s="1"/>
  <c r="I79" i="1" s="1"/>
  <c r="J79" i="1" s="1"/>
  <c r="E137" i="1"/>
  <c r="F40" i="1"/>
  <c r="F200" i="1" s="1"/>
  <c r="F71" i="1" l="1"/>
  <c r="F86" i="1"/>
  <c r="F87" i="1"/>
  <c r="F72" i="1"/>
  <c r="D86" i="1"/>
  <c r="D71" i="1"/>
  <c r="H10" i="1"/>
  <c r="I10" i="1"/>
  <c r="I12" i="1" s="1"/>
  <c r="I17" i="1" s="1"/>
  <c r="J10" i="1"/>
  <c r="H66" i="1"/>
  <c r="E341" i="1"/>
  <c r="E318" i="1"/>
  <c r="J319" i="1"/>
  <c r="G342" i="1"/>
  <c r="J318" i="1"/>
  <c r="G341" i="1"/>
  <c r="F64" i="1"/>
  <c r="G64" i="1" s="1"/>
  <c r="H64" i="1" s="1"/>
  <c r="I64" i="1" s="1"/>
  <c r="J64" i="1" s="1"/>
  <c r="D34" i="1"/>
  <c r="F233" i="1"/>
  <c r="G39" i="1"/>
  <c r="G199" i="1" s="1"/>
  <c r="D51" i="1"/>
  <c r="D67" i="1" s="1"/>
  <c r="E81" i="1"/>
  <c r="F81" i="1" s="1"/>
  <c r="G81" i="1" s="1"/>
  <c r="H81" i="1" s="1"/>
  <c r="I81" i="1" s="1"/>
  <c r="J81" i="1" s="1"/>
  <c r="E51" i="1"/>
  <c r="C39" i="1"/>
  <c r="C199" i="1" s="1"/>
  <c r="D136" i="1"/>
  <c r="F137" i="1"/>
  <c r="F111" i="1"/>
  <c r="G40" i="1"/>
  <c r="G200" i="1" s="1"/>
  <c r="C51" i="1"/>
  <c r="F136" i="1"/>
  <c r="F110" i="1"/>
  <c r="F271" i="1" l="1"/>
  <c r="H342" i="1"/>
  <c r="G72" i="1"/>
  <c r="G87" i="1"/>
  <c r="G71" i="1"/>
  <c r="G86" i="1"/>
  <c r="I66" i="1"/>
  <c r="C136" i="1"/>
  <c r="D341" i="1"/>
  <c r="H39" i="1"/>
  <c r="H199" i="1" s="1"/>
  <c r="H341" i="1"/>
  <c r="G233" i="1"/>
  <c r="E251" i="1"/>
  <c r="E252" i="1" s="1"/>
  <c r="E253" i="1" s="1"/>
  <c r="E254" i="1" s="1"/>
  <c r="E255" i="1" s="1"/>
  <c r="C228" i="1"/>
  <c r="D28" i="1"/>
  <c r="H28" i="1" s="1"/>
  <c r="D53" i="1"/>
  <c r="D33" i="1"/>
  <c r="F188" i="1" s="1"/>
  <c r="D29" i="1"/>
  <c r="H29" i="1" s="1"/>
  <c r="D32" i="1"/>
  <c r="H32" i="1" s="1"/>
  <c r="D31" i="1"/>
  <c r="H31" i="1" s="1"/>
  <c r="D30" i="1"/>
  <c r="H30" i="1" s="1"/>
  <c r="C53" i="1"/>
  <c r="C67" i="1"/>
  <c r="E67" i="1"/>
  <c r="F67" i="1" s="1"/>
  <c r="E53" i="1"/>
  <c r="G136" i="1"/>
  <c r="G110" i="1"/>
  <c r="G137" i="1"/>
  <c r="G111" i="1"/>
  <c r="H40" i="1"/>
  <c r="H200" i="1" s="1"/>
  <c r="F42" i="1"/>
  <c r="F46" i="1" s="1"/>
  <c r="I342" i="1" l="1"/>
  <c r="H72" i="1"/>
  <c r="H87" i="1"/>
  <c r="I341" i="1"/>
  <c r="H86" i="1"/>
  <c r="H71" i="1"/>
  <c r="H33" i="1"/>
  <c r="J29" i="1"/>
  <c r="J31" i="1"/>
  <c r="J32" i="1"/>
  <c r="J66" i="1"/>
  <c r="J28" i="1"/>
  <c r="F267" i="1"/>
  <c r="J30" i="1"/>
  <c r="F268" i="1"/>
  <c r="H233" i="1"/>
  <c r="F265" i="1"/>
  <c r="H332" i="1"/>
  <c r="F270" i="1"/>
  <c r="H335" i="1"/>
  <c r="J335" i="1" s="1"/>
  <c r="F358" i="1" s="1"/>
  <c r="F266" i="1"/>
  <c r="F92" i="1"/>
  <c r="F76" i="1"/>
  <c r="G345" i="1" s="1"/>
  <c r="F74" i="1"/>
  <c r="G67" i="1"/>
  <c r="F269" i="1"/>
  <c r="E239" i="1"/>
  <c r="E240" i="1" s="1"/>
  <c r="E241" i="1" s="1"/>
  <c r="E242" i="1" s="1"/>
  <c r="E243" i="1" s="1"/>
  <c r="E234" i="1"/>
  <c r="F152" i="1"/>
  <c r="F167" i="1"/>
  <c r="F168" i="1" s="1"/>
  <c r="E236" i="1"/>
  <c r="F189" i="1"/>
  <c r="E245" i="1"/>
  <c r="E246" i="1" s="1"/>
  <c r="E247" i="1" s="1"/>
  <c r="E248" i="1" s="1"/>
  <c r="E249" i="1" s="1"/>
  <c r="F181" i="1"/>
  <c r="F159" i="1"/>
  <c r="F160" i="1" s="1"/>
  <c r="E235" i="1"/>
  <c r="F175" i="1"/>
  <c r="E237" i="1"/>
  <c r="H110" i="1"/>
  <c r="H136" i="1"/>
  <c r="I39" i="1"/>
  <c r="I199" i="1" s="1"/>
  <c r="H111" i="1"/>
  <c r="I40" i="1"/>
  <c r="I200" i="1" s="1"/>
  <c r="H137" i="1"/>
  <c r="F80" i="1"/>
  <c r="G353" i="1" s="1"/>
  <c r="F45" i="1"/>
  <c r="G42" i="1"/>
  <c r="G46" i="1" s="1"/>
  <c r="F44" i="1"/>
  <c r="G344" i="1" l="1"/>
  <c r="F155" i="1"/>
  <c r="F176" i="1"/>
  <c r="I86" i="1"/>
  <c r="I71" i="1"/>
  <c r="J342" i="1"/>
  <c r="I87" i="1"/>
  <c r="I72" i="1"/>
  <c r="F194" i="1"/>
  <c r="G332" i="1" s="1"/>
  <c r="J332" i="1" s="1"/>
  <c r="J333" i="1" s="1"/>
  <c r="J325" i="1"/>
  <c r="F348" i="1" s="1"/>
  <c r="J33" i="1"/>
  <c r="I195" i="1"/>
  <c r="I119" i="1" s="1"/>
  <c r="H195" i="1"/>
  <c r="H119" i="1" s="1"/>
  <c r="J195" i="1"/>
  <c r="J119" i="1" s="1"/>
  <c r="G195" i="1"/>
  <c r="G119" i="1" s="1"/>
  <c r="F195" i="1"/>
  <c r="F119" i="1" s="1"/>
  <c r="I233" i="1"/>
  <c r="J341" i="1"/>
  <c r="G92" i="1"/>
  <c r="G76" i="1"/>
  <c r="H345" i="1" s="1"/>
  <c r="H67" i="1"/>
  <c r="F43" i="1"/>
  <c r="F58" i="1" s="1"/>
  <c r="F115" i="1" s="1"/>
  <c r="F47" i="1"/>
  <c r="F56" i="1" s="1"/>
  <c r="F182" i="1"/>
  <c r="F208" i="1" s="1"/>
  <c r="F183" i="1"/>
  <c r="F209" i="1" s="1"/>
  <c r="F118" i="1" s="1"/>
  <c r="F190" i="1"/>
  <c r="I182" i="1"/>
  <c r="F177" i="1"/>
  <c r="F207" i="1" s="1"/>
  <c r="J182" i="1"/>
  <c r="H182" i="1"/>
  <c r="G182" i="1"/>
  <c r="G80" i="1"/>
  <c r="H353" i="1" s="1"/>
  <c r="I111" i="1"/>
  <c r="I137" i="1"/>
  <c r="J40" i="1"/>
  <c r="J200" i="1" s="1"/>
  <c r="F213" i="1" s="1"/>
  <c r="I110" i="1"/>
  <c r="I136" i="1"/>
  <c r="J39" i="1"/>
  <c r="J199" i="1" s="1"/>
  <c r="G44" i="1"/>
  <c r="G45" i="1"/>
  <c r="G74" i="1"/>
  <c r="H42" i="1"/>
  <c r="H46" i="1" s="1"/>
  <c r="F355" i="1" l="1"/>
  <c r="F356" i="1" s="1"/>
  <c r="H344" i="1"/>
  <c r="G155" i="1"/>
  <c r="F237" i="1"/>
  <c r="K342" i="1"/>
  <c r="J87" i="1"/>
  <c r="J72" i="1"/>
  <c r="J71" i="1"/>
  <c r="J86" i="1"/>
  <c r="F196" i="1"/>
  <c r="J233" i="1"/>
  <c r="K341" i="1"/>
  <c r="F191" i="1"/>
  <c r="F127" i="1" s="1"/>
  <c r="G358" i="1"/>
  <c r="H92" i="1"/>
  <c r="H76" i="1"/>
  <c r="I345" i="1" s="1"/>
  <c r="F78" i="1"/>
  <c r="I67" i="1"/>
  <c r="G43" i="1"/>
  <c r="G47" i="1"/>
  <c r="G56" i="1" s="1"/>
  <c r="F184" i="1"/>
  <c r="G181" i="1" s="1"/>
  <c r="F126" i="1"/>
  <c r="G188" i="1"/>
  <c r="G189" i="1" s="1"/>
  <c r="G175" i="1"/>
  <c r="G122" i="1"/>
  <c r="F122" i="1"/>
  <c r="J136" i="1"/>
  <c r="J110" i="1"/>
  <c r="J137" i="1"/>
  <c r="J111" i="1"/>
  <c r="H45" i="1"/>
  <c r="I42" i="1"/>
  <c r="I46" i="1" s="1"/>
  <c r="H80" i="1"/>
  <c r="I353" i="1" s="1"/>
  <c r="H44" i="1"/>
  <c r="H74" i="1"/>
  <c r="I344" i="1" l="1"/>
  <c r="H155" i="1"/>
  <c r="G176" i="1"/>
  <c r="G194" i="1"/>
  <c r="G196" i="1" s="1"/>
  <c r="G183" i="1"/>
  <c r="G209" i="1" s="1"/>
  <c r="G118" i="1" s="1"/>
  <c r="G208" i="1"/>
  <c r="F83" i="1"/>
  <c r="F116" i="1" s="1"/>
  <c r="G352" i="1"/>
  <c r="F245" i="1"/>
  <c r="F246" i="1" s="1"/>
  <c r="F247" i="1" s="1"/>
  <c r="F248" i="1" s="1"/>
  <c r="F249" i="1" s="1"/>
  <c r="I92" i="1"/>
  <c r="I76" i="1"/>
  <c r="J345" i="1" s="1"/>
  <c r="J67" i="1"/>
  <c r="G58" i="1"/>
  <c r="G115" i="1" s="1"/>
  <c r="G78" i="1"/>
  <c r="H352" i="1" s="1"/>
  <c r="H43" i="1"/>
  <c r="H47" i="1"/>
  <c r="H56" i="1" s="1"/>
  <c r="F239" i="1"/>
  <c r="F240" i="1" s="1"/>
  <c r="F241" i="1" s="1"/>
  <c r="F242" i="1" s="1"/>
  <c r="F243" i="1" s="1"/>
  <c r="G190" i="1"/>
  <c r="H358" i="1" s="1"/>
  <c r="G177" i="1"/>
  <c r="H175" i="1" s="1"/>
  <c r="I45" i="1"/>
  <c r="I80" i="1"/>
  <c r="J353" i="1" s="1"/>
  <c r="I74" i="1"/>
  <c r="I44" i="1"/>
  <c r="H122" i="1"/>
  <c r="J42" i="1"/>
  <c r="J46" i="1" s="1"/>
  <c r="G184" i="1" l="1"/>
  <c r="H181" i="1" s="1"/>
  <c r="H176" i="1"/>
  <c r="G207" i="1"/>
  <c r="G237" i="1" s="1"/>
  <c r="J344" i="1"/>
  <c r="I155" i="1"/>
  <c r="H194" i="1"/>
  <c r="H196" i="1" s="1"/>
  <c r="H183" i="1"/>
  <c r="H209" i="1" s="1"/>
  <c r="H118" i="1" s="1"/>
  <c r="H208" i="1"/>
  <c r="G191" i="1"/>
  <c r="G127" i="1" s="1"/>
  <c r="J92" i="1"/>
  <c r="J76" i="1"/>
  <c r="K345" i="1" s="1"/>
  <c r="H78" i="1"/>
  <c r="I352" i="1" s="1"/>
  <c r="H58" i="1"/>
  <c r="H115" i="1" s="1"/>
  <c r="G83" i="1"/>
  <c r="G116" i="1" s="1"/>
  <c r="I43" i="1"/>
  <c r="I78" i="1" s="1"/>
  <c r="J352" i="1" s="1"/>
  <c r="I47" i="1"/>
  <c r="I56" i="1" s="1"/>
  <c r="G239" i="1"/>
  <c r="G240" i="1" s="1"/>
  <c r="G241" i="1" s="1"/>
  <c r="G242" i="1" s="1"/>
  <c r="G243" i="1" s="1"/>
  <c r="H177" i="1"/>
  <c r="I175" i="1" s="1"/>
  <c r="H188" i="1"/>
  <c r="H189" i="1" s="1"/>
  <c r="J80" i="1"/>
  <c r="K353" i="1" s="1"/>
  <c r="I122" i="1"/>
  <c r="J74" i="1"/>
  <c r="J44" i="1"/>
  <c r="J45" i="1"/>
  <c r="H184" i="1" l="1"/>
  <c r="I181" i="1" s="1"/>
  <c r="K344" i="1"/>
  <c r="J155" i="1"/>
  <c r="I176" i="1"/>
  <c r="I177" i="1" s="1"/>
  <c r="J175" i="1" s="1"/>
  <c r="H207" i="1"/>
  <c r="H237" i="1" s="1"/>
  <c r="I194" i="1"/>
  <c r="I196" i="1" s="1"/>
  <c r="H239" i="1"/>
  <c r="H240" i="1" s="1"/>
  <c r="H241" i="1" s="1"/>
  <c r="H242" i="1" s="1"/>
  <c r="H243" i="1" s="1"/>
  <c r="H83" i="1"/>
  <c r="H116" i="1" s="1"/>
  <c r="I58" i="1"/>
  <c r="I115" i="1" s="1"/>
  <c r="J43" i="1"/>
  <c r="J58" i="1" s="1"/>
  <c r="J115" i="1" s="1"/>
  <c r="J47" i="1"/>
  <c r="J56" i="1" s="1"/>
  <c r="H190" i="1"/>
  <c r="I358" i="1" s="1"/>
  <c r="G245" i="1"/>
  <c r="G246" i="1" s="1"/>
  <c r="G247" i="1" s="1"/>
  <c r="G248" i="1" s="1"/>
  <c r="G249" i="1" s="1"/>
  <c r="J122" i="1"/>
  <c r="I207" i="1" l="1"/>
  <c r="I237" i="1" s="1"/>
  <c r="J176" i="1"/>
  <c r="J177" i="1" s="1"/>
  <c r="J207" i="1" s="1"/>
  <c r="J194" i="1"/>
  <c r="J196" i="1" s="1"/>
  <c r="I183" i="1"/>
  <c r="I209" i="1" s="1"/>
  <c r="I118" i="1" s="1"/>
  <c r="I208" i="1"/>
  <c r="H191" i="1"/>
  <c r="H127" i="1" s="1"/>
  <c r="I83" i="1"/>
  <c r="I116" i="1" s="1"/>
  <c r="J78" i="1"/>
  <c r="K352" i="1" s="1"/>
  <c r="I188" i="1"/>
  <c r="I189" i="1" s="1"/>
  <c r="F222" i="1" l="1"/>
  <c r="G222" i="1" s="1"/>
  <c r="H222" i="1" s="1"/>
  <c r="I222" i="1" s="1"/>
  <c r="J222" i="1" s="1"/>
  <c r="I184" i="1"/>
  <c r="J181" i="1" s="1"/>
  <c r="I239" i="1"/>
  <c r="I240" i="1" s="1"/>
  <c r="I241" i="1" s="1"/>
  <c r="I242" i="1" s="1"/>
  <c r="I243" i="1" s="1"/>
  <c r="J83" i="1"/>
  <c r="J116" i="1" s="1"/>
  <c r="I190" i="1"/>
  <c r="J358" i="1" s="1"/>
  <c r="H245" i="1"/>
  <c r="H246" i="1" s="1"/>
  <c r="H247" i="1" s="1"/>
  <c r="H248" i="1" s="1"/>
  <c r="H249" i="1" s="1"/>
  <c r="J237" i="1"/>
  <c r="C237" i="1" s="1"/>
  <c r="J183" i="1" l="1"/>
  <c r="J209" i="1" s="1"/>
  <c r="J118" i="1" s="1"/>
  <c r="J208" i="1"/>
  <c r="I191" i="1"/>
  <c r="I127" i="1" s="1"/>
  <c r="D237" i="1"/>
  <c r="J268" i="1" s="1"/>
  <c r="I268" i="1"/>
  <c r="J184" i="1"/>
  <c r="F223" i="1" s="1"/>
  <c r="G223" i="1" s="1"/>
  <c r="H223" i="1" s="1"/>
  <c r="I223" i="1" s="1"/>
  <c r="J223" i="1" s="1"/>
  <c r="J188" i="1"/>
  <c r="J189" i="1" s="1"/>
  <c r="J190" i="1" l="1"/>
  <c r="K358" i="1" s="1"/>
  <c r="I245" i="1"/>
  <c r="I246" i="1" s="1"/>
  <c r="I247" i="1" s="1"/>
  <c r="I248" i="1" s="1"/>
  <c r="I249" i="1" s="1"/>
  <c r="F224" i="1" l="1"/>
  <c r="G224" i="1" s="1"/>
  <c r="H224" i="1" s="1"/>
  <c r="I224" i="1" s="1"/>
  <c r="J224" i="1" s="1"/>
  <c r="J191" i="1"/>
  <c r="J127" i="1" s="1"/>
  <c r="F91" i="1" l="1"/>
  <c r="F57" i="1" s="1"/>
  <c r="F114" i="1" s="1"/>
  <c r="G91" i="1" l="1"/>
  <c r="F89" i="1"/>
  <c r="J323" i="1" l="1"/>
  <c r="F346" i="1" s="1"/>
  <c r="G346" i="1"/>
  <c r="G89" i="1"/>
  <c r="H346" i="1" s="1"/>
  <c r="H91" i="1"/>
  <c r="J91" i="1" l="1"/>
  <c r="I91" i="1"/>
  <c r="H89" i="1"/>
  <c r="I346" i="1" s="1"/>
  <c r="I89" i="1" l="1"/>
  <c r="J346" i="1" s="1"/>
  <c r="F98" i="1"/>
  <c r="F124" i="1"/>
  <c r="J89" i="1" l="1"/>
  <c r="K346" i="1" s="1"/>
  <c r="G98" i="1"/>
  <c r="G124" i="1"/>
  <c r="H98" i="1"/>
  <c r="H124" i="1"/>
  <c r="I98" i="1"/>
  <c r="I124" i="1" l="1"/>
  <c r="J98" i="1"/>
  <c r="J124" i="1"/>
  <c r="F95" i="1"/>
  <c r="G347" i="1" s="1"/>
  <c r="F60" i="1" l="1"/>
  <c r="G57" i="1"/>
  <c r="G60" i="1" s="1"/>
  <c r="G95" i="1"/>
  <c r="H347" i="1" s="1"/>
  <c r="G114" i="1" l="1"/>
  <c r="H57" i="1"/>
  <c r="I57" i="1"/>
  <c r="I60" i="1" s="1"/>
  <c r="J57" i="1"/>
  <c r="J60" i="1" s="1"/>
  <c r="H95" i="1"/>
  <c r="I347" i="1" s="1"/>
  <c r="F216" i="1" l="1"/>
  <c r="G216" i="1" s="1"/>
  <c r="H216" i="1" s="1"/>
  <c r="I216" i="1" s="1"/>
  <c r="J216" i="1" s="1"/>
  <c r="I95" i="1"/>
  <c r="J347" i="1" s="1"/>
  <c r="I114" i="1"/>
  <c r="J114" i="1"/>
  <c r="H114" i="1"/>
  <c r="H60" i="1"/>
  <c r="J95" i="1" l="1"/>
  <c r="K347" i="1" s="1"/>
  <c r="F217" i="1"/>
  <c r="G217" i="1"/>
  <c r="H217" i="1" l="1"/>
  <c r="I217" i="1" l="1"/>
  <c r="J217" i="1"/>
  <c r="C27" i="1" l="1"/>
  <c r="E18" i="11" l="1"/>
  <c r="E19" i="11"/>
  <c r="E20" i="11"/>
  <c r="E21" i="11"/>
  <c r="E22" i="11"/>
  <c r="E23" i="11"/>
  <c r="E24" i="11"/>
  <c r="E25" i="11"/>
  <c r="E26" i="11"/>
  <c r="E27" i="11"/>
  <c r="E9" i="11" l="1"/>
  <c r="E10" i="11" s="1"/>
  <c r="E28" i="11"/>
  <c r="E8" i="11" s="1"/>
  <c r="E11" i="11" l="1"/>
  <c r="E14" i="11" s="1"/>
  <c r="J18" i="1" l="1"/>
  <c r="J17" i="1" s="1"/>
  <c r="J12" i="1" s="1"/>
  <c r="I18" i="1"/>
  <c r="H18" i="1"/>
  <c r="C280" i="1" l="1"/>
  <c r="J280" i="1" s="1"/>
  <c r="I20" i="1"/>
  <c r="J11" i="1"/>
  <c r="H11" i="1" s="1"/>
  <c r="H12" i="1" s="1"/>
  <c r="H17" i="1" s="1"/>
  <c r="H36" i="1" s="1"/>
  <c r="D22" i="1" s="1"/>
  <c r="F280" i="1" l="1"/>
  <c r="G280" i="1"/>
  <c r="I280" i="1"/>
  <c r="H280" i="1"/>
  <c r="H20" i="1"/>
  <c r="H21" i="1" s="1"/>
  <c r="E280" i="1"/>
  <c r="D20" i="1"/>
  <c r="C279" i="1"/>
  <c r="C284" i="1" s="1"/>
  <c r="I21" i="1"/>
  <c r="I326" i="1"/>
  <c r="D23" i="1" l="1"/>
  <c r="G336" i="1"/>
  <c r="J349" i="1"/>
  <c r="G349" i="1"/>
  <c r="K349" i="1"/>
  <c r="H349" i="1"/>
  <c r="I349" i="1"/>
  <c r="E6" i="11"/>
  <c r="B6" i="11" s="1"/>
  <c r="C285" i="1"/>
  <c r="C281" i="1"/>
  <c r="C282" i="1" s="1"/>
  <c r="I336" i="1"/>
  <c r="J326" i="1"/>
  <c r="F349" i="1" s="1"/>
  <c r="G320" i="1" l="1"/>
  <c r="D35" i="1" l="1"/>
  <c r="C35" i="1" s="1"/>
  <c r="C36" i="1" s="1"/>
  <c r="H336" i="1" l="1"/>
  <c r="H320" i="1" s="1"/>
  <c r="J320" i="1" s="1"/>
  <c r="E257" i="1"/>
  <c r="E258" i="1" s="1"/>
  <c r="E259" i="1" s="1"/>
  <c r="E260" i="1" s="1"/>
  <c r="E261" i="1" s="1"/>
  <c r="F272" i="1"/>
  <c r="G268" i="1" s="1"/>
  <c r="C227" i="1"/>
  <c r="D228" i="1" s="1"/>
  <c r="D36" i="1"/>
  <c r="F343" i="1" l="1"/>
  <c r="F350" i="1" s="1"/>
  <c r="J327" i="1"/>
  <c r="J336" i="1"/>
  <c r="F359" i="1" s="1"/>
  <c r="F360" i="1" s="1"/>
  <c r="D230" i="1"/>
  <c r="G270" i="1"/>
  <c r="D227" i="1"/>
  <c r="G265" i="1"/>
  <c r="F273" i="1"/>
  <c r="G273" i="1" s="1"/>
  <c r="G267" i="1"/>
  <c r="G271" i="1"/>
  <c r="G272" i="1"/>
  <c r="D229" i="1"/>
  <c r="G266" i="1"/>
  <c r="G269" i="1"/>
  <c r="F361" i="1" l="1"/>
  <c r="J337" i="1"/>
  <c r="J338" i="1" s="1"/>
  <c r="E227" i="1"/>
  <c r="H272" i="1" s="1"/>
  <c r="E228" i="1"/>
  <c r="H271" i="1" s="1"/>
  <c r="H273" i="1" l="1"/>
  <c r="F278" i="1" l="1"/>
  <c r="G278" i="1"/>
  <c r="H278" i="1" s="1"/>
  <c r="I278" i="1" l="1"/>
  <c r="J278" i="1" l="1"/>
  <c r="F48" i="1" l="1"/>
  <c r="G48" i="1"/>
  <c r="H48" i="1"/>
  <c r="I48" i="1"/>
  <c r="J48" i="1"/>
  <c r="F49" i="1"/>
  <c r="G49" i="1"/>
  <c r="H49" i="1"/>
  <c r="I49" i="1"/>
  <c r="J49" i="1"/>
  <c r="F51" i="1"/>
  <c r="G51" i="1"/>
  <c r="H51" i="1"/>
  <c r="I51" i="1"/>
  <c r="J51" i="1"/>
  <c r="F52" i="1"/>
  <c r="G52" i="1"/>
  <c r="H52" i="1"/>
  <c r="I52" i="1"/>
  <c r="J52" i="1"/>
  <c r="F53" i="1"/>
  <c r="G53" i="1"/>
  <c r="H53" i="1"/>
  <c r="I53" i="1"/>
  <c r="J53" i="1"/>
  <c r="F113" i="1"/>
  <c r="G113" i="1"/>
  <c r="H113" i="1"/>
  <c r="I113" i="1"/>
  <c r="J113" i="1"/>
  <c r="F120" i="1"/>
  <c r="G120" i="1"/>
  <c r="H120" i="1"/>
  <c r="I120" i="1"/>
  <c r="J120" i="1"/>
  <c r="G126" i="1"/>
  <c r="H126" i="1"/>
  <c r="I126" i="1"/>
  <c r="J126" i="1"/>
  <c r="F128" i="1"/>
  <c r="G128" i="1"/>
  <c r="H128" i="1"/>
  <c r="I128" i="1"/>
  <c r="J128" i="1"/>
  <c r="F129" i="1"/>
  <c r="G129" i="1"/>
  <c r="H129" i="1"/>
  <c r="I129" i="1"/>
  <c r="J129" i="1"/>
  <c r="F130" i="1"/>
  <c r="G130" i="1"/>
  <c r="H130" i="1"/>
  <c r="I130" i="1"/>
  <c r="J130" i="1"/>
  <c r="F131" i="1"/>
  <c r="G131" i="1"/>
  <c r="H131" i="1"/>
  <c r="I131" i="1"/>
  <c r="J131" i="1"/>
  <c r="F132" i="1"/>
  <c r="G132" i="1"/>
  <c r="H132" i="1"/>
  <c r="I132" i="1"/>
  <c r="J132" i="1"/>
  <c r="F133" i="1"/>
  <c r="G133" i="1"/>
  <c r="H133" i="1"/>
  <c r="I133" i="1"/>
  <c r="J133" i="1"/>
  <c r="G139" i="1"/>
  <c r="H139" i="1"/>
  <c r="I139" i="1"/>
  <c r="J139" i="1"/>
  <c r="F140" i="1"/>
  <c r="G140" i="1"/>
  <c r="H140" i="1"/>
  <c r="I140" i="1"/>
  <c r="J140" i="1"/>
  <c r="F141" i="1"/>
  <c r="G141" i="1"/>
  <c r="H141" i="1"/>
  <c r="I141" i="1"/>
  <c r="J141" i="1"/>
  <c r="F143" i="1"/>
  <c r="G143" i="1"/>
  <c r="H143" i="1"/>
  <c r="I143" i="1"/>
  <c r="J143" i="1"/>
  <c r="G146" i="1"/>
  <c r="H146" i="1"/>
  <c r="I146" i="1"/>
  <c r="J146" i="1"/>
  <c r="G148" i="1"/>
  <c r="H148" i="1"/>
  <c r="I148" i="1"/>
  <c r="J148" i="1"/>
  <c r="F149" i="1"/>
  <c r="G149" i="1"/>
  <c r="H149" i="1"/>
  <c r="I149" i="1"/>
  <c r="J149" i="1"/>
  <c r="F150" i="1"/>
  <c r="G150" i="1"/>
  <c r="H150" i="1"/>
  <c r="I150" i="1"/>
  <c r="J150" i="1"/>
  <c r="G152" i="1"/>
  <c r="H152" i="1"/>
  <c r="I152" i="1"/>
  <c r="J152" i="1"/>
  <c r="F153" i="1"/>
  <c r="G153" i="1"/>
  <c r="H153" i="1"/>
  <c r="I153" i="1"/>
  <c r="J153" i="1"/>
  <c r="F154" i="1"/>
  <c r="G154" i="1"/>
  <c r="H154" i="1"/>
  <c r="I154" i="1"/>
  <c r="J154" i="1"/>
  <c r="F156" i="1"/>
  <c r="G156" i="1"/>
  <c r="H156" i="1"/>
  <c r="I156" i="1"/>
  <c r="J156" i="1"/>
  <c r="G159" i="1"/>
  <c r="H159" i="1"/>
  <c r="I159" i="1"/>
  <c r="J159" i="1"/>
  <c r="G160" i="1"/>
  <c r="H160" i="1"/>
  <c r="I160" i="1"/>
  <c r="J160" i="1"/>
  <c r="F161" i="1"/>
  <c r="G161" i="1"/>
  <c r="H161" i="1"/>
  <c r="I161" i="1"/>
  <c r="J161" i="1"/>
  <c r="F162" i="1"/>
  <c r="G162" i="1"/>
  <c r="H162" i="1"/>
  <c r="I162" i="1"/>
  <c r="J162" i="1"/>
  <c r="F164" i="1"/>
  <c r="G164" i="1"/>
  <c r="H164" i="1"/>
  <c r="I164" i="1"/>
  <c r="J164" i="1"/>
  <c r="G167" i="1"/>
  <c r="H167" i="1"/>
  <c r="I167" i="1"/>
  <c r="J167" i="1"/>
  <c r="G168" i="1"/>
  <c r="H168" i="1"/>
  <c r="I168" i="1"/>
  <c r="J168" i="1"/>
  <c r="F169" i="1"/>
  <c r="G169" i="1"/>
  <c r="H169" i="1"/>
  <c r="I169" i="1"/>
  <c r="J169" i="1"/>
  <c r="F170" i="1"/>
  <c r="G170" i="1"/>
  <c r="H170" i="1"/>
  <c r="I170" i="1"/>
  <c r="J170" i="1"/>
  <c r="F172" i="1"/>
  <c r="G172" i="1"/>
  <c r="H172" i="1"/>
  <c r="I172" i="1"/>
  <c r="J172" i="1"/>
  <c r="F204" i="1"/>
  <c r="G204" i="1"/>
  <c r="H204" i="1"/>
  <c r="I204" i="1"/>
  <c r="J204" i="1"/>
  <c r="F205" i="1"/>
  <c r="G205" i="1"/>
  <c r="H205" i="1"/>
  <c r="I205" i="1"/>
  <c r="J205" i="1"/>
  <c r="F206" i="1"/>
  <c r="G206" i="1"/>
  <c r="H206" i="1"/>
  <c r="I206" i="1"/>
  <c r="J206" i="1"/>
  <c r="F219" i="1"/>
  <c r="G219" i="1"/>
  <c r="H219" i="1"/>
  <c r="I219" i="1"/>
  <c r="J219" i="1"/>
  <c r="F220" i="1"/>
  <c r="G220" i="1"/>
  <c r="H220" i="1"/>
  <c r="I220" i="1"/>
  <c r="J220" i="1"/>
  <c r="F221" i="1"/>
  <c r="G221" i="1"/>
  <c r="H221" i="1"/>
  <c r="I221" i="1"/>
  <c r="J221" i="1"/>
  <c r="F225" i="1"/>
  <c r="G225" i="1"/>
  <c r="H225" i="1"/>
  <c r="I225" i="1"/>
  <c r="J225" i="1"/>
  <c r="F226" i="1"/>
  <c r="G226" i="1"/>
  <c r="H226" i="1"/>
  <c r="I226" i="1"/>
  <c r="J226" i="1"/>
  <c r="F227" i="1"/>
  <c r="G227" i="1"/>
  <c r="H227" i="1"/>
  <c r="I227" i="1"/>
  <c r="J227" i="1"/>
  <c r="F228" i="1"/>
  <c r="G228" i="1"/>
  <c r="H228" i="1"/>
  <c r="I228" i="1"/>
  <c r="J228" i="1"/>
  <c r="F229" i="1"/>
  <c r="G229" i="1"/>
  <c r="H229" i="1"/>
  <c r="I229" i="1"/>
  <c r="J229" i="1"/>
  <c r="F230" i="1"/>
  <c r="G230" i="1"/>
  <c r="H230" i="1"/>
  <c r="I230" i="1"/>
  <c r="J230" i="1"/>
  <c r="C234" i="1"/>
  <c r="D234" i="1"/>
  <c r="F234" i="1"/>
  <c r="G234" i="1"/>
  <c r="H234" i="1"/>
  <c r="I234" i="1"/>
  <c r="J234" i="1"/>
  <c r="C235" i="1"/>
  <c r="D235" i="1"/>
  <c r="F235" i="1"/>
  <c r="G235" i="1"/>
  <c r="H235" i="1"/>
  <c r="I235" i="1"/>
  <c r="J235" i="1"/>
  <c r="C236" i="1"/>
  <c r="D236" i="1"/>
  <c r="F236" i="1"/>
  <c r="G236" i="1"/>
  <c r="H236" i="1"/>
  <c r="I236" i="1"/>
  <c r="J236" i="1"/>
  <c r="C239" i="1"/>
  <c r="D239" i="1"/>
  <c r="J239" i="1"/>
  <c r="C240" i="1"/>
  <c r="D240" i="1"/>
  <c r="J240" i="1"/>
  <c r="C241" i="1"/>
  <c r="D241" i="1"/>
  <c r="J241" i="1"/>
  <c r="C242" i="1"/>
  <c r="D242" i="1"/>
  <c r="J242" i="1"/>
  <c r="C243" i="1"/>
  <c r="D243" i="1"/>
  <c r="J243" i="1"/>
  <c r="C245" i="1"/>
  <c r="D245" i="1"/>
  <c r="J245" i="1"/>
  <c r="C246" i="1"/>
  <c r="D246" i="1"/>
  <c r="J246" i="1"/>
  <c r="C247" i="1"/>
  <c r="D247" i="1"/>
  <c r="J247" i="1"/>
  <c r="C248" i="1"/>
  <c r="D248" i="1"/>
  <c r="J248" i="1"/>
  <c r="C249" i="1"/>
  <c r="D249" i="1"/>
  <c r="J249" i="1"/>
  <c r="C251" i="1"/>
  <c r="D251" i="1"/>
  <c r="J251" i="1"/>
  <c r="C252" i="1"/>
  <c r="D252" i="1"/>
  <c r="J252" i="1"/>
  <c r="C253" i="1"/>
  <c r="D253" i="1"/>
  <c r="J253" i="1"/>
  <c r="C254" i="1"/>
  <c r="D254" i="1"/>
  <c r="J254" i="1"/>
  <c r="C255" i="1"/>
  <c r="D255" i="1"/>
  <c r="J255" i="1"/>
  <c r="C257" i="1"/>
  <c r="D257" i="1"/>
  <c r="J257" i="1"/>
  <c r="C258" i="1"/>
  <c r="D258" i="1"/>
  <c r="J258" i="1"/>
  <c r="C259" i="1"/>
  <c r="D259" i="1"/>
  <c r="J259" i="1"/>
  <c r="C260" i="1"/>
  <c r="D260" i="1"/>
  <c r="J260" i="1"/>
  <c r="C261" i="1"/>
  <c r="D261" i="1"/>
  <c r="J261" i="1"/>
  <c r="I265" i="1"/>
  <c r="J265" i="1"/>
  <c r="I266" i="1"/>
  <c r="J266" i="1"/>
  <c r="I267" i="1"/>
  <c r="J267" i="1"/>
  <c r="I269" i="1"/>
  <c r="J269" i="1"/>
  <c r="I270" i="1"/>
  <c r="J270" i="1"/>
  <c r="I271" i="1"/>
  <c r="J271" i="1"/>
  <c r="I272" i="1"/>
  <c r="J272" i="1"/>
  <c r="C278" i="1"/>
  <c r="E279" i="1"/>
  <c r="F279" i="1"/>
  <c r="G279" i="1"/>
  <c r="H279" i="1"/>
  <c r="I279" i="1"/>
  <c r="J279" i="1"/>
  <c r="E281" i="1"/>
  <c r="F281" i="1"/>
  <c r="G281" i="1"/>
  <c r="H281" i="1"/>
  <c r="I281" i="1"/>
  <c r="J281" i="1"/>
  <c r="E282" i="1"/>
  <c r="F282" i="1"/>
  <c r="G282" i="1"/>
  <c r="H282" i="1"/>
  <c r="I282" i="1"/>
  <c r="J282" i="1"/>
  <c r="E284" i="1"/>
  <c r="F284" i="1"/>
  <c r="G284" i="1"/>
  <c r="H284" i="1"/>
  <c r="I284" i="1"/>
  <c r="J284" i="1"/>
  <c r="E285" i="1"/>
  <c r="F285" i="1"/>
  <c r="G285" i="1"/>
  <c r="H285" i="1"/>
  <c r="I285" i="1"/>
  <c r="J285" i="1"/>
  <c r="E290" i="1"/>
  <c r="E300" i="1"/>
  <c r="E309" i="1"/>
  <c r="G343" i="1"/>
  <c r="H343" i="1"/>
  <c r="I343" i="1"/>
  <c r="J343" i="1"/>
  <c r="K343" i="1"/>
  <c r="G350" i="1"/>
  <c r="H350" i="1"/>
  <c r="I350" i="1"/>
  <c r="J350" i="1"/>
  <c r="K350" i="1"/>
  <c r="G355" i="1"/>
  <c r="H355" i="1"/>
  <c r="I355" i="1"/>
  <c r="J355" i="1"/>
  <c r="K355" i="1"/>
  <c r="G356" i="1"/>
  <c r="H356" i="1"/>
  <c r="I356" i="1"/>
  <c r="J356" i="1"/>
  <c r="K356" i="1"/>
  <c r="G359" i="1"/>
  <c r="H359" i="1"/>
  <c r="I359" i="1"/>
  <c r="J359" i="1"/>
  <c r="K359" i="1"/>
  <c r="G360" i="1"/>
  <c r="H360" i="1"/>
  <c r="I360" i="1"/>
  <c r="J360" i="1"/>
  <c r="K360" i="1"/>
  <c r="G361" i="1"/>
  <c r="H361" i="1"/>
  <c r="I361" i="1"/>
  <c r="J361" i="1"/>
  <c r="K36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Matan Feldman</author>
  </authors>
  <commentList>
    <comment ref="H7" authorId="0" shapeId="0" xr:uid="{FE30582E-DCA6-40CA-B193-24AD9F828804}">
      <text>
        <r>
          <rPr>
            <sz val="9"/>
            <color indexed="81"/>
            <rFont val="Tahoma"/>
            <family val="2"/>
          </rPr>
          <t xml:space="preserve">1 = Explicit EBITDA multiple assumption
When a private company undergoes an LBO, the valuation discussion is expressed in terms of a multiple of EBITDA. Therefore, we input an EBITDA multiple assumption in this cell and work our way down to the implied offer value and offer value per share. 
2 = Explicit offer price per share assumption
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D10" authorId="0" shapeId="0" xr:uid="{76ECD8AA-F5E3-4F0A-A7BF-1708C209747A}">
      <text>
        <r>
          <rPr>
            <sz val="9"/>
            <color indexed="81"/>
            <rFont val="Tahoma"/>
            <family val="2"/>
          </rPr>
          <t>If the model "blows up" (i.e. REF and DIV/0 everywhere), turn the circuit breaker above on, and then immediately off again. 
Why do we need this?
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Setting Iterations in Excel
Make sure that iterations are selected under Excel Options &gt; Formulas
Removing circularity altogether
To avoid a circularity altogether, calculate interest expense using prior period debt balances (as opposed to average balances).</t>
        </r>
      </text>
    </comment>
    <comment ref="I11" authorId="0" shapeId="0" xr:uid="{DA2176B3-A6E2-4EE4-919C-7FD9C15A2A10}">
      <text>
        <r>
          <rPr>
            <sz val="9"/>
            <color indexed="81"/>
            <rFont val="Tahoma"/>
            <family val="2"/>
          </rPr>
          <t xml:space="preserve">When a private company undergoes an LBO, the valuation discussion is expressed in terms of a multiple of EBITDA. Therefore, we input an EBITDA multiple assumption in this cell and work our way down to the implied offer value and offer value per share. 
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B13" authorId="0" shapeId="0" xr:uid="{0FCC691D-6E4A-49CE-95F4-E8469AE2DA21}">
      <text>
        <r>
          <rPr>
            <sz val="9"/>
            <color indexed="81"/>
            <rFont val="Tahoma"/>
            <family val="2"/>
          </rPr>
          <t xml:space="preserve">Input the last twelve months (LTM) EBITDA. </t>
        </r>
      </text>
    </comment>
    <comment ref="B14" authorId="0" shapeId="0" xr:uid="{55B7F784-3C3E-4E3B-B8BD-99DB3E373697}">
      <text>
        <r>
          <rPr>
            <sz val="9"/>
            <color indexed="81"/>
            <rFont val="Tahoma"/>
            <family val="2"/>
          </rPr>
          <t>Include all debt and debt equivalents as of the most recent filing</t>
        </r>
      </text>
    </comment>
    <comment ref="B15" authorId="0" shapeId="0" xr:uid="{BDF75E8A-0A9E-40FD-AAAA-FAABFAC0BB27}">
      <text>
        <r>
          <rPr>
            <sz val="9"/>
            <color indexed="81"/>
            <rFont val="Tahoma"/>
            <family val="2"/>
          </rPr>
          <t>Include all cash and equivalents as of most recent filing.</t>
        </r>
      </text>
    </comment>
    <comment ref="J26" authorId="0" shapeId="0" xr:uid="{4A300A3F-6F39-499F-BFC9-0A97AD10764F}">
      <text>
        <r>
          <rPr>
            <sz val="9"/>
            <color indexed="81"/>
            <rFont val="Tahoma"/>
            <family val="2"/>
          </rPr>
          <t>Accounting rules require that financing fees be capitalized and subsequently amortized over the term of the loan.
This contrasts with the accounting treatment of transaction fees, which are expensed as incurred.</t>
        </r>
      </text>
    </comment>
    <comment ref="D27" authorId="0" shapeId="0" xr:uid="{C02BBF2D-08E7-449C-8155-011A47AA93A8}">
      <text>
        <r>
          <rPr>
            <sz val="9"/>
            <color indexed="81"/>
            <rFont val="Tahoma"/>
            <family val="2"/>
          </rPr>
          <t>$1.4 in excess cash used in BMC LBO</t>
        </r>
      </text>
    </comment>
    <comment ref="D28" authorId="0" shapeId="0" xr:uid="{AD85A06F-FB23-41EA-BB31-07158236DA91}">
      <text>
        <r>
          <rPr>
            <sz val="9"/>
            <color indexed="81"/>
            <rFont val="Tahoma"/>
            <family val="2"/>
          </rPr>
          <t>Up to $350m in availability on revolver with 5 year term</t>
        </r>
      </text>
    </comment>
    <comment ref="D29" authorId="0" shapeId="0" xr:uid="{94908A94-13FF-4AED-9AE2-4FE6AEA16086}">
      <text>
        <r>
          <rPr>
            <sz val="9"/>
            <color indexed="81"/>
            <rFont val="Tahoma"/>
            <family val="2"/>
          </rPr>
          <t>Originally $3.2b senior secured 7 year term loan reduced to $2.88b</t>
        </r>
      </text>
    </comment>
    <comment ref="D30" authorId="0" shapeId="0" xr:uid="{DCBF82A5-AD08-4F76-8FF9-3507831841C2}">
      <text>
        <r>
          <rPr>
            <sz val="9"/>
            <color indexed="81"/>
            <rFont val="Tahoma"/>
            <family val="2"/>
          </rPr>
          <t>Originally $1b second senior secured tranche, 7 year term loan reduced to 670m</t>
        </r>
      </text>
    </comment>
    <comment ref="D31" authorId="0" shapeId="0" xr:uid="{434254D7-39C9-494D-9064-0F6DB957CCB7}">
      <text>
        <r>
          <rPr>
            <sz val="9"/>
            <color indexed="81"/>
            <rFont val="Tahoma"/>
            <family val="2"/>
          </rPr>
          <t>Originally $1.38b high yield bond, matures 2021 increased to $1.625b.</t>
        </r>
      </text>
    </comment>
    <comment ref="C46" authorId="0" shapeId="0" xr:uid="{58793EC8-CE9B-4564-99C6-E13A5B5D436A}">
      <text>
        <r>
          <rPr>
            <sz val="9"/>
            <color indexed="81"/>
            <rFont val="Tahoma"/>
            <family val="2"/>
          </rPr>
          <t>Includes amortization expense</t>
        </r>
      </text>
    </comment>
    <comment ref="D46" authorId="0" shapeId="0" xr:uid="{057DBFC4-35BC-407F-AADC-F09E36A87625}">
      <text>
        <r>
          <rPr>
            <sz val="9"/>
            <color indexed="81"/>
            <rFont val="Tahoma"/>
            <family val="2"/>
          </rPr>
          <t>Includes amortization expense</t>
        </r>
      </text>
    </comment>
    <comment ref="E46" authorId="0" shapeId="0" xr:uid="{F7BC2BFE-04E7-4ED6-BAC7-FA93B8043F51}">
      <text>
        <r>
          <rPr>
            <sz val="9"/>
            <color indexed="81"/>
            <rFont val="Tahoma"/>
            <family val="2"/>
          </rPr>
          <t>Includes amortization expense</t>
        </r>
      </text>
    </comment>
    <comment ref="F49" authorId="0" shapeId="0" xr:uid="{70E42168-DA3D-45C4-9E31-D80B3F5E1A92}">
      <text>
        <r>
          <rPr>
            <sz val="9"/>
            <color indexed="81"/>
            <rFont val="Tahoma"/>
            <family val="2"/>
          </rPr>
          <t>Includes the amortization of the financing fee contra debt account</t>
        </r>
      </text>
    </comment>
    <comment ref="G49" authorId="0" shapeId="0" xr:uid="{7322DCAB-327F-4D25-A804-9C0529B71BC5}">
      <text>
        <r>
          <rPr>
            <sz val="9"/>
            <color indexed="81"/>
            <rFont val="Tahoma"/>
            <family val="2"/>
          </rPr>
          <t>Includes the amortization of the financing fee contra debt account</t>
        </r>
      </text>
    </comment>
    <comment ref="H49" authorId="0" shapeId="0" xr:uid="{C3FE87BD-D143-4F17-A3B1-FB87BA48AE56}">
      <text>
        <r>
          <rPr>
            <sz val="9"/>
            <color indexed="81"/>
            <rFont val="Tahoma"/>
            <family val="2"/>
          </rPr>
          <t>Includes the amortization of the financing fee contra debt account</t>
        </r>
      </text>
    </comment>
    <comment ref="I49" authorId="0" shapeId="0" xr:uid="{7CD3A5AD-E2E5-4020-9F36-48B3EACAAE79}">
      <text>
        <r>
          <rPr>
            <sz val="9"/>
            <color indexed="81"/>
            <rFont val="Tahoma"/>
            <family val="2"/>
          </rPr>
          <t>Includes the amortization of the financing fee contra debt account</t>
        </r>
      </text>
    </comment>
    <comment ref="J49" authorId="0" shapeId="0" xr:uid="{13E972F5-D038-4D3F-BE64-2DB20D79DB97}">
      <text>
        <r>
          <rPr>
            <sz val="9"/>
            <color indexed="81"/>
            <rFont val="Tahoma"/>
            <family val="2"/>
          </rPr>
          <t>Includes the amortization of the financing fee contra debt account</t>
        </r>
      </text>
    </comment>
    <comment ref="F59" authorId="0" shapeId="0" xr:uid="{E95CB9B8-347C-4558-A2E1-FD222B9077CE}">
      <text>
        <r>
          <rPr>
            <sz val="9"/>
            <color indexed="81"/>
            <rFont val="Tahoma"/>
            <family val="2"/>
          </rPr>
          <t>BMC projections per Merger Proxy, p.72</t>
        </r>
      </text>
    </comment>
    <comment ref="G59" authorId="0" shapeId="0" xr:uid="{4C29A2E2-495C-486B-9EF5-707DEE960B71}">
      <text>
        <r>
          <rPr>
            <sz val="9"/>
            <color indexed="81"/>
            <rFont val="Tahoma"/>
            <family val="2"/>
          </rPr>
          <t>BMC projections per Merger Proxy, p.72</t>
        </r>
      </text>
    </comment>
    <comment ref="H59" authorId="0" shapeId="0" xr:uid="{FBFC0917-2FE2-4FD6-97C8-C164645D831C}">
      <text>
        <r>
          <rPr>
            <sz val="9"/>
            <color indexed="81"/>
            <rFont val="Tahoma"/>
            <family val="2"/>
          </rPr>
          <t>BMC projections per Merger Proxy, p.72</t>
        </r>
      </text>
    </comment>
    <comment ref="I59" authorId="0" shapeId="0" xr:uid="{9C347613-A9EE-4116-A676-BFF269C518A7}">
      <text>
        <r>
          <rPr>
            <sz val="9"/>
            <color indexed="81"/>
            <rFont val="Tahoma"/>
            <family val="2"/>
          </rPr>
          <t>BMC projections per Merger Proxy, p.72</t>
        </r>
      </text>
    </comment>
    <comment ref="J59" authorId="0" shapeId="0" xr:uid="{D2906A64-4B2B-4998-BF04-6D7054DD9B10}">
      <text>
        <r>
          <rPr>
            <sz val="9"/>
            <color indexed="81"/>
            <rFont val="Tahoma"/>
            <family val="2"/>
          </rPr>
          <t>BMC projections per Merger Proxy, p.72</t>
        </r>
      </text>
    </comment>
    <comment ref="F63" authorId="0" shapeId="0" xr:uid="{6F75AB82-B0A8-438D-9586-7CB71983D08F}">
      <text>
        <r>
          <rPr>
            <sz val="9"/>
            <color indexed="81"/>
            <rFont val="Tahoma"/>
            <family val="2"/>
          </rPr>
          <t>BMC projections per Merger Proxy, p.72</t>
        </r>
      </text>
    </comment>
    <comment ref="G63" authorId="0" shapeId="0" xr:uid="{5BEC795D-2CA4-4E1C-BBD6-D4C43D869759}">
      <text>
        <r>
          <rPr>
            <sz val="9"/>
            <color indexed="81"/>
            <rFont val="Tahoma"/>
            <family val="2"/>
          </rPr>
          <t>BMC projections per Merger Proxy, p.72</t>
        </r>
      </text>
    </comment>
    <comment ref="H63" authorId="0" shapeId="0" xr:uid="{C98236A6-EB7A-435D-8937-08EFE447F599}">
      <text>
        <r>
          <rPr>
            <sz val="9"/>
            <color indexed="81"/>
            <rFont val="Tahoma"/>
            <family val="2"/>
          </rPr>
          <t>BMC projections per Merger Proxy, p.72</t>
        </r>
      </text>
    </comment>
    <comment ref="I63" authorId="0" shapeId="0" xr:uid="{37BB6EEB-E679-4F50-A978-0DB9AA5B8608}">
      <text>
        <r>
          <rPr>
            <sz val="9"/>
            <color indexed="81"/>
            <rFont val="Tahoma"/>
            <family val="2"/>
          </rPr>
          <t>BMC projections per Merger Proxy, p.72</t>
        </r>
      </text>
    </comment>
    <comment ref="J63" authorId="0" shapeId="0" xr:uid="{DB13BE15-C921-4124-85BC-0C73A6F80137}">
      <text>
        <r>
          <rPr>
            <sz val="9"/>
            <color indexed="81"/>
            <rFont val="Tahoma"/>
            <family val="2"/>
          </rPr>
          <t>BMC projections per Merger Proxy, p.72</t>
        </r>
      </text>
    </comment>
    <comment ref="F68" authorId="0" shapeId="0" xr:uid="{F3342F30-E253-4B1B-B040-37AEFB58AE43}">
      <text>
        <r>
          <rPr>
            <sz val="9"/>
            <color indexed="81"/>
            <rFont val="Tahoma"/>
            <family val="2"/>
          </rPr>
          <t>Tried to get close to BMC projections per Merger Proxy, p.72</t>
        </r>
      </text>
    </comment>
    <comment ref="D74" authorId="0" shapeId="0" xr:uid="{E8FEC45C-41A1-4B60-A34E-E8A73E9611A7}">
      <text>
        <r>
          <rPr>
            <sz val="9"/>
            <color indexed="81"/>
            <rFont val="Tahoma"/>
            <family val="2"/>
          </rPr>
          <t>Includes trade AR and both current &amp; non current finance receivables.</t>
        </r>
      </text>
    </comment>
    <comment ref="E74" authorId="0" shapeId="0" xr:uid="{546F943B-4B44-4B26-984B-AE411D28D0F1}">
      <text>
        <r>
          <rPr>
            <sz val="9"/>
            <color indexed="81"/>
            <rFont val="Tahoma"/>
            <family val="2"/>
          </rPr>
          <t>Includes trade AR and both current &amp; non current finance receivables.</t>
        </r>
      </text>
    </comment>
    <comment ref="D80" authorId="0" shapeId="0" xr:uid="{25E75D6B-E1F4-4066-9463-31FF95009301}">
      <text>
        <r>
          <rPr>
            <sz val="9"/>
            <color indexed="81"/>
            <rFont val="Tahoma"/>
            <family val="2"/>
          </rPr>
          <t>Includes both current and long term deferred revenue</t>
        </r>
      </text>
    </comment>
    <comment ref="E80" authorId="0" shapeId="0" xr:uid="{939409F1-8512-42A7-85AD-E983EAA6BE3D}">
      <text>
        <r>
          <rPr>
            <sz val="9"/>
            <color indexed="81"/>
            <rFont val="Tahoma"/>
            <family val="2"/>
          </rPr>
          <t>Includes both current and long term deferred revenue</t>
        </r>
      </text>
    </comment>
    <comment ref="F90" authorId="0" shapeId="0" xr:uid="{10A55FED-AC40-475C-BC9C-F276CA1FD9F5}">
      <text>
        <r>
          <rPr>
            <sz val="9"/>
            <color indexed="81"/>
            <rFont val="Tahoma"/>
            <family val="2"/>
          </rPr>
          <t>Tried to approximate mangement guidance in Merger proxy p.72</t>
        </r>
      </text>
    </comment>
    <comment ref="G90" authorId="0" shapeId="0" xr:uid="{C67F86E9-501C-4F3A-BBA9-E57600607210}">
      <text>
        <r>
          <rPr>
            <sz val="9"/>
            <color indexed="81"/>
            <rFont val="Tahoma"/>
            <family val="2"/>
          </rPr>
          <t>Tried to approximate mangement guidance in Merger proxy p.72</t>
        </r>
      </text>
    </comment>
    <comment ref="H90" authorId="0" shapeId="0" xr:uid="{1B725DF4-5BAE-4108-B4C2-B8C14785757D}">
      <text>
        <r>
          <rPr>
            <sz val="9"/>
            <color indexed="81"/>
            <rFont val="Tahoma"/>
            <family val="2"/>
          </rPr>
          <t>Tried to approximate mangement guidance in Merger proxy p.72</t>
        </r>
      </text>
    </comment>
    <comment ref="I90" authorId="0" shapeId="0" xr:uid="{6F497CB4-D660-4EB3-A5CA-3BA3D94703C8}">
      <text>
        <r>
          <rPr>
            <sz val="9"/>
            <color indexed="81"/>
            <rFont val="Tahoma"/>
            <family val="2"/>
          </rPr>
          <t>Tried to approximate mangement guidance in Merger proxy p.72</t>
        </r>
      </text>
    </comment>
    <comment ref="J90" authorId="0" shapeId="0" xr:uid="{8B378F36-5CFC-45B6-98F7-EE1DF60F2818}">
      <text>
        <r>
          <rPr>
            <sz val="9"/>
            <color indexed="81"/>
            <rFont val="Tahoma"/>
            <family val="2"/>
          </rPr>
          <t>Tried to approximate mangement guidance in Merger proxy p.72</t>
        </r>
      </text>
    </comment>
    <comment ref="K91" authorId="0" shapeId="0" xr:uid="{DE6A6F9C-CF43-4C41-8936-0D9BADB8C4FE}">
      <text>
        <r>
          <rPr>
            <sz val="9"/>
            <color indexed="81"/>
            <rFont val="Tahoma"/>
            <family val="2"/>
          </rPr>
          <t xml:space="preserve">In an LBO where fixed asset purchases are limited to maintenance (as opposed to growth) capex, the ratio between capex and depreciation should converge to 1 over time, as new machines simply replace the absolesence of old machines.  </t>
        </r>
      </text>
    </comment>
    <comment ref="E96" authorId="0" shapeId="0" xr:uid="{820D64F4-9F83-4E15-B01B-3D616D54606B}">
      <text>
        <r>
          <rPr>
            <sz val="9"/>
            <color indexed="81"/>
            <rFont val="Tahoma"/>
            <family val="2"/>
          </rPr>
          <t>CFS</t>
        </r>
      </text>
    </comment>
    <comment ref="F96" authorId="0" shapeId="0" xr:uid="{6F8B5046-2EE1-4E62-9CCE-4F705751BDF7}">
      <text>
        <r>
          <rPr>
            <sz val="9"/>
            <color indexed="81"/>
            <rFont val="Tahoma"/>
            <family val="2"/>
          </rPr>
          <t>BMC projections per Merger Proxy, p.72</t>
        </r>
      </text>
    </comment>
    <comment ref="G96" authorId="0" shapeId="0" xr:uid="{B113A00D-DC81-4623-B4F3-5F520809E7E0}">
      <text>
        <r>
          <rPr>
            <sz val="9"/>
            <color indexed="81"/>
            <rFont val="Tahoma"/>
            <family val="2"/>
          </rPr>
          <t>BMC projections per Merger Proxy, p.72</t>
        </r>
      </text>
    </comment>
    <comment ref="H96" authorId="0" shapeId="0" xr:uid="{1E37CF94-7AB9-494D-87D8-DD7033CB7041}">
      <text>
        <r>
          <rPr>
            <sz val="9"/>
            <color indexed="81"/>
            <rFont val="Tahoma"/>
            <family val="2"/>
          </rPr>
          <t>BMC projections per Merger Proxy, p.72</t>
        </r>
      </text>
    </comment>
    <comment ref="I96" authorId="0" shapeId="0" xr:uid="{58CE4A48-5B8C-435D-8CD0-09D3A82A60F3}">
      <text>
        <r>
          <rPr>
            <sz val="9"/>
            <color indexed="81"/>
            <rFont val="Tahoma"/>
            <family val="2"/>
          </rPr>
          <t>BMC projections per Merger Proxy, p.72</t>
        </r>
      </text>
    </comment>
    <comment ref="J96" authorId="0" shapeId="0" xr:uid="{6A4C9295-6B8D-4A0C-B884-053AB6EA765D}">
      <text>
        <r>
          <rPr>
            <sz val="9"/>
            <color indexed="81"/>
            <rFont val="Tahoma"/>
            <family val="2"/>
          </rPr>
          <t>BMC projections per Merger Proxy, p.72</t>
        </r>
      </text>
    </comment>
    <comment ref="F102" authorId="0" shapeId="0" xr:uid="{C7DCC1F7-EF46-4650-AB29-0E72F82C8D28}">
      <text>
        <r>
          <rPr>
            <sz val="9"/>
            <color indexed="81"/>
            <rFont val="Tahoma"/>
            <family val="2"/>
          </rPr>
          <t>WSP estimate</t>
        </r>
      </text>
    </comment>
    <comment ref="G102" authorId="0" shapeId="0" xr:uid="{878916E5-89FA-4574-B699-7E0AC066705C}">
      <text>
        <r>
          <rPr>
            <sz val="9"/>
            <color indexed="81"/>
            <rFont val="Tahoma"/>
            <family val="2"/>
          </rPr>
          <t>WSP estimate</t>
        </r>
      </text>
    </comment>
    <comment ref="H102" authorId="0" shapeId="0" xr:uid="{A6CE7CF5-6950-4F54-9069-8E5822D30BDC}">
      <text>
        <r>
          <rPr>
            <sz val="9"/>
            <color indexed="81"/>
            <rFont val="Tahoma"/>
            <family val="2"/>
          </rPr>
          <t>WSP estimate</t>
        </r>
      </text>
    </comment>
    <comment ref="I102" authorId="0" shapeId="0" xr:uid="{6B2937C9-3166-44B8-9A26-0CFD40BCE0DA}">
      <text>
        <r>
          <rPr>
            <sz val="9"/>
            <color indexed="81"/>
            <rFont val="Tahoma"/>
            <family val="2"/>
          </rPr>
          <t>WSP estimate</t>
        </r>
      </text>
    </comment>
    <comment ref="J102" authorId="0" shapeId="0" xr:uid="{D0FC18F4-2BB9-4F89-919A-87DBFFE9F2F5}">
      <text>
        <r>
          <rPr>
            <sz val="9"/>
            <color indexed="81"/>
            <rFont val="Tahoma"/>
            <family val="2"/>
          </rPr>
          <t>WSP estimate</t>
        </r>
      </text>
    </comment>
    <comment ref="F103" authorId="0" shapeId="0" xr:uid="{AF7BE9BB-2361-43FE-AA91-4280131BB2DC}">
      <text>
        <r>
          <rPr>
            <sz val="9"/>
            <color indexed="81"/>
            <rFont val="Tahoma"/>
            <family val="2"/>
          </rPr>
          <t>BMC projections per Merger Proxy, p.72</t>
        </r>
      </text>
    </comment>
    <comment ref="G103" authorId="0" shapeId="0" xr:uid="{CBC47801-6C8E-48A4-AC92-002A66339954}">
      <text>
        <r>
          <rPr>
            <sz val="9"/>
            <color indexed="81"/>
            <rFont val="Tahoma"/>
            <family val="2"/>
          </rPr>
          <t>BMC projections per Merger Proxy, p.72</t>
        </r>
      </text>
    </comment>
    <comment ref="H103" authorId="0" shapeId="0" xr:uid="{3C87156D-1A75-4C56-8DDE-EB2949F0BB82}">
      <text>
        <r>
          <rPr>
            <sz val="9"/>
            <color indexed="81"/>
            <rFont val="Tahoma"/>
            <family val="2"/>
          </rPr>
          <t>BMC projections per Merger Proxy, p.72</t>
        </r>
      </text>
    </comment>
    <comment ref="I103" authorId="0" shapeId="0" xr:uid="{4E8ACE23-A148-4843-B59F-AF92BADC5A60}">
      <text>
        <r>
          <rPr>
            <sz val="9"/>
            <color indexed="81"/>
            <rFont val="Tahoma"/>
            <family val="2"/>
          </rPr>
          <t>BMC projections per Merger Proxy, p.72</t>
        </r>
      </text>
    </comment>
    <comment ref="J103" authorId="0" shapeId="0" xr:uid="{0AF200F0-225E-4C39-AB5F-DFE808C18EFC}">
      <text>
        <r>
          <rPr>
            <sz val="9"/>
            <color indexed="81"/>
            <rFont val="Tahoma"/>
            <family val="2"/>
          </rPr>
          <t>BMC projections per Merger Proxy, p.72</t>
        </r>
      </text>
    </comment>
    <comment ref="D105" authorId="0" shapeId="0" xr:uid="{2E47A84C-F7D9-453C-B423-C59BDA9F2AD8}">
      <text>
        <r>
          <rPr>
            <sz val="9"/>
            <color indexed="81"/>
            <rFont val="Tahoma"/>
            <family val="2"/>
          </rPr>
          <t xml:space="preserve">Includes goodwill, other assets </t>
        </r>
      </text>
    </comment>
    <comment ref="E105" authorId="0" shapeId="0" xr:uid="{FB09A9B2-3AEE-4BDA-B8AD-1767E500C0E5}">
      <text>
        <r>
          <rPr>
            <sz val="9"/>
            <color indexed="81"/>
            <rFont val="Tahoma"/>
            <family val="2"/>
          </rPr>
          <t xml:space="preserve">Includes goodwill, other assets </t>
        </r>
      </text>
    </comment>
    <comment ref="F119" authorId="0" shapeId="0" xr:uid="{0A5C34AD-AE72-4EEC-8C18-E41D96FEECCF}">
      <text>
        <r>
          <rPr>
            <sz val="9"/>
            <color indexed="81"/>
            <rFont val="Tahoma"/>
            <family val="2"/>
          </rPr>
          <t>Financing fee amortization embedded in interest expense needs to be added back to get to cash from operations</t>
        </r>
      </text>
    </comment>
    <comment ref="G119" authorId="0" shapeId="0" xr:uid="{4195C8C6-45B1-49C3-ACF7-64E12165FC0F}">
      <text>
        <r>
          <rPr>
            <sz val="9"/>
            <color indexed="81"/>
            <rFont val="Tahoma"/>
            <family val="2"/>
          </rPr>
          <t>Financing fee amortization embedded in interest expense needs to be added back to get to cash from operations</t>
        </r>
      </text>
    </comment>
    <comment ref="H119" authorId="0" shapeId="0" xr:uid="{90110240-C04B-4D34-80C5-CC4FEAC392EA}">
      <text>
        <r>
          <rPr>
            <sz val="9"/>
            <color indexed="81"/>
            <rFont val="Tahoma"/>
            <family val="2"/>
          </rPr>
          <t>Financing fee amortization embedded in interest expense needs to be added back to get to cash from operations</t>
        </r>
      </text>
    </comment>
    <comment ref="I119" authorId="0" shapeId="0" xr:uid="{B8ACD603-D3C0-4DB6-A26A-8CC208263A51}">
      <text>
        <r>
          <rPr>
            <sz val="9"/>
            <color indexed="81"/>
            <rFont val="Tahoma"/>
            <family val="2"/>
          </rPr>
          <t>Financing fee amortization embedded in interest expense needs to be added back to get to cash from operations</t>
        </r>
      </text>
    </comment>
    <comment ref="J119" authorId="0" shapeId="0" xr:uid="{58B432B5-2DB5-44E4-9542-D0CC2AAB880F}">
      <text>
        <r>
          <rPr>
            <sz val="9"/>
            <color indexed="81"/>
            <rFont val="Tahoma"/>
            <family val="2"/>
          </rPr>
          <t>Financing fee amortization embedded in interest expense needs to be added back to get to cash from operations</t>
        </r>
      </text>
    </comment>
    <comment ref="E163" authorId="0" shapeId="0" xr:uid="{0C38F682-3976-4FD7-B58D-E9FD2BC9B46D}">
      <text>
        <r>
          <rPr>
            <sz val="9"/>
            <color indexed="81"/>
            <rFont val="Tahoma"/>
            <family val="2"/>
          </rPr>
          <t>% of available cash to be used.</t>
        </r>
      </text>
    </comment>
    <comment ref="E171" authorId="0" shapeId="0" xr:uid="{922126D4-D8CD-44B3-B11D-2ED2DA33DC07}">
      <text>
        <r>
          <rPr>
            <sz val="9"/>
            <color indexed="81"/>
            <rFont val="Tahoma"/>
            <family val="2"/>
          </rPr>
          <t>% of available cash to be used.</t>
        </r>
      </text>
    </comment>
    <comment ref="E229" authorId="0" shapeId="0" xr:uid="{21C76FDE-A4F3-489E-B842-1422EEE456C7}">
      <text>
        <r>
          <rPr>
            <sz val="9"/>
            <color indexed="81"/>
            <rFont val="Tahoma"/>
            <family val="2"/>
          </rPr>
          <t xml:space="preserve">In addition to dividends, preferred stock may also negotiate to receive warrants to increase their returns (aka "equity kicker"). This has the impact of diluting the sponsors and management equity at exit. </t>
        </r>
      </text>
    </comment>
    <comment ref="E230" authorId="0" shapeId="0" xr:uid="{81387FE3-3EA0-4100-81A2-15331C5E613D}">
      <text>
        <r>
          <rPr>
            <sz val="9"/>
            <color indexed="81"/>
            <rFont val="Tahoma"/>
            <family val="2"/>
          </rPr>
          <t xml:space="preserve">In addition to interest, lenders (usually high yield subordinated notes) may also negotiate to receive warrants to increase their returns (aka "equity kicker"). This has the impact of diluting the sponsors and management equity at exit. </t>
        </r>
      </text>
    </comment>
    <comment ref="H264" authorId="0" shapeId="0" xr:uid="{6AD291F5-0DB9-48BB-B79E-9D814A2108E2}">
      <text>
        <r>
          <rPr>
            <sz val="9"/>
            <color indexed="81"/>
            <rFont val="Tahoma"/>
            <family val="2"/>
          </rPr>
          <t>Fully diluted</t>
        </r>
      </text>
    </comment>
    <comment ref="E279" authorId="0" shapeId="0" xr:uid="{D644FF5F-D259-43C5-9FD5-105B8CE3AE12}">
      <text>
        <r>
          <rPr>
            <sz val="9"/>
            <color indexed="81"/>
            <rFont val="Tahoma"/>
            <family val="2"/>
          </rPr>
          <t>Ignored effects of changes in model-derived offer value on transaction and financing fees for simplicity</t>
        </r>
      </text>
    </comment>
    <comment ref="F279" authorId="0" shapeId="0" xr:uid="{5E769B4E-7235-4A6B-959A-2B1A75ED3324}">
      <text>
        <r>
          <rPr>
            <sz val="9"/>
            <color indexed="81"/>
            <rFont val="Tahoma"/>
            <family val="2"/>
          </rPr>
          <t>Ignored effects of changes in model-derived offer value on transaction and financing fees for simplicity</t>
        </r>
      </text>
    </comment>
    <comment ref="G279" authorId="0" shapeId="0" xr:uid="{D5247522-C0D6-4AB7-B5FF-D8D2EF778144}">
      <text>
        <r>
          <rPr>
            <sz val="9"/>
            <color indexed="81"/>
            <rFont val="Tahoma"/>
            <family val="2"/>
          </rPr>
          <t>Ignored effects of changes in model-derived offer value on transaction and financing fees for simplicity</t>
        </r>
      </text>
    </comment>
    <comment ref="H279" authorId="0" shapeId="0" xr:uid="{DA847356-8ED4-46EA-BCB6-431B5A0698DE}">
      <text>
        <r>
          <rPr>
            <sz val="9"/>
            <color indexed="81"/>
            <rFont val="Tahoma"/>
            <family val="2"/>
          </rPr>
          <t>Ignored effects of changes in model-derived offer value on transaction and financing fees for simplicity</t>
        </r>
      </text>
    </comment>
    <comment ref="I279" authorId="0" shapeId="0" xr:uid="{B5AF2D71-C892-486E-AD55-83F4F5B399DA}">
      <text>
        <r>
          <rPr>
            <sz val="9"/>
            <color indexed="81"/>
            <rFont val="Tahoma"/>
            <family val="2"/>
          </rPr>
          <t>Ignored effects of changes in model-derived offer value on transaction and financing fees for simplicity</t>
        </r>
      </text>
    </comment>
    <comment ref="J279" authorId="0" shapeId="0" xr:uid="{15A49ECF-FBFB-4C61-A47C-4FB68E38F08E}">
      <text>
        <r>
          <rPr>
            <sz val="9"/>
            <color indexed="81"/>
            <rFont val="Tahoma"/>
            <family val="2"/>
          </rPr>
          <t>Ignored effects of changes in model-derived offer value on transaction and financing fees for simplicity</t>
        </r>
      </text>
    </comment>
    <comment ref="G319" authorId="0" shapeId="0" xr:uid="{79B7D598-0400-4337-A318-042C57F846EF}">
      <text>
        <r>
          <rPr>
            <sz val="9"/>
            <color indexed="81"/>
            <rFont val="Tahoma"/>
            <family val="2"/>
          </rPr>
          <t xml:space="preserve">Management rollover is excluded from both sources &amp; uses because it is simultaneously a debit and credit to equity, creating a net impact of zero to equity. </t>
        </r>
      </text>
    </comment>
    <comment ref="H319" authorId="0" shapeId="0" xr:uid="{FB6D9920-82A5-4287-A604-67F7D2C4CC2D}">
      <text>
        <r>
          <rPr>
            <sz val="9"/>
            <color indexed="81"/>
            <rFont val="Tahoma"/>
            <family val="2"/>
          </rPr>
          <t xml:space="preserve">Management rollover is excluded from both sources &amp; uses because it is simultaneously a debit and credit to equity, creating a net impact of zero to equity. </t>
        </r>
      </text>
    </comment>
    <comment ref="G325" authorId="0" shapeId="0" xr:uid="{700ECB39-EB0D-4138-A4C6-87538A919CD4}">
      <text>
        <r>
          <rPr>
            <sz val="9"/>
            <color indexed="81"/>
            <rFont val="Tahoma"/>
            <family val="2"/>
          </rPr>
          <t>financing fee is no longer treated as an asset</t>
        </r>
      </text>
    </comment>
    <comment ref="B332" authorId="0" shapeId="0" xr:uid="{C556E9A2-1B9B-4A51-8CAF-1620D834AB92}">
      <text>
        <r>
          <rPr>
            <sz val="9"/>
            <color indexed="81"/>
            <rFont val="Tahoma"/>
            <family val="2"/>
          </rPr>
          <t>Include legacy noncontrolling interests and preferred stock for simplicty</t>
        </r>
      </text>
    </comment>
    <comment ref="G332" authorId="0" shapeId="0" xr:uid="{DC5CCAA2-5045-4165-974C-7E86E314FEDD}">
      <text>
        <r>
          <rPr>
            <sz val="9"/>
            <color indexed="81"/>
            <rFont val="Tahoma"/>
            <family val="2"/>
          </rPr>
          <t>instead of being treated as an asset, financing fees are treated as a contra debt item</t>
        </r>
      </text>
    </comment>
    <comment ref="G336" authorId="0" shapeId="0" xr:uid="{DB6B03B7-878B-4C77-99E1-561DB39E5865}">
      <text>
        <r>
          <rPr>
            <sz val="9"/>
            <color indexed="81"/>
            <rFont val="Tahoma"/>
            <family val="2"/>
          </rPr>
          <t>Excludes management rollover</t>
        </r>
      </text>
    </comment>
    <comment ref="G348" authorId="0" shapeId="0" xr:uid="{9ABE96D8-323B-488A-82AB-0D47FD5CC4C8}">
      <text>
        <r>
          <rPr>
            <sz val="9"/>
            <color indexed="81"/>
            <rFont val="Tahoma"/>
            <family val="2"/>
          </rPr>
          <t>financing fees are no longer capitalized and amortized.  Instead they are placed as a contra debt item and amortized over the term of the borrowing there.</t>
        </r>
      </text>
    </comment>
    <comment ref="H348" authorId="0" shapeId="0" xr:uid="{D641C05C-931C-43D1-A6E2-2DF1F93BB79E}">
      <text>
        <r>
          <rPr>
            <sz val="9"/>
            <color indexed="81"/>
            <rFont val="Tahoma"/>
            <family val="2"/>
          </rPr>
          <t>financing fees are no longer capitalized and amortized.  Instead they are placed as a contra debt item and amortized over the term of the borrowing there.</t>
        </r>
      </text>
    </comment>
    <comment ref="I348" authorId="0" shapeId="0" xr:uid="{44C6DE9B-F88E-4581-BA9B-2812B700F586}">
      <text>
        <r>
          <rPr>
            <sz val="9"/>
            <color indexed="81"/>
            <rFont val="Tahoma"/>
            <family val="2"/>
          </rPr>
          <t>financing fees are no longer capitalized and amortized.  Instead they are placed as a contra debt item and amortized over the term of the borrowing there.</t>
        </r>
      </text>
    </comment>
    <comment ref="J348" authorId="0" shapeId="0" xr:uid="{26AE3A67-795C-4911-88E9-BB49CE024802}">
      <text>
        <r>
          <rPr>
            <sz val="9"/>
            <color indexed="81"/>
            <rFont val="Tahoma"/>
            <family val="2"/>
          </rPr>
          <t>financing fees are no longer capitalized and amortized.  Instead they are placed as a contra debt item and amortized over the term of the borrowing there.</t>
        </r>
      </text>
    </comment>
    <comment ref="K348" authorId="0" shapeId="0" xr:uid="{F364FB56-D75C-4A7B-B0D0-7988C7B359D8}">
      <text>
        <r>
          <rPr>
            <sz val="9"/>
            <color indexed="81"/>
            <rFont val="Tahoma"/>
            <family val="2"/>
          </rPr>
          <t>financing fees are no longer capitalized and amortized.  Instead they are placed as a contra debt item and amortized over the term of the borrowing there.</t>
        </r>
      </text>
    </comment>
    <comment ref="F349" authorId="0" shapeId="0" xr:uid="{6B78BB3A-147A-43C6-B3D5-A43BD72F9116}">
      <text>
        <r>
          <rPr>
            <sz val="9"/>
            <color indexed="81"/>
            <rFont val="Tahoma"/>
            <family val="2"/>
          </rPr>
          <t xml:space="preserve">Includes goodwill created in the LBO </t>
        </r>
      </text>
    </comment>
    <comment ref="G349" authorId="0" shapeId="0" xr:uid="{CE2770F1-890E-4EA0-B20A-5A8D78D50963}">
      <text>
        <r>
          <rPr>
            <sz val="9"/>
            <color indexed="81"/>
            <rFont val="Tahoma"/>
            <family val="2"/>
          </rPr>
          <t xml:space="preserve">Includes goodwill created in the LBO </t>
        </r>
      </text>
    </comment>
    <comment ref="H349" authorId="0" shapeId="0" xr:uid="{7DCC8C27-12A0-4B31-819C-FF2EF95C0526}">
      <text>
        <r>
          <rPr>
            <sz val="9"/>
            <color indexed="81"/>
            <rFont val="Tahoma"/>
            <family val="2"/>
          </rPr>
          <t xml:space="preserve">Includes goodwill created in the LBO </t>
        </r>
      </text>
    </comment>
    <comment ref="I349" authorId="0" shapeId="0" xr:uid="{8F7B6223-03BD-4253-9DF6-A3FBFDF43AA2}">
      <text>
        <r>
          <rPr>
            <sz val="9"/>
            <color indexed="81"/>
            <rFont val="Tahoma"/>
            <family val="2"/>
          </rPr>
          <t xml:space="preserve">Includes goodwill created in the LBO </t>
        </r>
      </text>
    </comment>
    <comment ref="J349" authorId="0" shapeId="0" xr:uid="{A9097C79-52CF-4CF6-A759-F7F39F20E8F2}">
      <text>
        <r>
          <rPr>
            <sz val="9"/>
            <color indexed="81"/>
            <rFont val="Tahoma"/>
            <family val="2"/>
          </rPr>
          <t xml:space="preserve">Includes goodwill created in the LBO </t>
        </r>
      </text>
    </comment>
    <comment ref="K349" authorId="0" shapeId="0" xr:uid="{BAC0176D-F876-4087-B32D-05591D50707F}">
      <text>
        <r>
          <rPr>
            <sz val="9"/>
            <color indexed="81"/>
            <rFont val="Tahoma"/>
            <family val="2"/>
          </rPr>
          <t xml:space="preserve">Includes goodwill created in the LBO </t>
        </r>
      </text>
    </comment>
    <comment ref="F355" authorId="0" shapeId="0" xr:uid="{04A18F63-73D5-4501-8F09-CF0F2DE4DDEC}">
      <text>
        <r>
          <rPr>
            <sz val="9"/>
            <color indexed="81"/>
            <rFont val="Tahoma"/>
            <family val="2"/>
          </rPr>
          <t>Include all LBO created debt tranches</t>
        </r>
      </text>
    </comment>
    <comment ref="G355" authorId="0" shapeId="0" xr:uid="{C9BC1477-859D-4433-9556-BB45B485BE41}">
      <text>
        <r>
          <rPr>
            <sz val="9"/>
            <color indexed="81"/>
            <rFont val="Tahoma"/>
            <family val="2"/>
          </rPr>
          <t>Include all LBO created debt tranches and the EOP balance of the financing fee debt contra-asset</t>
        </r>
      </text>
    </comment>
    <comment ref="H355" authorId="0" shapeId="0" xr:uid="{C3586662-545C-46E8-9AD0-3862349C4B7E}">
      <text>
        <r>
          <rPr>
            <sz val="9"/>
            <color indexed="81"/>
            <rFont val="Tahoma"/>
            <family val="2"/>
          </rPr>
          <t>Include all LBO created debt tranches and the EOP balance of the financing fee debt contra-asset</t>
        </r>
      </text>
    </comment>
    <comment ref="I355" authorId="0" shapeId="0" xr:uid="{22FD555D-DCA0-4E21-AC75-ADC56BD4B3BE}">
      <text>
        <r>
          <rPr>
            <sz val="9"/>
            <color indexed="81"/>
            <rFont val="Tahoma"/>
            <family val="2"/>
          </rPr>
          <t>Include all LBO created debt tranches and the EOP balance of the financing fee debt contra-asset</t>
        </r>
      </text>
    </comment>
    <comment ref="J355" authorId="0" shapeId="0" xr:uid="{27F95C5B-CFD0-4256-9FE8-67DE676285F9}">
      <text>
        <r>
          <rPr>
            <sz val="9"/>
            <color indexed="81"/>
            <rFont val="Tahoma"/>
            <family val="2"/>
          </rPr>
          <t>Include all LBO created debt tranches and the EOP balance of the financing fee debt contra-asset</t>
        </r>
      </text>
    </comment>
    <comment ref="K355" authorId="0" shapeId="0" xr:uid="{79CF4062-51C0-4C80-9E70-A3C438B43EEB}">
      <text>
        <r>
          <rPr>
            <sz val="9"/>
            <color indexed="81"/>
            <rFont val="Tahoma"/>
            <family val="2"/>
          </rPr>
          <t>Include all LBO created debt tranches and the EOP balance of the financing fee debt contra-asset</t>
        </r>
      </text>
    </comment>
    <comment ref="G359" authorId="0" shapeId="0" xr:uid="{9AB56E4B-62C1-41F4-B46E-E5EE3EBC25A0}">
      <text>
        <r>
          <rPr>
            <sz val="9"/>
            <color indexed="81"/>
            <rFont val="Tahoma"/>
            <family val="2"/>
          </rPr>
          <t xml:space="preserve">PF Equity, BOP
+ NI, current period
-  Dividends common &amp; preferred, (PIK and cash)
+ SBC, current period (debit to RE via NI needs to be offset by credit to Common stock)
</t>
        </r>
      </text>
    </comment>
    <comment ref="H359" authorId="0" shapeId="0" xr:uid="{6DCCF1B0-B6C9-4200-96EC-0FC8A7DCFECE}">
      <text>
        <r>
          <rPr>
            <sz val="9"/>
            <color indexed="81"/>
            <rFont val="Tahoma"/>
            <family val="2"/>
          </rPr>
          <t xml:space="preserve">PF Equity, BOP
+ NI, current period
-  Dividends common &amp; preferred, (PIK and cash)
+ SBC, current period (debit to RE via NI needs to be offset by credit to Common stock)
</t>
        </r>
      </text>
    </comment>
    <comment ref="I359" authorId="0" shapeId="0" xr:uid="{14878AC2-B706-4DF6-A97B-BE04A74A2A16}">
      <text>
        <r>
          <rPr>
            <sz val="9"/>
            <color indexed="81"/>
            <rFont val="Tahoma"/>
            <family val="2"/>
          </rPr>
          <t xml:space="preserve">PF Equity, BOP
+ NI, current period
-  Dividends common &amp; preferred, (PIK and cash)
+ SBC, current period (debit to RE via NI needs to be offset by credit to Common stock)
</t>
        </r>
      </text>
    </comment>
    <comment ref="J359" authorId="0" shapeId="0" xr:uid="{051DDF8B-E91D-4FB7-A039-C4F0945E7F10}">
      <text>
        <r>
          <rPr>
            <sz val="9"/>
            <color indexed="81"/>
            <rFont val="Tahoma"/>
            <family val="2"/>
          </rPr>
          <t xml:space="preserve">PF Equity, BOP
+ NI, current period
-  Dividends common &amp; preferred, (PIK and cash)
+ SBC, current period (debit to RE via NI needs to be offset by credit to Common stock)
</t>
        </r>
      </text>
    </comment>
    <comment ref="K359" authorId="0" shapeId="0" xr:uid="{B0F96C53-AD33-469E-938F-0AA72F193A11}">
      <text>
        <r>
          <rPr>
            <sz val="9"/>
            <color indexed="81"/>
            <rFont val="Tahoma"/>
            <family val="2"/>
          </rPr>
          <t xml:space="preserve">PF Equity, BOP
+ NI, current period
-  Dividends common &amp; preferred, (PIK and cash)
+ SBC, current period (debit to RE via NI needs to be offset by credit to Common stock)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Matan Feldman</author>
  </authors>
  <commentList>
    <comment ref="E5" authorId="0" shapeId="0" xr:uid="{D6FF5627-95D7-47C8-886D-58824DE57537}">
      <text>
        <r>
          <rPr>
            <sz val="9"/>
            <color indexed="81"/>
            <rFont val="Tahoma"/>
            <family val="2"/>
          </rPr>
          <t>Hard-code to avoid circularity when offer price is derived from an explicit EBITDA multiple assumption.
Deeper dive
The circularity exists because for a given offer value, the more shares will lead to lower offer price per share, while the now lower offer price per share leads to fewer repurchases and a larger dilutive impact/share count, once again lowering the offer price per share and on and on...</t>
        </r>
      </text>
    </comment>
  </commentList>
</comments>
</file>

<file path=xl/sharedStrings.xml><?xml version="1.0" encoding="utf-8"?>
<sst xmlns="http://schemas.openxmlformats.org/spreadsheetml/2006/main" count="315" uniqueCount="254">
  <si>
    <t>$ mm except per share</t>
  </si>
  <si>
    <t>Company name</t>
  </si>
  <si>
    <t>Circuit breaker:</t>
  </si>
  <si>
    <t>OFF</t>
  </si>
  <si>
    <t>INCOME STATEMENT</t>
  </si>
  <si>
    <t xml:space="preserve">Fiscal year  </t>
  </si>
  <si>
    <t>Fiscal year end date</t>
  </si>
  <si>
    <t>Revenue</t>
  </si>
  <si>
    <t>Cost of sales (enter as -)</t>
  </si>
  <si>
    <t>Gross Profit</t>
  </si>
  <si>
    <t>Research &amp; development (enter as -)</t>
  </si>
  <si>
    <t>Selling, general &amp; administrative (enter as -)</t>
  </si>
  <si>
    <t>Operating profit (EBIT)</t>
  </si>
  <si>
    <t>Interest income</t>
  </si>
  <si>
    <t>Interest expense (enter as -)</t>
  </si>
  <si>
    <t>Pretax profit</t>
  </si>
  <si>
    <t>Taxes (enter expense as -)</t>
  </si>
  <si>
    <t>Net income</t>
  </si>
  <si>
    <t>Diluted shares outstanding</t>
  </si>
  <si>
    <t>Growth rates &amp; margins</t>
  </si>
  <si>
    <t>Revenue growth</t>
  </si>
  <si>
    <t>NA</t>
  </si>
  <si>
    <t>Gross profit as % of sales</t>
  </si>
  <si>
    <t>R&amp;D margin</t>
  </si>
  <si>
    <t>SG&amp;A margin</t>
  </si>
  <si>
    <t>Tax rate</t>
  </si>
  <si>
    <t>Stock based compensation</t>
  </si>
  <si>
    <t>EBITDA</t>
  </si>
  <si>
    <t>Total</t>
  </si>
  <si>
    <t>Revolver</t>
  </si>
  <si>
    <t>WORKING CAPITAL</t>
  </si>
  <si>
    <t>Increases / (decreases)</t>
  </si>
  <si>
    <t>AR as % of sales</t>
  </si>
  <si>
    <t>AP as % of COGS</t>
  </si>
  <si>
    <t>PIK accrual</t>
  </si>
  <si>
    <t>SBC as % of all operating expenses</t>
  </si>
  <si>
    <t>CASH FLOW STATEMENT</t>
  </si>
  <si>
    <t>Depreciation and amortization</t>
  </si>
  <si>
    <t>Cash from operating activities</t>
  </si>
  <si>
    <t>Capital expenditures</t>
  </si>
  <si>
    <t>Cash from investing activities</t>
  </si>
  <si>
    <t>Net change in cash during period</t>
  </si>
  <si>
    <t>Maximum availability</t>
  </si>
  <si>
    <t>Compliance check</t>
  </si>
  <si>
    <t>Less: Minimum cash desired</t>
  </si>
  <si>
    <t>Equals: Excess cash at BOP</t>
  </si>
  <si>
    <t>Plus: Free cash flows generated during period</t>
  </si>
  <si>
    <t>Cash</t>
  </si>
  <si>
    <t>Interest rate on cash</t>
  </si>
  <si>
    <t>Equity value</t>
  </si>
  <si>
    <t>Total proceeds ($mm)</t>
  </si>
  <si>
    <t>Total shares repurchased (mm)</t>
  </si>
  <si>
    <t>Net dilutive options</t>
  </si>
  <si>
    <t xml:space="preserve">Dilutive impact of shares from other securities </t>
  </si>
  <si>
    <t>Net diluted shares outstanding</t>
  </si>
  <si>
    <t>x</t>
  </si>
  <si>
    <t>Enterprise value</t>
  </si>
  <si>
    <t>Exercise price</t>
  </si>
  <si>
    <t>In-the-money exercisable options</t>
  </si>
  <si>
    <t>High</t>
  </si>
  <si>
    <t>Low</t>
  </si>
  <si>
    <t>52 week high low</t>
  </si>
  <si>
    <t>52 week high</t>
  </si>
  <si>
    <t>52 week low</t>
  </si>
  <si>
    <t>Date</t>
  </si>
  <si>
    <t>Open</t>
  </si>
  <si>
    <t>Close</t>
  </si>
  <si>
    <t>Volume</t>
  </si>
  <si>
    <t>LTM EBITDA</t>
  </si>
  <si>
    <t>EBITDA at exit</t>
  </si>
  <si>
    <t>Offer value</t>
  </si>
  <si>
    <t>Buyout of equity</t>
  </si>
  <si>
    <t>Excess cash</t>
  </si>
  <si>
    <t>Refinancing of oldco debt</t>
  </si>
  <si>
    <t>Sponsor equity</t>
  </si>
  <si>
    <t>Total Uses</t>
  </si>
  <si>
    <t>Accrued expenses &amp; def revenues, EOP</t>
  </si>
  <si>
    <t>Accounts payable, EOP</t>
  </si>
  <si>
    <t>Accounts receivable, EOP</t>
  </si>
  <si>
    <t>Amortization</t>
  </si>
  <si>
    <t>Depreciation</t>
  </si>
  <si>
    <t>PP&amp;E</t>
  </si>
  <si>
    <t>Changes in net working capital</t>
  </si>
  <si>
    <t>Other liabilities</t>
  </si>
  <si>
    <t>As % of sales</t>
  </si>
  <si>
    <t>Mandatory amortization $</t>
  </si>
  <si>
    <t>Term Loan A</t>
  </si>
  <si>
    <t>Term Loan B</t>
  </si>
  <si>
    <t>Senior Note</t>
  </si>
  <si>
    <t>Sub Note</t>
  </si>
  <si>
    <t>Term Loan A, BOP</t>
  </si>
  <si>
    <t>Term Loan B, BOP</t>
  </si>
  <si>
    <t>Term Loan B, EOP</t>
  </si>
  <si>
    <t>Term Loan A, EOP</t>
  </si>
  <si>
    <t>Senior Note, EOP</t>
  </si>
  <si>
    <t>Senior Note, BOP</t>
  </si>
  <si>
    <t>Sub Note, EOP</t>
  </si>
  <si>
    <t>Sub Note, BOP</t>
  </si>
  <si>
    <t>Required debt principal payments</t>
  </si>
  <si>
    <t>Mandatory paydown $</t>
  </si>
  <si>
    <t>Post-revolver cash flows</t>
  </si>
  <si>
    <t>Cash sweep (paydown from excess cash flows)</t>
  </si>
  <si>
    <t>Discretionary Term A paydown</t>
  </si>
  <si>
    <t>Pre-revolver cash flows</t>
  </si>
  <si>
    <t>Discretionary Term B paydown</t>
  </si>
  <si>
    <t>Cash, BOP</t>
  </si>
  <si>
    <t>Cash, EOP</t>
  </si>
  <si>
    <t>CASH &amp; DEBT</t>
  </si>
  <si>
    <t>Revolver, BOP</t>
  </si>
  <si>
    <t>Revolver, EOP</t>
  </si>
  <si>
    <t xml:space="preserve">Cash, BOP </t>
  </si>
  <si>
    <t>Cash available (needed) to paydown (draw from) revolver</t>
  </si>
  <si>
    <t>RETURNS</t>
  </si>
  <si>
    <t>IRR</t>
  </si>
  <si>
    <t>Preferred stock</t>
  </si>
  <si>
    <t>Preferred stock, BOP</t>
  </si>
  <si>
    <t>Mandatory paydown (% of original)</t>
  </si>
  <si>
    <t>Preferred stock, EOP</t>
  </si>
  <si>
    <t>Net debt:</t>
  </si>
  <si>
    <t>EV / LTM EBITDA</t>
  </si>
  <si>
    <t>Offer value / per share</t>
  </si>
  <si>
    <t>% Premium / discount</t>
  </si>
  <si>
    <t>Ticker (if applicable)</t>
  </si>
  <si>
    <t>Current share price (if applicable)</t>
  </si>
  <si>
    <t>GENERAL INPUTS</t>
  </si>
  <si>
    <t>INITIAL VALUATION</t>
  </si>
  <si>
    <t>EXIT VALUATION</t>
  </si>
  <si>
    <t>Net Working Capital</t>
  </si>
  <si>
    <t>Other assets &amp; liabilities</t>
  </si>
  <si>
    <t>Initial</t>
  </si>
  <si>
    <t>EBITDA turns</t>
  </si>
  <si>
    <t>$ investment</t>
  </si>
  <si>
    <t>Total Sources</t>
  </si>
  <si>
    <t>Cash available for cash sweep</t>
  </si>
  <si>
    <t>Pref. stock</t>
  </si>
  <si>
    <t>Step</t>
  </si>
  <si>
    <t>EBITDA multiple at exit</t>
  </si>
  <si>
    <t>Financing</t>
  </si>
  <si>
    <t>% of Total Capital</t>
  </si>
  <si>
    <t>Expected IRR</t>
  </si>
  <si>
    <t>Sub. Note</t>
  </si>
  <si>
    <t>Mgmt equity</t>
  </si>
  <si>
    <t>PIK rate</t>
  </si>
  <si>
    <t>Cash rate</t>
  </si>
  <si>
    <t>PIK interest</t>
  </si>
  <si>
    <t>Sub Note - PIK interest</t>
  </si>
  <si>
    <t>Sub Note - Cash interest</t>
  </si>
  <si>
    <t>% AR</t>
  </si>
  <si>
    <t>% Inventory</t>
  </si>
  <si>
    <t>Cash dividend</t>
  </si>
  <si>
    <t>Addback of PIK interest</t>
  </si>
  <si>
    <t>Cash-on-cash</t>
  </si>
  <si>
    <t>Sub Note at exit EBITDA multiple of:</t>
  </si>
  <si>
    <r>
      <t xml:space="preserve">Preferred Stock </t>
    </r>
    <r>
      <rPr>
        <sz val="11"/>
        <color theme="1"/>
        <rFont val="Calibri"/>
        <family val="2"/>
        <scheme val="minor"/>
      </rPr>
      <t>at exit EBITDA multiple of:</t>
    </r>
  </si>
  <si>
    <r>
      <t>Management Equity</t>
    </r>
    <r>
      <rPr>
        <sz val="11"/>
        <color theme="1"/>
        <rFont val="Calibri"/>
        <family val="2"/>
        <scheme val="minor"/>
      </rPr>
      <t xml:space="preserve"> at exit EBITDA multiple of:</t>
    </r>
  </si>
  <si>
    <r>
      <t xml:space="preserve">Sponsor's Equity </t>
    </r>
    <r>
      <rPr>
        <sz val="11"/>
        <color theme="1"/>
        <rFont val="Calibri"/>
        <family val="2"/>
        <scheme val="minor"/>
      </rPr>
      <t>at exit EBITDA multiple of:</t>
    </r>
  </si>
  <si>
    <t>% ownership</t>
  </si>
  <si>
    <t>% FD Ownership</t>
  </si>
  <si>
    <t>SOURCES OF FUNDS</t>
  </si>
  <si>
    <t>USES OF FUNDS</t>
  </si>
  <si>
    <t>Depreciation as a % of capex</t>
  </si>
  <si>
    <t>Mgmt rollover</t>
  </si>
  <si>
    <t>Yes</t>
  </si>
  <si>
    <t>Preferred dividend (cash)</t>
  </si>
  <si>
    <t>Cash sweep</t>
  </si>
  <si>
    <t>% of available cash used</t>
  </si>
  <si>
    <t>Multiple:</t>
  </si>
  <si>
    <t>Sub Note Equity Kicker</t>
  </si>
  <si>
    <t>Preferred</t>
  </si>
  <si>
    <t>Equity</t>
  </si>
  <si>
    <t>Kicker:</t>
  </si>
  <si>
    <t>BMC</t>
  </si>
  <si>
    <t>Other non-operating expense (enter as -)</t>
  </si>
  <si>
    <t>Restructuring and other nonrecurring charges</t>
  </si>
  <si>
    <t>Other current assets, EOP</t>
  </si>
  <si>
    <t>Other current assets as % of sales</t>
  </si>
  <si>
    <t>EBIT (GAAP)</t>
  </si>
  <si>
    <t>EBITDA reconciliation</t>
  </si>
  <si>
    <t>Purchases</t>
  </si>
  <si>
    <t>Purchases as % of revenue</t>
  </si>
  <si>
    <t>Amortization as a % of purchases</t>
  </si>
  <si>
    <t>Smoothing?</t>
  </si>
  <si>
    <t>Intangible assets</t>
  </si>
  <si>
    <t>LONG LIVED ASSETS</t>
  </si>
  <si>
    <t>Capex as a % of revenue</t>
  </si>
  <si>
    <t>3-Month LIBOR Rate (bps)</t>
  </si>
  <si>
    <t>LIBOR Spread</t>
  </si>
  <si>
    <t>LIBOR floor</t>
  </si>
  <si>
    <t>Coupon Rate</t>
  </si>
  <si>
    <t>INTEREST EXPENSE</t>
  </si>
  <si>
    <t>Offer price</t>
  </si>
  <si>
    <t>Out. shares</t>
  </si>
  <si>
    <t>In-the-$-shares</t>
  </si>
  <si>
    <t>Plus: Cash (latest filing)</t>
  </si>
  <si>
    <t>Basic shares outstanding (latest filing)</t>
  </si>
  <si>
    <t>Less: Gross Debt (latest filing)</t>
  </si>
  <si>
    <t>Latest closing share price date (f applicable)</t>
  </si>
  <si>
    <t>Select a valuation approach:</t>
  </si>
  <si>
    <t>EV / LTM EBITDA multiple at exit</t>
  </si>
  <si>
    <t>Explicit EBITDA</t>
  </si>
  <si>
    <t>Explicit offer/share</t>
  </si>
  <si>
    <t>Software development costs</t>
  </si>
  <si>
    <t>Fully diluted</t>
  </si>
  <si>
    <t>Total Assets</t>
  </si>
  <si>
    <t>Total Liabilities</t>
  </si>
  <si>
    <t>Balance check</t>
  </si>
  <si>
    <t>Goodwill and other assets</t>
  </si>
  <si>
    <t>Uses of funds</t>
  </si>
  <si>
    <t>Sources of funds</t>
  </si>
  <si>
    <t xml:space="preserve">Debt </t>
  </si>
  <si>
    <t>LBO Preferred stock</t>
  </si>
  <si>
    <t>Accounting</t>
  </si>
  <si>
    <t>Pro forma</t>
  </si>
  <si>
    <t>Total equity</t>
  </si>
  <si>
    <t>NM</t>
  </si>
  <si>
    <t>Pro forma adjustments</t>
  </si>
  <si>
    <t>PRO FORMA BALANCE SHEET ADJUSTMENTS</t>
  </si>
  <si>
    <t>PRO FORMA BALANCE SHEET</t>
  </si>
  <si>
    <t xml:space="preserve">Purchases of intangible assets and capitalized software development costs </t>
  </si>
  <si>
    <t>LBO/Recap?</t>
  </si>
  <si>
    <t>LBO</t>
  </si>
  <si>
    <t>Offer</t>
  </si>
  <si>
    <t>Price:</t>
  </si>
  <si>
    <t>EXPLICIT EBITDA (APPROACH 1) MUST BE SELECTED FOR DATA TABLE TO APPEAR</t>
  </si>
  <si>
    <t>Financing fees</t>
  </si>
  <si>
    <t>Term</t>
  </si>
  <si>
    <t>% fees</t>
  </si>
  <si>
    <t>EXPLICIT OFFER PRICE / SHARE (APPROACH 2) MUST BE SELECTED FOR DATA TABLE TO APPEAR</t>
  </si>
  <si>
    <t>Fee amort / year</t>
  </si>
  <si>
    <t>Options outstanding</t>
  </si>
  <si>
    <t>Sponsor Hurdle Rate (Minimum IRR)</t>
  </si>
  <si>
    <t>EV / LTM EBITDA multiple</t>
  </si>
  <si>
    <t>Offer Price / Share At Various Sponsor Hurdle Rates</t>
  </si>
  <si>
    <t>Sponsor IRR At Various Leverage And Initial EBITDA Multiple Sensitivity</t>
  </si>
  <si>
    <t>Sponsor IRR At Various Leverage And Offer Price / Share Sensitivity</t>
  </si>
  <si>
    <t>Sponsor IRR @ Preferred &amp; Sub Note Equity Kicker Sensitivity</t>
  </si>
  <si>
    <t>EBITDA (LTM)</t>
  </si>
  <si>
    <t>Minimum cash desired</t>
  </si>
  <si>
    <t xml:space="preserve">SELECT FINANCIAL DATA / ASSMUPTIONS </t>
  </si>
  <si>
    <t>FEES</t>
  </si>
  <si>
    <t>% of offer value</t>
  </si>
  <si>
    <t>Fee</t>
  </si>
  <si>
    <t>Trans. fees</t>
  </si>
  <si>
    <t>Fees (transaction &amp; financing)</t>
  </si>
  <si>
    <t>Initial equity inv.</t>
  </si>
  <si>
    <t>Actual</t>
  </si>
  <si>
    <t>SENSITIVITY ANALYISIS</t>
  </si>
  <si>
    <t>Highlight IRR &gt;</t>
  </si>
  <si>
    <t>Gross Debt (input as a -)</t>
  </si>
  <si>
    <t>Financing fee amortization</t>
  </si>
  <si>
    <t xml:space="preserve">Financing fees, EOP </t>
  </si>
  <si>
    <t xml:space="preserve">Financing fees, BOP </t>
  </si>
  <si>
    <t>Financing fees (Contra debt)</t>
  </si>
  <si>
    <t>Using management projections provided by BMC in Merger Proxy, p.72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</si>
</sst>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1">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quot;$&quot;#,##0.00_);\(&quot;$&quot;#,##0.00\);@_)"/>
    <numFmt numFmtId="165" formatCode="#,##0.0_);\(#,##0.0\);@_)"/>
    <numFmt numFmtId="166" formatCode="0\A;[Red]0\A"/>
    <numFmt numFmtId="167" formatCode="0\P_);\(0\P\)"/>
    <numFmt numFmtId="168" formatCode="m/d/yy;@"/>
    <numFmt numFmtId="169" formatCode="0.0%_);\(0.0%\);@_)"/>
    <numFmt numFmtId="170" formatCode="0.0%"/>
    <numFmt numFmtId="171" formatCode="&quot;$&quot;#,##0.0_);\(&quot;$&quot;#,##0.0\)"/>
    <numFmt numFmtId="172" formatCode="0.00\x_);\(0.00\x\);@_)"/>
    <numFmt numFmtId="173" formatCode="#,##0.000_);\(#,##0.000\)"/>
    <numFmt numFmtId="174" formatCode="0.00%_);\(0.00%\);@_)"/>
    <numFmt numFmtId="175" formatCode="0%_);\(0%\);@_)"/>
    <numFmt numFmtId="176" formatCode="#,##0.00_);\(#,##0\)"/>
    <numFmt numFmtId="177" formatCode="#,##0.0%_);\(#,##0.0%\)"/>
    <numFmt numFmtId="178" formatCode="0.0\ \x"/>
    <numFmt numFmtId="179" formatCode="#,##0.00\ ;\(#,##0.00\)"/>
    <numFmt numFmtId="180" formatCode="&quot;$&quot;#,##0.00\ ;\(&quot;$&quot;#,##0.00\)"/>
    <numFmt numFmtId="181" formatCode="0.0%_);\(0.0%\)"/>
    <numFmt numFmtId="182" formatCode="0.000\ \x&quot;rate&quot;"/>
    <numFmt numFmtId="183" formatCode="#,##0.000_);[Red]\(#,##0.000\)"/>
    <numFmt numFmtId="184" formatCode="0.00_);\(0.00\);0.00"/>
    <numFmt numFmtId="185" formatCode="\C&quot;$&quot;#,##0.00_);[Red]\(&quot;$&quot;#,##0.00\)"/>
    <numFmt numFmtId="186" formatCode="#,##0%_);\(#,##0.0%\)"/>
    <numFmt numFmtId="187" formatCode="_(* #,##0.00000000_);_(* \(#,##0.00000000\);_(* &quot;-&quot;?_);_(@_)"/>
    <numFmt numFmtId="188" formatCode="mmm\-d\-yyyy"/>
    <numFmt numFmtId="189" formatCode="mmm\-yyyy"/>
    <numFmt numFmtId="190" formatCode="yyyy"/>
    <numFmt numFmtId="191" formatCode="0.00\x&quot;rate&quot;"/>
    <numFmt numFmtId="192" formatCode="0.0&quot;  &quot;"/>
    <numFmt numFmtId="193" formatCode="&quot;$&quot;#,##0.0\ ;[Red]\(&quot;$&quot;#,##0\)"/>
    <numFmt numFmtId="194" formatCode="_(&quot;$&quot;* #,##0.00_);_(&quot;$&quot;* \(#,##0.00\);_(&quot;$&quot;* &quot;-&quot;?_);_(@_)"/>
    <numFmt numFmtId="195" formatCode="&quot;$&quot;#,##0.000_);[Red]\(&quot;$&quot;#,##0.000\)"/>
    <numFmt numFmtId="196" formatCode="&quot;$&quot;#,##0.00&quot;A&quot;;[Red]\(&quot;$&quot;#,##0.00\)&quot;A&quot;"/>
    <numFmt numFmtId="197" formatCode="#,##0.0\ ;[Red]\(&quot;$&quot;#,##0\)"/>
    <numFmt numFmtId="198" formatCode="&quot;$&quot;#,##0.00&quot;E&quot;;[Red]\(&quot;$&quot;#,##0.00\)&quot;E&quot;"/>
    <numFmt numFmtId="199" formatCode="_([$€-2]* #,##0.00_);_([$€-2]* \(#,##0.00\);_([$€-2]* &quot;-&quot;??_)"/>
    <numFmt numFmtId="200" formatCode="#,##0.00;\(#,##0.00\)"/>
    <numFmt numFmtId="201" formatCode=".%\,\(0.0%%;\t"/>
    <numFmt numFmtId="202" formatCode="#,##0.0_);[Red]\(#,##0.0\)"/>
    <numFmt numFmtId="203" formatCode="0.0%_);[Red]\(0.0%\)"/>
    <numFmt numFmtId="204" formatCode="0.00_);\(0.00\);0.00_)"/>
    <numFmt numFmtId="205" formatCode="#,##0\x"/>
    <numFmt numFmtId="206" formatCode="&quot;TKR&quot;\ 0"/>
    <numFmt numFmtId="207" formatCode=".%\,\(0.%%;\t"/>
    <numFmt numFmtId="208" formatCode="&quot;$&quot;#,###.0\ \ "/>
    <numFmt numFmtId="209" formatCode="#,##0.00\x_);[Red]\(#,##0.00\x\)"/>
    <numFmt numFmtId="210" formatCode="#,##0.0_);\(#,##0.0\)"/>
    <numFmt numFmtId="211" formatCode="#,##0.00\x_);[Red]\(#,##0.00\x\);&quot;--  &quot;"/>
    <numFmt numFmtId="212" formatCode="_(* #,##0.0_);_(* \(#,##0.0\);_(* &quot;-&quot;??_);_(@_)"/>
    <numFmt numFmtId="213" formatCode="0.0\x_);[Red]\(0.0\x\)"/>
    <numFmt numFmtId="214" formatCode="0.0\ "/>
    <numFmt numFmtId="215" formatCode="&quot;$&quot;#,##0.0;\(&quot;$&quot;#,##0.00\)"/>
    <numFmt numFmtId="216" formatCode="#,##0.00%_);\(#,##0.00%\)"/>
    <numFmt numFmtId="217" formatCode="0.00\%;\-0.00\%;0.00\%"/>
    <numFmt numFmtId="218" formatCode="0.0%\ ;\(0.0%\)"/>
    <numFmt numFmtId="219" formatCode="_(&quot;$&quot;* #,##0_);_(&quot;$&quot;* \(#,##0\);_(&quot;$&quot;* &quot;-&quot;??_);_(@_)"/>
    <numFmt numFmtId="220" formatCode="&quot;$&quot;0.00\ "/>
    <numFmt numFmtId="221" formatCode="0.0\ \ \ \ \ "/>
    <numFmt numFmtId="222" formatCode="0.00\x;\-0.00\x;0.00\x"/>
    <numFmt numFmtId="223" formatCode="&quot;$&quot;#,##0.000_);\(&quot;$&quot;#,##0.000\)"/>
    <numFmt numFmtId="224" formatCode="#,##0.0_);\(#,##0.0\);_(* &quot;-&quot;_)"/>
    <numFmt numFmtId="225" formatCode="_(&quot;$&quot;* #,##0.00_);_(&quot;$&quot;* \(#,##0.00\);_(* &quot;-&quot;_);_(@_)"/>
    <numFmt numFmtId="226" formatCode="0.00%_);[Red]\(0.00%\)"/>
    <numFmt numFmtId="227" formatCode="#,##0.0\x_);\(#,##0.0\x\)"/>
    <numFmt numFmtId="228" formatCode="#,##0.00\x_);\(#,##0.00\x\)"/>
    <numFmt numFmtId="229" formatCode="###0&quot;E&quot;_)"/>
    <numFmt numFmtId="230" formatCode="0.0\x_);\(0.0\x\);@_)"/>
    <numFmt numFmtId="231" formatCode="0.00\x__"/>
    <numFmt numFmtId="232" formatCode="\L\ \+\ 0%"/>
    <numFmt numFmtId="233" formatCode="0.000%_);\(0.000%\);@_)"/>
    <numFmt numFmtId="234" formatCode="#,##0.00_);\(#,##0.00\);@_)"/>
    <numFmt numFmtId="235" formatCode="&quot;Approach&quot;\ 0"/>
    <numFmt numFmtId="236" formatCode="0.0"/>
    <numFmt numFmtId="237" formatCode="0\ &quot;yrs&quot;"/>
    <numFmt numFmtId="238" formatCode="&quot;Tranche&quot;\ 0"/>
    <numFmt numFmtId="239" formatCode="&quot;Assumed exit on &quot;[$-409]mmmm\ d\,\ yyyy;@"/>
  </numFmts>
  <fonts count="85">
    <font>
      <sz val="11"/>
      <color theme="1"/>
      <name val="Calibri"/>
      <family val="2"/>
      <scheme val="minor"/>
    </font>
    <font>
      <b/>
      <sz val="11"/>
      <color theme="1"/>
      <name val="Calibri"/>
      <family val="2"/>
      <scheme val="minor"/>
    </font>
    <font>
      <b/>
      <sz val="20"/>
      <color theme="1"/>
      <name val="Calibri"/>
      <family val="2"/>
      <scheme val="minor"/>
    </font>
    <font>
      <i/>
      <sz val="11"/>
      <color rgb="FF000000"/>
      <name val="Calibri"/>
      <family val="2"/>
      <scheme val="minor"/>
    </font>
    <font>
      <sz val="11"/>
      <color rgb="FF000000"/>
      <name val="Calibri"/>
      <family val="2"/>
      <scheme val="minor"/>
    </font>
    <font>
      <sz val="11"/>
      <color rgb="FF0000FF"/>
      <name val="Calibri"/>
      <family val="2"/>
      <scheme val="minor"/>
    </font>
    <font>
      <b/>
      <sz val="11"/>
      <color rgb="FF000000"/>
      <name val="Calibri"/>
      <family val="2"/>
      <scheme val="minor"/>
    </font>
    <font>
      <b/>
      <sz val="11"/>
      <color rgb="FF0000FF"/>
      <name val="Calibri"/>
      <family val="2"/>
      <scheme val="minor"/>
    </font>
    <font>
      <sz val="9"/>
      <color indexed="81"/>
      <name val="Tahoma"/>
      <family val="2"/>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8000"/>
      <name val="Calibri"/>
      <family val="2"/>
      <scheme val="minor"/>
    </font>
    <font>
      <i/>
      <sz val="11"/>
      <color theme="1"/>
      <name val="Calibri"/>
      <family val="2"/>
      <scheme val="minor"/>
    </font>
    <font>
      <i/>
      <sz val="11"/>
      <color rgb="FF0000FF"/>
      <name val="Calibri"/>
      <family val="2"/>
      <scheme val="minor"/>
    </font>
    <font>
      <u/>
      <sz val="11"/>
      <color theme="1"/>
      <name val="Calibri"/>
      <family val="2"/>
      <scheme val="minor"/>
    </font>
    <font>
      <sz val="11"/>
      <color rgb="FF008000"/>
      <name val="Calibri"/>
      <family val="2"/>
      <scheme val="minor"/>
    </font>
    <font>
      <sz val="11"/>
      <color indexed="12"/>
      <name val="Calibri"/>
      <family val="2"/>
      <scheme val="minor"/>
    </font>
    <font>
      <i/>
      <sz val="11"/>
      <color rgb="FF008000"/>
      <name val="Calibri"/>
      <family val="2"/>
      <scheme val="minor"/>
    </font>
    <font>
      <b/>
      <sz val="13"/>
      <color theme="1"/>
      <name val="Calibri"/>
      <family val="2"/>
      <scheme val="minor"/>
    </font>
    <font>
      <i/>
      <u/>
      <sz val="11"/>
      <color theme="1"/>
      <name val="Calibri"/>
      <family val="2"/>
      <scheme val="minor"/>
    </font>
    <font>
      <u val="singleAccounting"/>
      <sz val="10"/>
      <color theme="1"/>
      <name val="Calibri"/>
      <family val="2"/>
      <scheme val="minor"/>
    </font>
    <font>
      <u/>
      <sz val="11"/>
      <color rgb="FF000000"/>
      <name val="Calibri"/>
      <family val="2"/>
      <scheme val="minor"/>
    </font>
    <font>
      <b/>
      <i/>
      <sz val="11"/>
      <color theme="1"/>
      <name val="Calibri"/>
      <family val="2"/>
      <scheme val="minor"/>
    </font>
    <font>
      <i/>
      <sz val="11"/>
      <color indexed="12"/>
      <name val="Calibri"/>
      <family val="2"/>
      <scheme val="minor"/>
    </font>
    <font>
      <sz val="10"/>
      <color theme="1"/>
      <name val="Calibri"/>
      <family val="2"/>
      <scheme val="minor"/>
    </font>
    <font>
      <i/>
      <sz val="10"/>
      <color theme="1"/>
      <name val="Calibri"/>
      <family val="2"/>
      <scheme val="minor"/>
    </font>
    <font>
      <u/>
      <sz val="10"/>
      <color theme="1"/>
      <name val="Calibri"/>
      <family val="2"/>
      <scheme val="minor"/>
    </font>
    <font>
      <b/>
      <sz val="11"/>
      <color rgb="FFFF0000"/>
      <name val="Calibri"/>
      <family val="2"/>
      <scheme val="minor"/>
    </font>
    <font>
      <i/>
      <sz val="11"/>
      <color indexed="8"/>
      <name val="Calibri"/>
      <family val="2"/>
      <scheme val="minor"/>
    </font>
    <font>
      <b/>
      <i/>
      <sz val="11"/>
      <color indexed="8"/>
      <name val="Calibri"/>
      <family val="2"/>
      <scheme val="minor"/>
    </font>
  </fonts>
  <fills count="33">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rgb="FFFFFF99"/>
        <bgColor indexed="64"/>
      </patternFill>
    </fill>
    <fill>
      <patternFill patternType="solid">
        <fgColor rgb="FFC9DAF8"/>
        <bgColor indexed="64"/>
      </patternFill>
    </fill>
  </fills>
  <borders count="36">
    <border>
      <left/>
      <right/>
      <top/>
      <bottom/>
      <diagonal/>
    </border>
    <border>
      <left/>
      <right/>
      <top style="medium">
        <color rgb="FF000000"/>
      </top>
      <bottom style="medium">
        <color rgb="FF000000"/>
      </bottom>
      <diagonal/>
    </border>
    <border>
      <left/>
      <right/>
      <top/>
      <bottom style="thin">
        <color rgb="FF000000"/>
      </bottom>
      <diagonal/>
    </border>
    <border>
      <left/>
      <right/>
      <top/>
      <bottom style="medium">
        <color rgb="FF000000"/>
      </bottom>
      <diagonal/>
    </border>
    <border>
      <left style="thin">
        <color rgb="FF000000"/>
      </left>
      <right/>
      <top style="thin">
        <color rgb="FF000000"/>
      </top>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top style="thin">
        <color rgb="FF000000"/>
      </top>
      <bottom/>
      <diagonal/>
    </border>
    <border>
      <left/>
      <right style="thin">
        <color rgb="FF000000"/>
      </right>
      <top style="thin">
        <color rgb="FF000000"/>
      </top>
      <bottom/>
      <diagonal/>
    </border>
    <border>
      <left/>
      <right style="hair">
        <color rgb="FF000000"/>
      </right>
      <top style="thin">
        <color rgb="FF000000"/>
      </top>
      <bottom/>
      <diagonal/>
    </border>
    <border>
      <left/>
      <right style="hair">
        <color rgb="FF000000"/>
      </right>
      <top/>
      <bottom style="thin">
        <color rgb="FF000000"/>
      </bottom>
      <diagonal/>
    </border>
    <border>
      <left/>
      <right style="hair">
        <color rgb="FF000000"/>
      </right>
      <top/>
      <bottom/>
      <diagonal/>
    </border>
  </borders>
  <cellStyleXfs count="187">
    <xf numFmtId="0" fontId="0" fillId="0" borderId="0"/>
    <xf numFmtId="0" fontId="9" fillId="0" borderId="0"/>
    <xf numFmtId="176" fontId="9" fillId="0" borderId="0">
      <alignment horizontal="right"/>
    </xf>
    <xf numFmtId="177" fontId="9" fillId="2" borderId="0"/>
    <xf numFmtId="178" fontId="9" fillId="2" borderId="0"/>
    <xf numFmtId="177" fontId="9" fillId="2" borderId="0"/>
    <xf numFmtId="179" fontId="9" fillId="2" borderId="0"/>
    <xf numFmtId="180" fontId="9" fillId="2" borderId="0">
      <alignment horizontal="right"/>
    </xf>
    <xf numFmtId="181" fontId="10" fillId="0" borderId="0" applyFont="0" applyFill="0" applyBorder="0" applyAlignment="0" applyProtection="0"/>
    <xf numFmtId="0" fontId="11" fillId="0" borderId="0" applyNumberFormat="0" applyFont="0" applyFill="0" applyBorder="0" applyAlignment="0" applyProtection="0"/>
    <xf numFmtId="182" fontId="12" fillId="0" borderId="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6" borderId="0" applyNumberFormat="0" applyBorder="0" applyAlignment="0" applyProtection="0"/>
    <xf numFmtId="0" fontId="13" fillId="9" borderId="0" applyNumberFormat="0" applyBorder="0" applyAlignment="0" applyProtection="0"/>
    <xf numFmtId="0" fontId="13" fillId="12" borderId="0" applyNumberFormat="0" applyBorder="0" applyAlignment="0" applyProtection="0"/>
    <xf numFmtId="0" fontId="14" fillId="13"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20" borderId="0" applyNumberFormat="0" applyBorder="0" applyAlignment="0" applyProtection="0"/>
    <xf numFmtId="0" fontId="12" fillId="0" borderId="0"/>
    <xf numFmtId="0" fontId="15" fillId="4" borderId="0" applyNumberFormat="0" applyBorder="0" applyAlignment="0" applyProtection="0"/>
    <xf numFmtId="183" fontId="16" fillId="0" borderId="0" applyFont="0" applyFill="0" applyBorder="0" applyAlignment="0" applyProtection="0"/>
    <xf numFmtId="38" fontId="16" fillId="0" borderId="0" applyFill="0" applyBorder="0" applyAlignment="0" applyProtection="0">
      <protection locked="0"/>
    </xf>
    <xf numFmtId="0" fontId="17" fillId="0" borderId="0"/>
    <xf numFmtId="37" fontId="18" fillId="0" borderId="0">
      <alignment horizontal="centerContinuous"/>
    </xf>
    <xf numFmtId="0" fontId="19" fillId="21" borderId="5" applyNumberFormat="0" applyAlignment="0" applyProtection="0"/>
    <xf numFmtId="183" fontId="16" fillId="0" borderId="0" applyFont="0" applyFill="0" applyBorder="0" applyAlignment="0" applyProtection="0">
      <protection locked="0"/>
    </xf>
    <xf numFmtId="183" fontId="16" fillId="0" borderId="6" applyFont="0" applyFill="0" applyAlignment="0" applyProtection="0"/>
    <xf numFmtId="0" fontId="20" fillId="22" borderId="7" applyNumberFormat="0" applyAlignment="0" applyProtection="0"/>
    <xf numFmtId="0" fontId="11" fillId="0" borderId="0">
      <alignment horizontal="center" wrapText="1"/>
      <protection hidden="1"/>
    </xf>
    <xf numFmtId="0" fontId="21" fillId="0" borderId="8" applyNumberFormat="0" applyFill="0" applyBorder="0" applyProtection="0">
      <alignment horizontal="left" vertical="center"/>
    </xf>
    <xf numFmtId="0" fontId="21" fillId="0" borderId="8" applyNumberFormat="0" applyFill="0" applyBorder="0" applyProtection="0">
      <alignment horizontal="right" vertical="center"/>
    </xf>
    <xf numFmtId="43" fontId="11" fillId="0" borderId="0" applyFont="0" applyFill="0" applyBorder="0" applyAlignment="0" applyProtection="0"/>
    <xf numFmtId="37" fontId="22" fillId="0" borderId="0" applyFont="0" applyFill="0" applyBorder="0" applyAlignment="0" applyProtection="0"/>
    <xf numFmtId="39" fontId="22" fillId="0" borderId="0" applyFont="0" applyFill="0" applyBorder="0" applyAlignment="0" applyProtection="0"/>
    <xf numFmtId="0" fontId="23" fillId="23" borderId="0">
      <alignment horizontal="center" vertical="center" wrapText="1"/>
    </xf>
    <xf numFmtId="184" fontId="11" fillId="0" borderId="0" applyFill="0" applyBorder="0">
      <alignment horizontal="right"/>
      <protection locked="0"/>
    </xf>
    <xf numFmtId="0" fontId="24" fillId="0" borderId="0" applyFont="0" applyFill="0" applyBorder="0" applyAlignment="0"/>
    <xf numFmtId="7" fontId="25" fillId="0" borderId="0" applyFont="0" applyFill="0" applyBorder="0" applyAlignment="0" applyProtection="0"/>
    <xf numFmtId="5" fontId="22" fillId="0" borderId="0" applyFont="0" applyFill="0" applyBorder="0" applyAlignment="0" applyProtection="0"/>
    <xf numFmtId="185" fontId="12" fillId="0" borderId="0" applyFill="0" applyBorder="0" applyProtection="0">
      <alignment horizontal="right"/>
    </xf>
    <xf numFmtId="186" fontId="9" fillId="2" borderId="9">
      <alignment horizontal="right"/>
    </xf>
    <xf numFmtId="187" fontId="9" fillId="2" borderId="9">
      <alignment horizontal="right"/>
    </xf>
    <xf numFmtId="186" fontId="9" fillId="2" borderId="9">
      <alignment horizontal="right"/>
    </xf>
    <xf numFmtId="15" fontId="26" fillId="0" borderId="0" applyFill="0" applyBorder="0" applyAlignment="0"/>
    <xf numFmtId="188" fontId="24" fillId="24" borderId="0" applyFont="0" applyFill="0" applyBorder="0" applyAlignment="0" applyProtection="0"/>
    <xf numFmtId="189" fontId="26" fillId="0" borderId="8"/>
    <xf numFmtId="14" fontId="27" fillId="0" borderId="0" applyFont="0" applyFill="0" applyBorder="0" applyAlignment="0" applyProtection="0">
      <alignment horizontal="center"/>
    </xf>
    <xf numFmtId="190" fontId="27" fillId="0" borderId="0" applyFont="0" applyFill="0" applyBorder="0" applyAlignment="0" applyProtection="0">
      <alignment horizontal="center"/>
    </xf>
    <xf numFmtId="191" fontId="12" fillId="0" borderId="0" applyFont="0" applyFill="0" applyBorder="0" applyAlignment="0" applyProtection="0"/>
    <xf numFmtId="8" fontId="16" fillId="0" borderId="0" applyFont="0" applyFill="0" applyBorder="0" applyAlignment="0" applyProtection="0"/>
    <xf numFmtId="6" fontId="16" fillId="0" borderId="0" applyFont="0" applyFill="0" applyBorder="0" applyAlignment="0" applyProtection="0">
      <alignment horizontal="right"/>
    </xf>
    <xf numFmtId="6" fontId="16" fillId="0" borderId="0" applyFont="0" applyFill="0" applyBorder="0" applyAlignment="0" applyProtection="0"/>
    <xf numFmtId="39" fontId="9" fillId="25" borderId="0"/>
    <xf numFmtId="7" fontId="9" fillId="25" borderId="0" applyBorder="0"/>
    <xf numFmtId="192" fontId="9" fillId="25" borderId="0"/>
    <xf numFmtId="193" fontId="9" fillId="0" borderId="0"/>
    <xf numFmtId="194" fontId="9" fillId="25" borderId="0"/>
    <xf numFmtId="195" fontId="9" fillId="25" borderId="0"/>
    <xf numFmtId="196" fontId="17" fillId="0" borderId="0" applyFont="0" applyFill="0" applyBorder="0" applyProtection="0">
      <alignment horizontal="left"/>
      <protection locked="0"/>
    </xf>
    <xf numFmtId="197" fontId="9" fillId="0" borderId="0"/>
    <xf numFmtId="198" fontId="17" fillId="0" borderId="0" applyFont="0" applyFill="0" applyBorder="0" applyProtection="0">
      <alignment horizontal="left"/>
      <protection locked="0"/>
    </xf>
    <xf numFmtId="199" fontId="11" fillId="0" borderId="0" applyFont="0" applyFill="0" applyBorder="0" applyAlignment="0" applyProtection="0"/>
    <xf numFmtId="0" fontId="28" fillId="0" borderId="0" applyNumberFormat="0" applyFill="0" applyBorder="0" applyAlignment="0" applyProtection="0"/>
    <xf numFmtId="181" fontId="9" fillId="0" borderId="10"/>
    <xf numFmtId="200" fontId="9" fillId="2" borderId="9">
      <alignment horizontal="right"/>
    </xf>
    <xf numFmtId="201" fontId="9" fillId="2" borderId="9">
      <alignment horizontal="right"/>
    </xf>
    <xf numFmtId="200" fontId="9" fillId="2" borderId="9">
      <alignment horizontal="right"/>
    </xf>
    <xf numFmtId="202" fontId="16" fillId="0" borderId="0" applyFill="0" applyBorder="0" applyAlignment="0" applyProtection="0">
      <protection locked="0"/>
    </xf>
    <xf numFmtId="0" fontId="29" fillId="5" borderId="0" applyNumberFormat="0" applyBorder="0" applyAlignment="0" applyProtection="0"/>
    <xf numFmtId="203" fontId="30" fillId="0" borderId="0" applyFill="0" applyBorder="0" applyAlignment="0" applyProtection="0"/>
    <xf numFmtId="181" fontId="31" fillId="0" borderId="0" applyAlignment="0">
      <alignment horizontal="left"/>
      <protection locked="0"/>
    </xf>
    <xf numFmtId="202" fontId="12" fillId="26" borderId="11" applyNumberFormat="0" applyFont="0" applyAlignment="0" applyProtection="0"/>
    <xf numFmtId="0" fontId="32" fillId="0" borderId="12" applyNumberFormat="0" applyFill="0" applyAlignment="0" applyProtection="0"/>
    <xf numFmtId="0" fontId="33" fillId="0" borderId="13" applyNumberFormat="0" applyFill="0" applyAlignment="0" applyProtection="0"/>
    <xf numFmtId="0" fontId="34" fillId="0" borderId="14" applyNumberFormat="0" applyFill="0" applyAlignment="0" applyProtection="0"/>
    <xf numFmtId="0" fontId="34" fillId="0" borderId="0" applyNumberFormat="0" applyFill="0" applyBorder="0" applyAlignment="0" applyProtection="0"/>
    <xf numFmtId="202" fontId="35" fillId="0" borderId="0" applyNumberFormat="0" applyFill="0" applyBorder="0" applyAlignment="0" applyProtection="0"/>
    <xf numFmtId="0" fontId="36" fillId="0" borderId="0"/>
    <xf numFmtId="183" fontId="16" fillId="0" borderId="0" applyFont="0" applyFill="0" applyBorder="0" applyAlignment="0" applyProtection="0"/>
    <xf numFmtId="38" fontId="16" fillId="0" borderId="0" applyFill="0" applyBorder="0" applyAlignment="0" applyProtection="0">
      <alignment horizontal="right"/>
      <protection locked="0"/>
    </xf>
    <xf numFmtId="0" fontId="37" fillId="8" borderId="5" applyNumberFormat="0" applyAlignment="0" applyProtection="0"/>
    <xf numFmtId="0" fontId="24" fillId="24" borderId="0" applyFont="0" applyBorder="0" applyAlignment="0">
      <protection locked="0"/>
    </xf>
    <xf numFmtId="0" fontId="11" fillId="0" borderId="0" applyFill="0" applyBorder="0">
      <alignment horizontal="right"/>
      <protection locked="0"/>
    </xf>
    <xf numFmtId="17" fontId="38" fillId="27" borderId="0"/>
    <xf numFmtId="204" fontId="11" fillId="0" borderId="0" applyFill="0" applyBorder="0">
      <alignment horizontal="right"/>
      <protection locked="0"/>
    </xf>
    <xf numFmtId="0" fontId="39" fillId="28" borderId="15">
      <alignment horizontal="left" vertical="center" wrapText="1"/>
    </xf>
    <xf numFmtId="0" fontId="40" fillId="0" borderId="16" applyNumberFormat="0" applyFill="0" applyAlignment="0" applyProtection="0"/>
    <xf numFmtId="170" fontId="16" fillId="0" borderId="0" applyFont="0" applyFill="0" applyBorder="0" applyAlignment="0" applyProtection="0">
      <alignment horizontal="right"/>
    </xf>
    <xf numFmtId="205" fontId="9" fillId="0" borderId="0">
      <alignment horizontal="right"/>
    </xf>
    <xf numFmtId="206" fontId="9" fillId="25" borderId="0">
      <alignment horizontal="right"/>
    </xf>
    <xf numFmtId="207" fontId="9" fillId="0" borderId="0">
      <alignment horizontal="right"/>
    </xf>
    <xf numFmtId="205" fontId="9" fillId="0" borderId="0">
      <alignment horizontal="right"/>
    </xf>
    <xf numFmtId="181" fontId="41" fillId="0" borderId="0" applyFill="0" applyBorder="0" applyAlignment="0" applyProtection="0">
      <alignment horizontal="right"/>
    </xf>
    <xf numFmtId="181" fontId="41" fillId="0" borderId="0" applyFill="0" applyBorder="0" applyAlignment="0" applyProtection="0"/>
    <xf numFmtId="208" fontId="9" fillId="2" borderId="9">
      <alignment horizontal="right"/>
    </xf>
    <xf numFmtId="209" fontId="16" fillId="0" borderId="0" applyFont="0" applyFill="0" applyBorder="0" applyAlignment="0" applyProtection="0"/>
    <xf numFmtId="0" fontId="22" fillId="2" borderId="0" applyFont="0" applyBorder="0" applyAlignment="0" applyProtection="0">
      <alignment horizontal="right"/>
      <protection hidden="1"/>
    </xf>
    <xf numFmtId="0" fontId="42" fillId="26" borderId="0" applyNumberFormat="0" applyBorder="0" applyAlignment="0" applyProtection="0"/>
    <xf numFmtId="37" fontId="25" fillId="0" borderId="0" applyFont="0" applyFill="0" applyBorder="0" applyAlignment="0" applyProtection="0"/>
    <xf numFmtId="210" fontId="11" fillId="0" borderId="0" applyFont="0" applyFill="0" applyBorder="0" applyAlignment="0" applyProtection="0"/>
    <xf numFmtId="39" fontId="11" fillId="0" borderId="0" applyFont="0" applyFill="0" applyBorder="0" applyAlignment="0" applyProtection="0"/>
    <xf numFmtId="173" fontId="11" fillId="0" borderId="0" applyFont="0" applyFill="0" applyBorder="0" applyAlignment="0" applyProtection="0"/>
    <xf numFmtId="0" fontId="11" fillId="0" borderId="0"/>
    <xf numFmtId="0" fontId="26" fillId="0" borderId="0" applyNumberFormat="0" applyFill="0" applyBorder="0" applyAlignment="0" applyProtection="0"/>
    <xf numFmtId="0" fontId="24" fillId="0" borderId="0" applyFont="0" applyFill="0" applyBorder="0" applyAlignment="0" applyProtection="0"/>
    <xf numFmtId="211" fontId="24" fillId="0" borderId="0" applyFont="0" applyFill="0" applyBorder="0" applyAlignment="0" applyProtection="0"/>
    <xf numFmtId="0" fontId="13" fillId="29" borderId="17" applyNumberFormat="0" applyFont="0" applyAlignment="0" applyProtection="0"/>
    <xf numFmtId="0" fontId="22" fillId="0" borderId="0" applyFont="0" applyFill="0" applyBorder="0" applyAlignment="0" applyProtection="0"/>
    <xf numFmtId="212" fontId="11" fillId="0" borderId="0" applyFont="0" applyFill="0" applyBorder="0" applyAlignment="0" applyProtection="0"/>
    <xf numFmtId="0" fontId="22" fillId="0" borderId="0" applyFont="0" applyFill="0" applyBorder="0" applyAlignment="0" applyProtection="0"/>
    <xf numFmtId="0" fontId="43" fillId="21" borderId="18" applyNumberFormat="0" applyAlignment="0" applyProtection="0"/>
    <xf numFmtId="213" fontId="16" fillId="0" borderId="0" applyFont="0" applyFill="0" applyBorder="0" applyAlignment="0" applyProtection="0">
      <alignment horizontal="right"/>
    </xf>
    <xf numFmtId="0" fontId="44" fillId="0" borderId="0" applyNumberFormat="0" applyFill="0" applyBorder="0" applyAlignment="0" applyProtection="0"/>
    <xf numFmtId="0" fontId="24" fillId="0" borderId="0"/>
    <xf numFmtId="214" fontId="9" fillId="25" borderId="0"/>
    <xf numFmtId="9" fontId="16" fillId="0" borderId="0" applyFont="0" applyFill="0" applyBorder="0" applyAlignment="0" applyProtection="0">
      <alignment horizontal="right"/>
    </xf>
    <xf numFmtId="215" fontId="9" fillId="0" borderId="0"/>
    <xf numFmtId="0" fontId="11" fillId="0" borderId="0" applyFont="0" applyFill="0" applyBorder="0" applyAlignment="0"/>
    <xf numFmtId="177" fontId="11" fillId="0" borderId="0" applyFont="0" applyFill="0" applyBorder="0" applyAlignment="0" applyProtection="0"/>
    <xf numFmtId="216" fontId="11" fillId="0" borderId="0" applyFont="0" applyFill="0" applyBorder="0" applyAlignment="0" applyProtection="0"/>
    <xf numFmtId="217" fontId="11" fillId="0" borderId="0" applyFill="0" applyBorder="0">
      <alignment horizontal="right"/>
      <protection locked="0"/>
    </xf>
    <xf numFmtId="203" fontId="16" fillId="0" borderId="0" applyFont="0" applyFill="0" applyBorder="0" applyAlignment="0" applyProtection="0"/>
    <xf numFmtId="8" fontId="16" fillId="0" borderId="0" applyFont="0" applyFill="0" applyBorder="0" applyAlignment="0" applyProtection="0"/>
    <xf numFmtId="183" fontId="16" fillId="0" borderId="0" applyFont="0" applyFill="0" applyBorder="0" applyAlignment="0" applyProtection="0">
      <protection locked="0"/>
    </xf>
    <xf numFmtId="202" fontId="16" fillId="0" borderId="0" applyFill="0" applyBorder="0" applyAlignment="0" applyProtection="0"/>
    <xf numFmtId="38" fontId="16" fillId="0" borderId="0" applyFont="0" applyFill="0" applyBorder="0" applyAlignment="0" applyProtection="0"/>
    <xf numFmtId="179" fontId="9" fillId="2" borderId="19">
      <alignment horizontal="right"/>
    </xf>
    <xf numFmtId="218" fontId="45" fillId="2" borderId="0"/>
    <xf numFmtId="219" fontId="9" fillId="2" borderId="0"/>
    <xf numFmtId="0" fontId="46" fillId="0" borderId="0">
      <alignment horizontal="center"/>
    </xf>
    <xf numFmtId="0" fontId="9" fillId="0" borderId="8">
      <alignment horizontal="centerContinuous"/>
    </xf>
    <xf numFmtId="220" fontId="9" fillId="2" borderId="0">
      <alignment horizontal="right"/>
    </xf>
    <xf numFmtId="221" fontId="9" fillId="2" borderId="9">
      <alignment horizontal="right"/>
    </xf>
    <xf numFmtId="222" fontId="11" fillId="0" borderId="0">
      <alignment horizontal="right"/>
      <protection locked="0"/>
    </xf>
    <xf numFmtId="202" fontId="27" fillId="0" borderId="0" applyFont="0" applyFill="0" applyBorder="0" applyAlignment="0" applyProtection="0"/>
    <xf numFmtId="0" fontId="47" fillId="0" borderId="0" applyNumberFormat="0" applyFill="0" applyBorder="0" applyProtection="0">
      <alignment horizontal="right" vertical="center"/>
    </xf>
    <xf numFmtId="0" fontId="48" fillId="23" borderId="11">
      <alignment horizontal="center" vertical="center" wrapText="1"/>
      <protection hidden="1"/>
    </xf>
    <xf numFmtId="183" fontId="16" fillId="0" borderId="0" applyFill="0" applyBorder="0" applyAlignment="0" applyProtection="0">
      <protection locked="0"/>
    </xf>
    <xf numFmtId="223" fontId="27" fillId="0" borderId="0" applyFont="0" applyFill="0" applyBorder="0" applyAlignment="0" applyProtection="0">
      <alignment horizontal="right"/>
    </xf>
    <xf numFmtId="38" fontId="11" fillId="0" borderId="0" applyFont="0" applyFill="0" applyBorder="0" applyAlignment="0" applyProtection="0"/>
    <xf numFmtId="0" fontId="49" fillId="0" borderId="20" applyNumberFormat="0" applyFill="0" applyProtection="0">
      <alignment horizontal="left" vertical="top" wrapText="1"/>
    </xf>
    <xf numFmtId="0" fontId="36" fillId="0" borderId="0" applyNumberFormat="0" applyFill="0" applyBorder="0" applyProtection="0">
      <alignment horizontal="left" vertical="top" wrapText="1"/>
    </xf>
    <xf numFmtId="0" fontId="50" fillId="0" borderId="0" applyNumberFormat="0" applyFill="0" applyProtection="0">
      <alignment horizontal="left" vertical="top" wrapText="1"/>
    </xf>
    <xf numFmtId="0" fontId="51" fillId="0" borderId="0" applyNumberFormat="0" applyFill="0" applyBorder="0" applyProtection="0"/>
    <xf numFmtId="0" fontId="52" fillId="30" borderId="0" applyNumberFormat="0" applyBorder="0" applyProtection="0"/>
    <xf numFmtId="0" fontId="53" fillId="0" borderId="0" applyNumberFormat="0" applyFill="0" applyBorder="0" applyProtection="0">
      <alignment vertical="top"/>
    </xf>
    <xf numFmtId="224" fontId="54" fillId="0" borderId="0" applyFill="0" applyBorder="0" applyProtection="0">
      <alignment horizontal="right" wrapText="1"/>
    </xf>
    <xf numFmtId="225" fontId="54" fillId="0" borderId="0" applyFill="0" applyBorder="0" applyProtection="0">
      <alignment horizontal="right"/>
    </xf>
    <xf numFmtId="4" fontId="24" fillId="0" borderId="0" applyFill="0" applyBorder="0" applyProtection="0">
      <alignment horizontal="right"/>
    </xf>
    <xf numFmtId="195" fontId="55" fillId="0" borderId="0" applyFill="0" applyBorder="0" applyAlignment="0" applyProtection="0"/>
    <xf numFmtId="226" fontId="56" fillId="0" borderId="0" applyFill="0" applyBorder="0" applyAlignment="0" applyProtection="0">
      <alignment horizontal="left"/>
      <protection locked="0"/>
    </xf>
    <xf numFmtId="226" fontId="56" fillId="0" borderId="0" applyFill="0" applyBorder="0" applyAlignment="0" applyProtection="0"/>
    <xf numFmtId="226" fontId="57" fillId="0" borderId="0" applyFill="0" applyBorder="0" applyAlignment="0" applyProtection="0">
      <alignment horizontal="left"/>
      <protection locked="0"/>
    </xf>
    <xf numFmtId="226" fontId="57" fillId="0" borderId="0" applyFill="0" applyBorder="0" applyAlignment="0" applyProtection="0">
      <protection locked="0"/>
    </xf>
    <xf numFmtId="202" fontId="16" fillId="0" borderId="0" applyFill="0" applyBorder="0" applyAlignment="0" applyProtection="0">
      <protection locked="0"/>
    </xf>
    <xf numFmtId="202" fontId="55" fillId="0" borderId="0" applyFill="0" applyBorder="0" applyAlignment="0" applyProtection="0"/>
    <xf numFmtId="49" fontId="58" fillId="0" borderId="0"/>
    <xf numFmtId="227" fontId="11" fillId="0" borderId="0" applyFont="0" applyFill="0" applyBorder="0" applyAlignment="0" applyProtection="0"/>
    <xf numFmtId="228" fontId="11" fillId="0" borderId="0" applyFont="0" applyFill="0" applyBorder="0" applyAlignment="0" applyProtection="0"/>
    <xf numFmtId="0" fontId="59" fillId="0" borderId="0" applyNumberFormat="0" applyFill="0" applyBorder="0" applyAlignment="0" applyProtection="0"/>
    <xf numFmtId="0" fontId="60" fillId="1" borderId="0" applyNumberFormat="0" applyBorder="0" applyProtection="0">
      <alignment horizontal="left" vertical="center"/>
    </xf>
    <xf numFmtId="202" fontId="61" fillId="0" borderId="0" applyNumberFormat="0" applyFill="0" applyBorder="0" applyAlignment="0" applyProtection="0"/>
    <xf numFmtId="0" fontId="11" fillId="0" borderId="0" applyBorder="0"/>
    <xf numFmtId="38" fontId="62" fillId="0" borderId="0" applyFill="0" applyBorder="0" applyAlignment="0" applyProtection="0">
      <alignment horizontal="left"/>
    </xf>
    <xf numFmtId="0" fontId="63" fillId="0" borderId="0"/>
    <xf numFmtId="0" fontId="64" fillId="0" borderId="21" applyNumberFormat="0" applyFill="0" applyAlignment="0" applyProtection="0"/>
    <xf numFmtId="0" fontId="65" fillId="0" borderId="0" applyNumberFormat="0" applyFill="0" applyBorder="0" applyAlignment="0" applyProtection="0"/>
    <xf numFmtId="1" fontId="16" fillId="0" borderId="0" applyFont="0" applyFill="0" applyBorder="0" applyAlignment="0" applyProtection="0"/>
    <xf numFmtId="229" fontId="25" fillId="0" borderId="0" applyFont="0" applyFill="0" applyBorder="0" applyAlignment="0" applyProtection="0"/>
    <xf numFmtId="223" fontId="17" fillId="0" borderId="0" applyNumberFormat="0" applyFill="0" applyBorder="0" applyAlignment="0" applyProtection="0"/>
  </cellStyleXfs>
  <cellXfs count="341">
    <xf numFmtId="0" fontId="0" fillId="0" borderId="0" xfId="0"/>
    <xf numFmtId="0" fontId="2" fillId="0" borderId="1" xfId="0" applyFont="1" applyBorder="1"/>
    <xf numFmtId="14" fontId="3" fillId="0" borderId="0" xfId="0" applyNumberFormat="1" applyFont="1" applyFill="1" applyBorder="1" applyAlignment="1">
      <alignment horizontal="left"/>
    </xf>
    <xf numFmtId="0" fontId="5" fillId="0" borderId="0" xfId="0" applyFont="1" applyFill="1" applyBorder="1" applyAlignment="1">
      <alignment horizontal="right"/>
    </xf>
    <xf numFmtId="0" fontId="6" fillId="0" borderId="0" xfId="0" applyFont="1" applyFill="1" applyBorder="1"/>
    <xf numFmtId="14" fontId="5" fillId="0" borderId="0" xfId="0" applyNumberFormat="1" applyFont="1" applyFill="1" applyBorder="1" applyAlignment="1">
      <alignment horizontal="right"/>
    </xf>
    <xf numFmtId="0" fontId="4" fillId="0" borderId="0" xfId="0" applyFont="1" applyFill="1" applyBorder="1"/>
    <xf numFmtId="165" fontId="5" fillId="0" borderId="0" xfId="0" applyNumberFormat="1" applyFont="1" applyFill="1" applyBorder="1" applyAlignment="1">
      <alignment horizontal="right"/>
    </xf>
    <xf numFmtId="169" fontId="0" fillId="0" borderId="0" xfId="0" applyNumberFormat="1" applyFont="1"/>
    <xf numFmtId="169" fontId="4" fillId="0" borderId="0" xfId="0" applyNumberFormat="1" applyFont="1"/>
    <xf numFmtId="0" fontId="0" fillId="0" borderId="0" xfId="0" applyFont="1"/>
    <xf numFmtId="0" fontId="0" fillId="0" borderId="1" xfId="0" applyFont="1" applyBorder="1"/>
    <xf numFmtId="0" fontId="66" fillId="0" borderId="0" xfId="0" applyFont="1" applyBorder="1"/>
    <xf numFmtId="0" fontId="0" fillId="0" borderId="0" xfId="0" applyFont="1" applyBorder="1"/>
    <xf numFmtId="14" fontId="67" fillId="0" borderId="0" xfId="0" applyNumberFormat="1" applyFont="1" applyBorder="1"/>
    <xf numFmtId="0" fontId="1" fillId="0" borderId="2" xfId="0" applyFont="1" applyBorder="1"/>
    <xf numFmtId="0" fontId="66" fillId="0" borderId="2" xfId="0" applyFont="1" applyBorder="1"/>
    <xf numFmtId="0" fontId="0" fillId="0" borderId="2" xfId="0" applyFont="1" applyBorder="1"/>
    <xf numFmtId="166" fontId="1" fillId="0" borderId="0" xfId="0" applyNumberFormat="1" applyFont="1" applyBorder="1"/>
    <xf numFmtId="167" fontId="1" fillId="0" borderId="0" xfId="0" applyNumberFormat="1" applyFont="1" applyBorder="1"/>
    <xf numFmtId="0" fontId="67" fillId="0" borderId="2" xfId="0" applyFont="1" applyBorder="1"/>
    <xf numFmtId="168" fontId="68" fillId="0" borderId="2" xfId="0" applyNumberFormat="1" applyFont="1" applyBorder="1"/>
    <xf numFmtId="168" fontId="67" fillId="0" borderId="2" xfId="0" applyNumberFormat="1" applyFont="1" applyBorder="1"/>
    <xf numFmtId="0" fontId="67" fillId="0" borderId="0" xfId="0" applyFont="1" applyBorder="1"/>
    <xf numFmtId="168" fontId="68" fillId="0" borderId="0" xfId="0" applyNumberFormat="1" applyFont="1" applyBorder="1"/>
    <xf numFmtId="168" fontId="67" fillId="0" borderId="0" xfId="0" applyNumberFormat="1" applyFont="1" applyBorder="1"/>
    <xf numFmtId="0" fontId="1" fillId="0" borderId="0" xfId="0" applyFont="1" applyBorder="1"/>
    <xf numFmtId="0" fontId="0" fillId="0" borderId="0" xfId="0" applyFont="1" applyFill="1" applyBorder="1"/>
    <xf numFmtId="37" fontId="0" fillId="0" borderId="0" xfId="0" applyNumberFormat="1" applyFont="1" applyBorder="1"/>
    <xf numFmtId="37" fontId="6" fillId="0" borderId="0" xfId="0" applyNumberFormat="1" applyFont="1" applyBorder="1"/>
    <xf numFmtId="0" fontId="1" fillId="0" borderId="0" xfId="0" applyFont="1"/>
    <xf numFmtId="0" fontId="69" fillId="0" borderId="0" xfId="0" applyFont="1"/>
    <xf numFmtId="0" fontId="0" fillId="0" borderId="0" xfId="0" applyFont="1" applyBorder="1" applyAlignment="1">
      <alignment horizontal="left" indent="1"/>
    </xf>
    <xf numFmtId="169" fontId="0" fillId="0" borderId="0" xfId="0" applyNumberFormat="1" applyFont="1" applyBorder="1" applyAlignment="1">
      <alignment horizontal="right"/>
    </xf>
    <xf numFmtId="169" fontId="4" fillId="0" borderId="0" xfId="0" applyNumberFormat="1" applyFont="1" applyBorder="1"/>
    <xf numFmtId="0" fontId="0" fillId="0" borderId="0" xfId="0" applyFont="1" applyFill="1" applyBorder="1" applyAlignment="1">
      <alignment horizontal="left" indent="1"/>
    </xf>
    <xf numFmtId="0" fontId="69" fillId="0" borderId="0" xfId="0" applyFont="1" applyFill="1" applyBorder="1"/>
    <xf numFmtId="0" fontId="0" fillId="0" borderId="0" xfId="0" applyFont="1" applyAlignment="1">
      <alignment horizontal="left" indent="1"/>
    </xf>
    <xf numFmtId="0" fontId="1" fillId="0" borderId="0" xfId="0" applyFont="1" applyAlignment="1">
      <alignment horizontal="left" indent="1"/>
    </xf>
    <xf numFmtId="3" fontId="6" fillId="0" borderId="0" xfId="0" applyNumberFormat="1" applyFont="1"/>
    <xf numFmtId="166" fontId="6" fillId="0" borderId="0" xfId="0" applyNumberFormat="1" applyFont="1" applyBorder="1"/>
    <xf numFmtId="167" fontId="6" fillId="0" borderId="0" xfId="0" applyNumberFormat="1" applyFont="1" applyBorder="1"/>
    <xf numFmtId="168" fontId="3" fillId="0" borderId="2" xfId="0" applyNumberFormat="1" applyFont="1" applyBorder="1"/>
    <xf numFmtId="37" fontId="0" fillId="0" borderId="0" xfId="0" applyNumberFormat="1" applyFont="1"/>
    <xf numFmtId="169" fontId="5" fillId="0" borderId="0" xfId="0" applyNumberFormat="1" applyFont="1"/>
    <xf numFmtId="14" fontId="67" fillId="0" borderId="0" xfId="0" applyNumberFormat="1" applyFont="1"/>
    <xf numFmtId="0" fontId="0" fillId="0" borderId="0" xfId="0" applyFont="1" applyFill="1" applyBorder="1" applyAlignment="1">
      <alignment horizontal="left"/>
    </xf>
    <xf numFmtId="0" fontId="1" fillId="0" borderId="0" xfId="0" applyFont="1" applyBorder="1" applyAlignment="1">
      <alignment horizontal="left"/>
    </xf>
    <xf numFmtId="0" fontId="0" fillId="0" borderId="0" xfId="0" applyFont="1" applyBorder="1" applyAlignment="1">
      <alignment horizontal="left"/>
    </xf>
    <xf numFmtId="0" fontId="0" fillId="0" borderId="0" xfId="0" quotePrefix="1" applyFont="1" applyBorder="1" applyAlignment="1">
      <alignment horizontal="left" indent="1"/>
    </xf>
    <xf numFmtId="171" fontId="1" fillId="0" borderId="0" xfId="0" applyNumberFormat="1" applyFont="1" applyBorder="1"/>
    <xf numFmtId="165" fontId="0" fillId="0" borderId="0" xfId="0" applyNumberFormat="1" applyFont="1" applyBorder="1"/>
    <xf numFmtId="169" fontId="0" fillId="0" borderId="0" xfId="0" applyNumberFormat="1" applyFont="1" applyBorder="1"/>
    <xf numFmtId="37" fontId="5" fillId="0" borderId="0" xfId="0" applyNumberFormat="1" applyFont="1"/>
    <xf numFmtId="0" fontId="1" fillId="0" borderId="0" xfId="0" applyFont="1" applyFill="1" applyBorder="1"/>
    <xf numFmtId="9" fontId="5" fillId="0" borderId="0" xfId="0" applyNumberFormat="1" applyFont="1"/>
    <xf numFmtId="0" fontId="1" fillId="0" borderId="0" xfId="0" applyFont="1" applyFill="1" applyBorder="1" applyAlignment="1">
      <alignment horizontal="left"/>
    </xf>
    <xf numFmtId="3" fontId="0" fillId="0" borderId="0" xfId="0" applyNumberFormat="1" applyFont="1" applyBorder="1"/>
    <xf numFmtId="37" fontId="1" fillId="0" borderId="0" xfId="0" applyNumberFormat="1" applyFont="1" applyBorder="1"/>
    <xf numFmtId="37" fontId="1" fillId="0" borderId="0" xfId="0" applyNumberFormat="1" applyFont="1"/>
    <xf numFmtId="0" fontId="1" fillId="0" borderId="0" xfId="0" applyFont="1" applyBorder="1" applyAlignment="1">
      <alignment horizontal="left" indent="1"/>
    </xf>
    <xf numFmtId="10" fontId="4" fillId="0" borderId="0" xfId="0" applyNumberFormat="1" applyFont="1"/>
    <xf numFmtId="37" fontId="0" fillId="0" borderId="0" xfId="0" applyNumberFormat="1" applyFont="1" applyFill="1"/>
    <xf numFmtId="0" fontId="0" fillId="0" borderId="0" xfId="0" applyFont="1" applyBorder="1" applyAlignment="1">
      <alignment horizontal="centerContinuous"/>
    </xf>
    <xf numFmtId="0" fontId="0" fillId="0" borderId="0" xfId="0" applyFont="1" applyBorder="1" applyAlignment="1">
      <alignment horizontal="left" indent="2"/>
    </xf>
    <xf numFmtId="175" fontId="0" fillId="0" borderId="0" xfId="0" applyNumberFormat="1" applyFont="1"/>
    <xf numFmtId="0" fontId="67" fillId="0" borderId="0" xfId="0" applyFont="1"/>
    <xf numFmtId="170" fontId="5" fillId="0" borderId="0" xfId="0" applyNumberFormat="1" applyFont="1" applyFill="1"/>
    <xf numFmtId="0" fontId="0" fillId="0" borderId="0" xfId="0" applyFont="1" applyFill="1" applyBorder="1" applyAlignment="1">
      <alignment horizontal="left" indent="2"/>
    </xf>
    <xf numFmtId="0" fontId="67" fillId="0" borderId="0" xfId="0" applyFont="1" applyAlignment="1">
      <alignment horizontal="left" indent="1"/>
    </xf>
    <xf numFmtId="14" fontId="0" fillId="0" borderId="0" xfId="0" applyNumberFormat="1"/>
    <xf numFmtId="169" fontId="67" fillId="0" borderId="0" xfId="0" applyNumberFormat="1" applyFont="1"/>
    <xf numFmtId="0" fontId="0" fillId="0" borderId="3" xfId="0" applyBorder="1"/>
    <xf numFmtId="0" fontId="67" fillId="0" borderId="0" xfId="0" applyFont="1" applyFill="1" applyBorder="1"/>
    <xf numFmtId="0" fontId="73" fillId="0" borderId="3" xfId="0" applyFont="1" applyBorder="1"/>
    <xf numFmtId="165" fontId="0" fillId="0" borderId="2" xfId="0" applyNumberFormat="1" applyFont="1" applyBorder="1"/>
    <xf numFmtId="0" fontId="69" fillId="0" borderId="0" xfId="0" applyFont="1" applyAlignment="1">
      <alignment horizontal="right"/>
    </xf>
    <xf numFmtId="165" fontId="5" fillId="0" borderId="0" xfId="0" applyNumberFormat="1" applyFont="1"/>
    <xf numFmtId="39" fontId="5" fillId="0" borderId="0" xfId="0" applyNumberFormat="1" applyFont="1"/>
    <xf numFmtId="39" fontId="0" fillId="0" borderId="0" xfId="0" applyNumberFormat="1" applyFont="1" applyBorder="1"/>
    <xf numFmtId="169" fontId="5" fillId="0" borderId="0" xfId="0" applyNumberFormat="1" applyFont="1" applyFill="1" applyBorder="1"/>
    <xf numFmtId="169" fontId="68" fillId="0" borderId="0" xfId="0" applyNumberFormat="1" applyFont="1"/>
    <xf numFmtId="210" fontId="0" fillId="0" borderId="0" xfId="0" applyNumberFormat="1" applyFont="1"/>
    <xf numFmtId="0" fontId="4" fillId="0" borderId="0" xfId="0" applyFont="1" applyFill="1" applyBorder="1" applyAlignment="1">
      <alignment horizontal="left" indent="1"/>
    </xf>
    <xf numFmtId="37" fontId="0" fillId="0" borderId="0" xfId="0" applyNumberFormat="1" applyFont="1" applyFill="1" applyBorder="1"/>
    <xf numFmtId="210" fontId="0" fillId="0" borderId="0" xfId="0" applyNumberFormat="1" applyFont="1" applyBorder="1"/>
    <xf numFmtId="37" fontId="0" fillId="0" borderId="2" xfId="0" applyNumberFormat="1" applyFont="1" applyBorder="1"/>
    <xf numFmtId="0" fontId="0" fillId="0" borderId="0" xfId="0" quotePrefix="1" applyFont="1" applyBorder="1" applyAlignment="1">
      <alignment horizontal="left" indent="2"/>
    </xf>
    <xf numFmtId="169" fontId="1" fillId="0" borderId="0" xfId="0" applyNumberFormat="1" applyFont="1" applyBorder="1"/>
    <xf numFmtId="0" fontId="67" fillId="0" borderId="0" xfId="0" applyFont="1" applyBorder="1" applyAlignment="1">
      <alignment horizontal="left" indent="3"/>
    </xf>
    <xf numFmtId="0" fontId="67" fillId="0" borderId="0" xfId="0" applyFont="1" applyBorder="1" applyAlignment="1">
      <alignment horizontal="left" indent="2"/>
    </xf>
    <xf numFmtId="0" fontId="1" fillId="0" borderId="0" xfId="0" applyFont="1" applyAlignment="1">
      <alignment horizontal="left"/>
    </xf>
    <xf numFmtId="175" fontId="5" fillId="0" borderId="0" xfId="0" applyNumberFormat="1" applyFont="1"/>
    <xf numFmtId="0" fontId="67" fillId="0" borderId="0" xfId="0" applyFont="1" applyBorder="1" applyAlignment="1">
      <alignment horizontal="left" indent="1"/>
    </xf>
    <xf numFmtId="175" fontId="68" fillId="0" borderId="0" xfId="0" applyNumberFormat="1" applyFont="1"/>
    <xf numFmtId="0" fontId="1" fillId="0" borderId="2" xfId="0" applyFont="1" applyBorder="1" applyAlignment="1">
      <alignment horizontal="left"/>
    </xf>
    <xf numFmtId="210" fontId="5" fillId="0" borderId="2" xfId="0" applyNumberFormat="1" applyFont="1" applyBorder="1"/>
    <xf numFmtId="0" fontId="6" fillId="0" borderId="2" xfId="0" applyFont="1" applyFill="1" applyBorder="1"/>
    <xf numFmtId="37" fontId="3" fillId="0" borderId="0" xfId="0" applyNumberFormat="1" applyFont="1"/>
    <xf numFmtId="0" fontId="69" fillId="0" borderId="0" xfId="0" applyFont="1" applyAlignment="1">
      <alignment horizontal="left" indent="1"/>
    </xf>
    <xf numFmtId="0" fontId="4" fillId="0" borderId="0" xfId="0" applyFont="1" applyFill="1" applyBorder="1" applyAlignment="1">
      <alignment horizontal="left" indent="2"/>
    </xf>
    <xf numFmtId="167" fontId="1" fillId="0" borderId="0" xfId="0" applyNumberFormat="1" applyFont="1"/>
    <xf numFmtId="0" fontId="3" fillId="0" borderId="0" xfId="0" applyFont="1" applyFill="1" applyBorder="1" applyAlignment="1">
      <alignment horizontal="left" indent="1"/>
    </xf>
    <xf numFmtId="0" fontId="4" fillId="0" borderId="0" xfId="0" applyFont="1" applyBorder="1" applyAlignment="1">
      <alignment horizontal="left" indent="1"/>
    </xf>
    <xf numFmtId="0" fontId="75" fillId="0" borderId="0" xfId="0" applyFont="1" applyBorder="1"/>
    <xf numFmtId="0" fontId="75" fillId="0" borderId="0" xfId="0" applyFont="1"/>
    <xf numFmtId="37" fontId="70" fillId="0" borderId="0" xfId="0" applyNumberFormat="1" applyFont="1" applyBorder="1"/>
    <xf numFmtId="0" fontId="4" fillId="0" borderId="0" xfId="0" applyFont="1" applyBorder="1" applyAlignment="1">
      <alignment horizontal="center"/>
    </xf>
    <xf numFmtId="210" fontId="1" fillId="0" borderId="0" xfId="0" applyNumberFormat="1" applyFont="1" applyBorder="1"/>
    <xf numFmtId="0" fontId="1" fillId="0" borderId="0" xfId="0" applyFont="1" applyBorder="1" applyAlignment="1">
      <alignment horizontal="center"/>
    </xf>
    <xf numFmtId="9" fontId="0" fillId="0" borderId="0" xfId="0" applyNumberFormat="1" applyFont="1" applyBorder="1" applyAlignment="1">
      <alignment horizontal="center"/>
    </xf>
    <xf numFmtId="9" fontId="1" fillId="0" borderId="0" xfId="0" applyNumberFormat="1" applyFont="1" applyBorder="1" applyAlignment="1">
      <alignment horizontal="center"/>
    </xf>
    <xf numFmtId="37" fontId="66" fillId="0" borderId="0" xfId="0" applyNumberFormat="1" applyFont="1" applyBorder="1"/>
    <xf numFmtId="230" fontId="1" fillId="0" borderId="0" xfId="0" applyNumberFormat="1" applyFont="1" applyBorder="1"/>
    <xf numFmtId="0" fontId="0" fillId="0" borderId="0" xfId="0" applyFont="1" applyBorder="1" applyAlignment="1">
      <alignment horizontal="center"/>
    </xf>
    <xf numFmtId="230" fontId="0" fillId="0" borderId="0" xfId="0" applyNumberFormat="1" applyFont="1" applyBorder="1" applyAlignment="1">
      <alignment horizontal="center"/>
    </xf>
    <xf numFmtId="37" fontId="0" fillId="0" borderId="0" xfId="0" applyNumberFormat="1" applyFont="1" applyAlignment="1">
      <alignment horizontal="center"/>
    </xf>
    <xf numFmtId="9" fontId="0" fillId="0" borderId="0" xfId="0" applyNumberFormat="1" applyFont="1" applyAlignment="1">
      <alignment horizontal="center"/>
    </xf>
    <xf numFmtId="0" fontId="0" fillId="0" borderId="0" xfId="0" applyFont="1" applyAlignment="1">
      <alignment horizontal="center"/>
    </xf>
    <xf numFmtId="169" fontId="0" fillId="0" borderId="0" xfId="0" applyNumberFormat="1" applyFont="1" applyAlignment="1">
      <alignment horizontal="center"/>
    </xf>
    <xf numFmtId="37" fontId="1" fillId="0" borderId="0" xfId="0" applyNumberFormat="1" applyFont="1" applyAlignment="1">
      <alignment horizontal="center"/>
    </xf>
    <xf numFmtId="169" fontId="1" fillId="0" borderId="0" xfId="0" applyNumberFormat="1" applyFont="1" applyAlignment="1">
      <alignment horizontal="center"/>
    </xf>
    <xf numFmtId="172" fontId="0" fillId="0" borderId="0" xfId="0" applyNumberFormat="1" applyFont="1" applyBorder="1" applyAlignment="1">
      <alignment horizontal="center"/>
    </xf>
    <xf numFmtId="230" fontId="0" fillId="0" borderId="0" xfId="0" applyNumberFormat="1" applyFont="1" applyBorder="1" applyAlignment="1">
      <alignment horizontal="left" indent="1"/>
    </xf>
    <xf numFmtId="172" fontId="0" fillId="0" borderId="0" xfId="0" applyNumberFormat="1" applyFont="1" applyAlignment="1">
      <alignment horizontal="center"/>
    </xf>
    <xf numFmtId="169" fontId="4" fillId="0" borderId="0" xfId="0" applyNumberFormat="1" applyFont="1" applyBorder="1" applyAlignment="1">
      <alignment horizontal="center"/>
    </xf>
    <xf numFmtId="0" fontId="69" fillId="0" borderId="4" xfId="0" applyFont="1" applyBorder="1" applyAlignment="1">
      <alignment horizontal="center"/>
    </xf>
    <xf numFmtId="0" fontId="69" fillId="0" borderId="31" xfId="0" applyFont="1" applyBorder="1" applyAlignment="1">
      <alignment horizontal="center"/>
    </xf>
    <xf numFmtId="0" fontId="69" fillId="0" borderId="32" xfId="0" applyFont="1" applyBorder="1" applyAlignment="1">
      <alignment horizontal="center"/>
    </xf>
    <xf numFmtId="37" fontId="0" fillId="0" borderId="29" xfId="0" applyNumberFormat="1" applyFont="1" applyBorder="1" applyAlignment="1">
      <alignment horizontal="center"/>
    </xf>
    <xf numFmtId="169" fontId="0" fillId="0" borderId="23" xfId="0" applyNumberFormat="1" applyFont="1" applyBorder="1" applyAlignment="1">
      <alignment horizontal="center"/>
    </xf>
    <xf numFmtId="37" fontId="5" fillId="0" borderId="29" xfId="0" applyNumberFormat="1" applyFont="1" applyFill="1" applyBorder="1" applyAlignment="1">
      <alignment horizontal="center"/>
    </xf>
    <xf numFmtId="37" fontId="5" fillId="0" borderId="30" xfId="0" applyNumberFormat="1" applyFont="1" applyFill="1" applyBorder="1" applyAlignment="1">
      <alignment horizontal="center"/>
    </xf>
    <xf numFmtId="169" fontId="4" fillId="0" borderId="2" xfId="0" applyNumberFormat="1" applyFont="1" applyBorder="1" applyAlignment="1">
      <alignment horizontal="center"/>
    </xf>
    <xf numFmtId="230" fontId="1" fillId="0" borderId="27" xfId="0" applyNumberFormat="1" applyFont="1" applyBorder="1"/>
    <xf numFmtId="37" fontId="5" fillId="0" borderId="0" xfId="0" applyNumberFormat="1" applyFont="1" applyFill="1" applyBorder="1" applyAlignment="1">
      <alignment horizontal="right"/>
    </xf>
    <xf numFmtId="0" fontId="0" fillId="0" borderId="31" xfId="0" applyFont="1" applyBorder="1"/>
    <xf numFmtId="0" fontId="67" fillId="0" borderId="0" xfId="0" applyFont="1" applyFill="1" applyBorder="1" applyAlignment="1">
      <alignment horizontal="left" indent="2"/>
    </xf>
    <xf numFmtId="0" fontId="0" fillId="0" borderId="0" xfId="0" applyFont="1" applyFill="1"/>
    <xf numFmtId="0" fontId="0" fillId="0" borderId="0" xfId="0" quotePrefix="1" applyFont="1" applyFill="1" applyBorder="1" applyAlignment="1">
      <alignment horizontal="left" indent="1"/>
    </xf>
    <xf numFmtId="0" fontId="1" fillId="0" borderId="0" xfId="0" applyFont="1" applyFill="1" applyBorder="1" applyAlignment="1">
      <alignment horizontal="left" indent="1"/>
    </xf>
    <xf numFmtId="37" fontId="76" fillId="0" borderId="0" xfId="0" applyNumberFormat="1" applyFont="1" applyFill="1" applyBorder="1" applyAlignment="1">
      <alignment horizontal="right"/>
    </xf>
    <xf numFmtId="9" fontId="68" fillId="0" borderId="0" xfId="0" applyNumberFormat="1" applyFont="1" applyFill="1" applyBorder="1" applyAlignment="1">
      <alignment horizontal="right"/>
    </xf>
    <xf numFmtId="0" fontId="69" fillId="0" borderId="0" xfId="0" applyFont="1" applyFill="1" applyBorder="1" applyAlignment="1">
      <alignment horizontal="right"/>
    </xf>
    <xf numFmtId="37" fontId="4" fillId="0" borderId="0" xfId="0" applyNumberFormat="1" applyFont="1" applyFill="1" applyBorder="1"/>
    <xf numFmtId="0" fontId="69" fillId="0" borderId="0" xfId="0" applyFont="1" applyFill="1" applyBorder="1" applyAlignment="1">
      <alignment horizontal="left" indent="2"/>
    </xf>
    <xf numFmtId="0" fontId="67" fillId="0" borderId="0" xfId="0" applyFont="1" applyFill="1" applyBorder="1" applyAlignment="1">
      <alignment horizontal="right"/>
    </xf>
    <xf numFmtId="0" fontId="1" fillId="0" borderId="0" xfId="0" applyFont="1" applyFill="1" applyBorder="1" applyAlignment="1">
      <alignment horizontal="center"/>
    </xf>
    <xf numFmtId="175" fontId="68" fillId="0" borderId="0" xfId="0" applyNumberFormat="1" applyFont="1" applyFill="1" applyBorder="1"/>
    <xf numFmtId="9" fontId="68" fillId="0" borderId="0" xfId="0" applyNumberFormat="1" applyFont="1" applyFill="1" applyBorder="1"/>
    <xf numFmtId="0" fontId="67" fillId="0" borderId="0" xfId="0" applyFont="1" applyFill="1" applyBorder="1" applyAlignment="1">
      <alignment horizontal="left" indent="1"/>
    </xf>
    <xf numFmtId="0" fontId="77" fillId="0" borderId="0" xfId="0" applyFont="1" applyFill="1" applyBorder="1" applyAlignment="1">
      <alignment horizontal="left" indent="1"/>
    </xf>
    <xf numFmtId="0" fontId="5" fillId="0" borderId="0" xfId="0" applyFont="1"/>
    <xf numFmtId="175" fontId="4" fillId="0" borderId="0" xfId="0" applyNumberFormat="1" applyFont="1"/>
    <xf numFmtId="165" fontId="4" fillId="0" borderId="0" xfId="0" applyNumberFormat="1" applyFont="1"/>
    <xf numFmtId="0" fontId="67" fillId="0" borderId="2" xfId="0" applyFont="1" applyBorder="1" applyAlignment="1">
      <alignment horizontal="centerContinuous"/>
    </xf>
    <xf numFmtId="0" fontId="67" fillId="0" borderId="0" xfId="0" applyFont="1" applyBorder="1" applyAlignment="1">
      <alignment horizontal="centerContinuous"/>
    </xf>
    <xf numFmtId="0" fontId="77" fillId="0" borderId="0" xfId="0" applyFont="1" applyBorder="1" applyAlignment="1">
      <alignment horizontal="centerContinuous"/>
    </xf>
    <xf numFmtId="0" fontId="1" fillId="0" borderId="0" xfId="0" applyFont="1" applyBorder="1" applyAlignment="1">
      <alignment horizontal="centerContinuous"/>
    </xf>
    <xf numFmtId="0" fontId="1" fillId="0" borderId="0" xfId="0" applyFont="1" applyAlignment="1">
      <alignment horizontal="centerContinuous"/>
    </xf>
    <xf numFmtId="9" fontId="3" fillId="0" borderId="0" xfId="0" applyNumberFormat="1" applyFont="1" applyBorder="1"/>
    <xf numFmtId="9" fontId="6" fillId="0" borderId="0" xfId="0" applyNumberFormat="1" applyFont="1" applyBorder="1"/>
    <xf numFmtId="174" fontId="4" fillId="0" borderId="0" xfId="0" applyNumberFormat="1" applyFont="1"/>
    <xf numFmtId="37" fontId="5" fillId="0" borderId="0" xfId="0" applyNumberFormat="1" applyFont="1" applyBorder="1" applyAlignment="1">
      <alignment horizontal="right"/>
    </xf>
    <xf numFmtId="174" fontId="5" fillId="0" borderId="0" xfId="0" applyNumberFormat="1" applyFont="1" applyBorder="1" applyAlignment="1">
      <alignment horizontal="right"/>
    </xf>
    <xf numFmtId="169" fontId="4" fillId="0" borderId="0" xfId="0" applyNumberFormat="1" applyFont="1" applyFill="1" applyBorder="1"/>
    <xf numFmtId="210" fontId="7" fillId="0" borderId="0" xfId="0" applyNumberFormat="1" applyFont="1"/>
    <xf numFmtId="210" fontId="7" fillId="0" borderId="0" xfId="0" applyNumberFormat="1" applyFont="1" applyFill="1" applyAlignment="1"/>
    <xf numFmtId="210" fontId="6" fillId="0" borderId="0" xfId="0" applyNumberFormat="1" applyFont="1" applyFill="1" applyBorder="1"/>
    <xf numFmtId="210" fontId="5" fillId="0" borderId="0" xfId="0" applyNumberFormat="1" applyFont="1" applyFill="1" applyBorder="1"/>
    <xf numFmtId="210" fontId="4" fillId="0" borderId="0" xfId="0" applyNumberFormat="1" applyFont="1" applyBorder="1"/>
    <xf numFmtId="210" fontId="6" fillId="0" borderId="0" xfId="0" applyNumberFormat="1" applyFont="1" applyBorder="1"/>
    <xf numFmtId="210" fontId="5" fillId="0" borderId="0" xfId="0" applyNumberFormat="1" applyFont="1"/>
    <xf numFmtId="210" fontId="6" fillId="0" borderId="0" xfId="0" applyNumberFormat="1" applyFont="1"/>
    <xf numFmtId="210" fontId="5" fillId="0" borderId="0" xfId="0" applyNumberFormat="1" applyFont="1" applyFill="1"/>
    <xf numFmtId="210" fontId="1" fillId="0" borderId="0" xfId="0" applyNumberFormat="1" applyFont="1"/>
    <xf numFmtId="210" fontId="4" fillId="0" borderId="0" xfId="0" applyNumberFormat="1" applyFont="1"/>
    <xf numFmtId="175" fontId="5" fillId="0" borderId="0" xfId="0" applyNumberFormat="1" applyFont="1" applyFill="1"/>
    <xf numFmtId="169" fontId="5" fillId="0" borderId="0" xfId="0" applyNumberFormat="1" applyFont="1" applyFill="1"/>
    <xf numFmtId="169" fontId="4" fillId="0" borderId="0" xfId="0" applyNumberFormat="1" applyFont="1" applyFill="1"/>
    <xf numFmtId="37" fontId="71" fillId="0" borderId="0" xfId="0" applyNumberFormat="1" applyFont="1" applyFill="1"/>
    <xf numFmtId="170" fontId="5" fillId="0" borderId="0" xfId="0" applyNumberFormat="1" applyFont="1"/>
    <xf numFmtId="0" fontId="74" fillId="0" borderId="0" xfId="0" applyFont="1" applyBorder="1" applyAlignment="1">
      <alignment horizontal="right"/>
    </xf>
    <xf numFmtId="37" fontId="78" fillId="0" borderId="0" xfId="0" applyNumberFormat="1" applyFont="1" applyFill="1" applyBorder="1"/>
    <xf numFmtId="232" fontId="5" fillId="0" borderId="0" xfId="0" applyNumberFormat="1" applyFont="1" applyFill="1" applyAlignment="1">
      <alignment horizontal="right"/>
    </xf>
    <xf numFmtId="169" fontId="68" fillId="0" borderId="0" xfId="0" applyNumberFormat="1" applyFont="1" applyAlignment="1">
      <alignment horizontal="right"/>
    </xf>
    <xf numFmtId="230" fontId="5" fillId="0" borderId="0" xfId="0" applyNumberFormat="1" applyFont="1" applyAlignment="1">
      <alignment horizontal="right"/>
    </xf>
    <xf numFmtId="233" fontId="5" fillId="0" borderId="0" xfId="0" applyNumberFormat="1" applyFont="1" applyFill="1"/>
    <xf numFmtId="233" fontId="5" fillId="0" borderId="0" xfId="0" applyNumberFormat="1" applyFont="1" applyFill="1" applyBorder="1"/>
    <xf numFmtId="0" fontId="69" fillId="0" borderId="0" xfId="0" applyFont="1" applyBorder="1" applyAlignment="1">
      <alignment horizontal="left" indent="1"/>
    </xf>
    <xf numFmtId="165" fontId="0" fillId="0" borderId="0" xfId="0" applyNumberFormat="1" applyFont="1"/>
    <xf numFmtId="164" fontId="7" fillId="0" borderId="0" xfId="0" applyNumberFormat="1" applyFont="1"/>
    <xf numFmtId="210" fontId="70" fillId="0" borderId="0" xfId="0" applyNumberFormat="1" applyFont="1"/>
    <xf numFmtId="210" fontId="0" fillId="0" borderId="2" xfId="0" applyNumberFormat="1" applyFont="1" applyBorder="1"/>
    <xf numFmtId="210" fontId="0" fillId="0" borderId="0" xfId="0" applyNumberFormat="1" applyFont="1" applyAlignment="1">
      <alignment horizontal="right"/>
    </xf>
    <xf numFmtId="165" fontId="0" fillId="0" borderId="0" xfId="0" applyNumberFormat="1" applyFont="1" applyFill="1" applyBorder="1"/>
    <xf numFmtId="175" fontId="0" fillId="0" borderId="0" xfId="0" applyNumberFormat="1" applyFont="1" applyFill="1" applyBorder="1"/>
    <xf numFmtId="230" fontId="5" fillId="0" borderId="0" xfId="0" applyNumberFormat="1" applyFont="1" applyBorder="1" applyAlignment="1">
      <alignment horizontal="right"/>
    </xf>
    <xf numFmtId="230" fontId="0" fillId="0" borderId="0" xfId="0" applyNumberFormat="1" applyFont="1" applyBorder="1" applyAlignment="1">
      <alignment horizontal="right"/>
    </xf>
    <xf numFmtId="210" fontId="70" fillId="0" borderId="0" xfId="0" applyNumberFormat="1" applyFont="1" applyBorder="1" applyAlignment="1">
      <alignment horizontal="right"/>
    </xf>
    <xf numFmtId="175" fontId="4" fillId="0" borderId="0" xfId="0" applyNumberFormat="1" applyFont="1" applyAlignment="1">
      <alignment horizontal="right"/>
    </xf>
    <xf numFmtId="235" fontId="1" fillId="0" borderId="0" xfId="0" applyNumberFormat="1" applyFont="1"/>
    <xf numFmtId="235" fontId="1" fillId="0" borderId="0" xfId="0" applyNumberFormat="1" applyFont="1" applyAlignment="1">
      <alignment horizontal="right"/>
    </xf>
    <xf numFmtId="210" fontId="4" fillId="0" borderId="0" xfId="0" applyNumberFormat="1" applyFont="1" applyBorder="1" applyAlignment="1">
      <alignment horizontal="right"/>
    </xf>
    <xf numFmtId="0" fontId="80" fillId="0" borderId="0" xfId="0" applyFont="1" applyAlignment="1">
      <alignment horizontal="right"/>
    </xf>
    <xf numFmtId="210" fontId="5" fillId="0" borderId="0" xfId="0" applyNumberFormat="1" applyFont="1" applyBorder="1"/>
    <xf numFmtId="210" fontId="67" fillId="0" borderId="0" xfId="0" applyNumberFormat="1" applyFont="1"/>
    <xf numFmtId="37" fontId="4" fillId="0" borderId="0" xfId="0" applyNumberFormat="1" applyFont="1" applyFill="1" applyAlignment="1">
      <alignment horizontal="right"/>
    </xf>
    <xf numFmtId="165" fontId="1" fillId="0" borderId="0" xfId="0" applyNumberFormat="1" applyFont="1"/>
    <xf numFmtId="0" fontId="1" fillId="0" borderId="0" xfId="0" applyNumberFormat="1" applyFont="1"/>
    <xf numFmtId="168" fontId="0" fillId="0" borderId="2" xfId="0" applyNumberFormat="1" applyFont="1" applyBorder="1"/>
    <xf numFmtId="0" fontId="81" fillId="0" borderId="0" xfId="0" applyFont="1" applyBorder="1" applyAlignment="1">
      <alignment horizontal="centerContinuous"/>
    </xf>
    <xf numFmtId="0" fontId="79" fillId="0" borderId="22" xfId="0" applyFont="1" applyBorder="1" applyAlignment="1">
      <alignment horizontal="center"/>
    </xf>
    <xf numFmtId="210" fontId="0" fillId="0" borderId="0" xfId="0" applyNumberFormat="1" applyFont="1" applyAlignment="1">
      <alignment horizontal="center"/>
    </xf>
    <xf numFmtId="0" fontId="0" fillId="0" borderId="2" xfId="0" applyFont="1" applyBorder="1" applyAlignment="1">
      <alignment horizontal="center"/>
    </xf>
    <xf numFmtId="210" fontId="0" fillId="0" borderId="2" xfId="0" applyNumberFormat="1" applyFont="1" applyBorder="1" applyAlignment="1">
      <alignment horizontal="center"/>
    </xf>
    <xf numFmtId="39" fontId="0" fillId="0" borderId="2" xfId="0" applyNumberFormat="1" applyFont="1" applyBorder="1" applyAlignment="1">
      <alignment horizontal="center"/>
    </xf>
    <xf numFmtId="210" fontId="0" fillId="0" borderId="0" xfId="0" applyNumberFormat="1" applyFont="1" applyBorder="1" applyAlignment="1">
      <alignment horizontal="center"/>
    </xf>
    <xf numFmtId="0" fontId="81" fillId="0" borderId="0" xfId="0" applyFont="1" applyBorder="1"/>
    <xf numFmtId="0" fontId="77" fillId="0" borderId="0" xfId="0" applyFont="1" applyAlignment="1">
      <alignment horizontal="right"/>
    </xf>
    <xf numFmtId="210" fontId="67" fillId="0" borderId="2" xfId="0" applyNumberFormat="1" applyFont="1" applyBorder="1"/>
    <xf numFmtId="166" fontId="1" fillId="0" borderId="0" xfId="0" applyNumberFormat="1" applyFont="1"/>
    <xf numFmtId="0" fontId="5" fillId="31" borderId="27" xfId="0" applyFont="1" applyFill="1" applyBorder="1" applyAlignment="1">
      <alignment horizontal="center"/>
    </xf>
    <xf numFmtId="236" fontId="5" fillId="0" borderId="0" xfId="0" applyNumberFormat="1" applyFont="1"/>
    <xf numFmtId="210" fontId="0" fillId="0" borderId="27" xfId="0" applyNumberFormat="1" applyFont="1" applyBorder="1"/>
    <xf numFmtId="210" fontId="0" fillId="0" borderId="0" xfId="0" applyNumberFormat="1" applyFont="1" applyFill="1" applyBorder="1"/>
    <xf numFmtId="210" fontId="4" fillId="0" borderId="0" xfId="0" applyNumberFormat="1" applyFont="1" applyFill="1" applyBorder="1"/>
    <xf numFmtId="210" fontId="69" fillId="0" borderId="0" xfId="0" applyNumberFormat="1" applyFont="1" applyFill="1" applyBorder="1"/>
    <xf numFmtId="210" fontId="67" fillId="0" borderId="0" xfId="0" applyNumberFormat="1" applyFont="1" applyFill="1" applyBorder="1"/>
    <xf numFmtId="210" fontId="0" fillId="0" borderId="27" xfId="0" applyNumberFormat="1" applyFont="1" applyFill="1" applyBorder="1"/>
    <xf numFmtId="210" fontId="1" fillId="0" borderId="0" xfId="0" applyNumberFormat="1" applyFont="1" applyFill="1" applyBorder="1"/>
    <xf numFmtId="210" fontId="67" fillId="0" borderId="0" xfId="0" applyNumberFormat="1" applyFont="1" applyFill="1" applyBorder="1" applyAlignment="1">
      <alignment horizontal="right"/>
    </xf>
    <xf numFmtId="210" fontId="3" fillId="0" borderId="0" xfId="0" applyNumberFormat="1" applyFont="1" applyFill="1" applyBorder="1"/>
    <xf numFmtId="210" fontId="4" fillId="0" borderId="27" xfId="0" applyNumberFormat="1" applyFont="1" applyBorder="1"/>
    <xf numFmtId="210" fontId="70" fillId="0" borderId="0" xfId="0" applyNumberFormat="1" applyFont="1" applyBorder="1"/>
    <xf numFmtId="210" fontId="1" fillId="0" borderId="0" xfId="0" applyNumberFormat="1" applyFont="1" applyAlignment="1">
      <alignment horizontal="center"/>
    </xf>
    <xf numFmtId="172" fontId="6" fillId="0" borderId="0" xfId="0" applyNumberFormat="1" applyFont="1" applyBorder="1"/>
    <xf numFmtId="39" fontId="6" fillId="0" borderId="0" xfId="0" applyNumberFormat="1" applyFont="1" applyBorder="1" applyAlignment="1">
      <alignment horizontal="right"/>
    </xf>
    <xf numFmtId="0" fontId="67" fillId="0" borderId="0" xfId="0" applyFont="1" applyBorder="1" applyAlignment="1">
      <alignment horizontal="right" vertical="center" wrapText="1"/>
    </xf>
    <xf numFmtId="172" fontId="6" fillId="0" borderId="0" xfId="0" applyNumberFormat="1" applyFont="1" applyBorder="1" applyAlignment="1">
      <alignment horizontal="right"/>
    </xf>
    <xf numFmtId="175" fontId="6" fillId="0" borderId="0" xfId="0" applyNumberFormat="1" applyFont="1" applyBorder="1" applyAlignment="1">
      <alignment horizontal="right"/>
    </xf>
    <xf numFmtId="0" fontId="82" fillId="0" borderId="0" xfId="0" applyFont="1" applyFill="1" applyBorder="1" applyAlignment="1">
      <alignment horizontal="centerContinuous"/>
    </xf>
    <xf numFmtId="0" fontId="0" fillId="0" borderId="0" xfId="0" applyFont="1" applyFill="1" applyBorder="1" applyAlignment="1">
      <alignment horizontal="centerContinuous"/>
    </xf>
    <xf numFmtId="172" fontId="7" fillId="0" borderId="0" xfId="0" applyNumberFormat="1" applyFont="1" applyBorder="1"/>
    <xf numFmtId="164" fontId="7" fillId="0" borderId="0" xfId="0" applyNumberFormat="1" applyFont="1" applyBorder="1"/>
    <xf numFmtId="175" fontId="7" fillId="0" borderId="0" xfId="0" applyNumberFormat="1" applyFont="1" applyBorder="1"/>
    <xf numFmtId="210" fontId="4" fillId="0" borderId="0" xfId="0" applyNumberFormat="1" applyFont="1" applyAlignment="1">
      <alignment horizontal="right"/>
    </xf>
    <xf numFmtId="210" fontId="7" fillId="0" borderId="0" xfId="0" applyNumberFormat="1" applyFont="1" applyBorder="1"/>
    <xf numFmtId="0" fontId="75" fillId="0" borderId="0" xfId="0" applyFont="1" applyAlignment="1">
      <alignment horizontal="right"/>
    </xf>
    <xf numFmtId="238" fontId="0" fillId="0" borderId="0" xfId="0" applyNumberFormat="1" applyAlignment="1">
      <alignment horizontal="left"/>
    </xf>
    <xf numFmtId="0" fontId="5" fillId="0" borderId="0" xfId="0" applyFont="1" applyAlignment="1">
      <alignment horizontal="right" indent="1"/>
    </xf>
    <xf numFmtId="0" fontId="0" fillId="0" borderId="0" xfId="0" applyFont="1" applyAlignment="1">
      <alignment horizontal="right" indent="1"/>
    </xf>
    <xf numFmtId="0" fontId="0" fillId="0" borderId="2" xfId="0" applyFont="1" applyBorder="1" applyAlignment="1">
      <alignment horizontal="right" indent="1"/>
    </xf>
    <xf numFmtId="0" fontId="1" fillId="0" borderId="0" xfId="0" applyFont="1" applyAlignment="1">
      <alignment horizontal="right" indent="1"/>
    </xf>
    <xf numFmtId="14" fontId="67" fillId="0" borderId="0" xfId="0" applyNumberFormat="1" applyFont="1" applyAlignment="1">
      <alignment horizontal="left"/>
    </xf>
    <xf numFmtId="164" fontId="72" fillId="0" borderId="0" xfId="0" applyNumberFormat="1" applyFont="1" applyAlignment="1">
      <alignment horizontal="right"/>
    </xf>
    <xf numFmtId="0" fontId="72" fillId="0" borderId="0" xfId="0" applyFont="1" applyAlignment="1">
      <alignment horizontal="left" indent="1"/>
    </xf>
    <xf numFmtId="0" fontId="0" fillId="0" borderId="1" xfId="0" applyBorder="1"/>
    <xf numFmtId="39" fontId="0" fillId="0" borderId="23" xfId="0" applyNumberFormat="1" applyFont="1" applyBorder="1"/>
    <xf numFmtId="3" fontId="6" fillId="0" borderId="2" xfId="0" applyNumberFormat="1" applyFont="1" applyBorder="1"/>
    <xf numFmtId="0" fontId="1" fillId="0" borderId="2" xfId="0" applyFont="1" applyFill="1" applyBorder="1" applyAlignment="1">
      <alignment horizontal="left"/>
    </xf>
    <xf numFmtId="210" fontId="67" fillId="0" borderId="0" xfId="0" applyNumberFormat="1" applyFont="1" applyBorder="1"/>
    <xf numFmtId="0" fontId="1" fillId="0" borderId="22" xfId="0" applyFont="1" applyBorder="1" applyAlignment="1">
      <alignment horizontal="center"/>
    </xf>
    <xf numFmtId="0" fontId="1" fillId="0" borderId="22" xfId="0" applyFont="1" applyBorder="1" applyAlignment="1">
      <alignment horizontal="right"/>
    </xf>
    <xf numFmtId="167" fontId="1" fillId="0" borderId="22" xfId="0" applyNumberFormat="1" applyFont="1" applyBorder="1"/>
    <xf numFmtId="0" fontId="1" fillId="0" borderId="2" xfId="0" applyFont="1" applyFill="1" applyBorder="1"/>
    <xf numFmtId="174" fontId="68" fillId="0" borderId="0" xfId="0" applyNumberFormat="1" applyFont="1" applyBorder="1" applyAlignment="1">
      <alignment horizontal="centerContinuous"/>
    </xf>
    <xf numFmtId="0" fontId="77" fillId="0" borderId="2" xfId="0" applyFont="1" applyBorder="1" applyAlignment="1">
      <alignment horizontal="centerContinuous"/>
    </xf>
    <xf numFmtId="174" fontId="68" fillId="0" borderId="2" xfId="0" applyNumberFormat="1" applyFont="1" applyBorder="1" applyAlignment="1">
      <alignment horizontal="centerContinuous"/>
    </xf>
    <xf numFmtId="210" fontId="1" fillId="0" borderId="0" xfId="0" applyNumberFormat="1" applyFont="1" applyBorder="1" applyAlignment="1">
      <alignment horizontal="right"/>
    </xf>
    <xf numFmtId="0" fontId="69" fillId="0" borderId="0" xfId="0" applyFont="1" applyFill="1"/>
    <xf numFmtId="9" fontId="5" fillId="0" borderId="0" xfId="0" applyNumberFormat="1" applyFont="1" applyFill="1" applyAlignment="1">
      <alignment horizontal="center"/>
    </xf>
    <xf numFmtId="169" fontId="5" fillId="31" borderId="23" xfId="0" applyNumberFormat="1" applyFont="1" applyFill="1" applyBorder="1" applyAlignment="1">
      <alignment horizontal="center"/>
    </xf>
    <xf numFmtId="169" fontId="5" fillId="31" borderId="25" xfId="0" applyNumberFormat="1" applyFont="1" applyFill="1" applyBorder="1" applyAlignment="1">
      <alignment horizontal="center"/>
    </xf>
    <xf numFmtId="237" fontId="5" fillId="0" borderId="0" xfId="0" applyNumberFormat="1" applyFont="1" applyFill="1"/>
    <xf numFmtId="231" fontId="83" fillId="0" borderId="0" xfId="186" applyNumberFormat="1" applyFont="1" applyBorder="1" applyAlignment="1" applyProtection="1">
      <alignment horizontal="center"/>
    </xf>
    <xf numFmtId="231" fontId="68" fillId="0" borderId="0" xfId="186" applyNumberFormat="1" applyFont="1" applyBorder="1" applyAlignment="1" applyProtection="1">
      <alignment horizontal="center"/>
    </xf>
    <xf numFmtId="231" fontId="78" fillId="0" borderId="0" xfId="186" applyNumberFormat="1" applyFont="1" applyBorder="1" applyAlignment="1" applyProtection="1">
      <alignment horizontal="center"/>
      <protection locked="0"/>
    </xf>
    <xf numFmtId="231" fontId="78" fillId="0" borderId="0" xfId="186" applyNumberFormat="1" applyFont="1" applyFill="1" applyBorder="1" applyAlignment="1" applyProtection="1">
      <alignment horizontal="center"/>
      <protection locked="0"/>
    </xf>
    <xf numFmtId="231" fontId="84" fillId="0" borderId="0" xfId="186" applyNumberFormat="1" applyFont="1" applyBorder="1" applyAlignment="1" applyProtection="1">
      <alignment horizontal="center"/>
    </xf>
    <xf numFmtId="210" fontId="4" fillId="0" borderId="2" xfId="0" applyNumberFormat="1" applyFont="1" applyBorder="1" applyAlignment="1">
      <alignment horizontal="right"/>
    </xf>
    <xf numFmtId="0" fontId="1" fillId="0" borderId="0" xfId="0" applyFont="1" applyAlignment="1">
      <alignment horizontal="left" indent="2"/>
    </xf>
    <xf numFmtId="170" fontId="5" fillId="0" borderId="0" xfId="0" applyNumberFormat="1" applyFont="1" applyBorder="1"/>
    <xf numFmtId="37" fontId="0" fillId="0" borderId="29" xfId="0" applyNumberFormat="1" applyFont="1" applyBorder="1"/>
    <xf numFmtId="39" fontId="0" fillId="0" borderId="29" xfId="0" applyNumberFormat="1" applyFont="1" applyBorder="1"/>
    <xf numFmtId="175" fontId="67" fillId="0" borderId="29" xfId="0" applyNumberFormat="1" applyFont="1" applyBorder="1"/>
    <xf numFmtId="37" fontId="1" fillId="0" borderId="29" xfId="0" applyNumberFormat="1" applyFont="1" applyBorder="1"/>
    <xf numFmtId="230" fontId="0" fillId="0" borderId="30" xfId="0" applyNumberFormat="1" applyFont="1" applyBorder="1"/>
    <xf numFmtId="175" fontId="67" fillId="0" borderId="0" xfId="0" applyNumberFormat="1" applyFont="1" applyBorder="1"/>
    <xf numFmtId="235" fontId="7" fillId="31" borderId="27" xfId="0" applyNumberFormat="1" applyFont="1" applyFill="1" applyBorder="1" applyAlignment="1">
      <alignment horizontal="center"/>
    </xf>
    <xf numFmtId="230" fontId="80" fillId="0" borderId="0" xfId="0" applyNumberFormat="1" applyFont="1" applyFill="1" applyBorder="1" applyAlignment="1">
      <alignment horizontal="center"/>
    </xf>
    <xf numFmtId="165" fontId="0" fillId="0" borderId="24" xfId="0" applyNumberFormat="1" applyFont="1" applyBorder="1" applyAlignment="1">
      <alignment horizontal="center"/>
    </xf>
    <xf numFmtId="230" fontId="0" fillId="0" borderId="24" xfId="0" applyNumberFormat="1" applyFont="1" applyFill="1" applyBorder="1" applyAlignment="1">
      <alignment horizontal="center"/>
    </xf>
    <xf numFmtId="165" fontId="1" fillId="0" borderId="24" xfId="0" applyNumberFormat="1" applyFont="1" applyFill="1" applyBorder="1" applyAlignment="1">
      <alignment horizontal="center"/>
    </xf>
    <xf numFmtId="0" fontId="0" fillId="0" borderId="24" xfId="0" applyFont="1" applyBorder="1" applyAlignment="1">
      <alignment horizontal="center"/>
    </xf>
    <xf numFmtId="210" fontId="4" fillId="0" borderId="24" xfId="0" applyNumberFormat="1" applyFont="1" applyBorder="1" applyAlignment="1">
      <alignment horizontal="center"/>
    </xf>
    <xf numFmtId="210" fontId="1" fillId="0" borderId="24" xfId="0" applyNumberFormat="1" applyFont="1" applyBorder="1" applyAlignment="1">
      <alignment horizontal="center"/>
    </xf>
    <xf numFmtId="165" fontId="70" fillId="0" borderId="24" xfId="0" applyNumberFormat="1" applyFont="1" applyFill="1" applyBorder="1" applyAlignment="1">
      <alignment horizontal="center"/>
    </xf>
    <xf numFmtId="165" fontId="0" fillId="0" borderId="28" xfId="0" applyNumberFormat="1" applyFont="1" applyBorder="1" applyAlignment="1">
      <alignment horizontal="center"/>
    </xf>
    <xf numFmtId="175" fontId="0" fillId="0" borderId="26" xfId="0" applyNumberFormat="1" applyFont="1" applyFill="1" applyBorder="1" applyAlignment="1">
      <alignment horizontal="center"/>
    </xf>
    <xf numFmtId="234" fontId="1" fillId="0" borderId="24" xfId="0" applyNumberFormat="1" applyFont="1" applyFill="1" applyBorder="1" applyAlignment="1">
      <alignment horizontal="center"/>
    </xf>
    <xf numFmtId="39" fontId="7" fillId="0" borderId="0" xfId="0" applyNumberFormat="1" applyFont="1" applyBorder="1" applyAlignment="1">
      <alignment horizontal="right"/>
    </xf>
    <xf numFmtId="210" fontId="4" fillId="0" borderId="2" xfId="0" applyNumberFormat="1" applyFont="1" applyBorder="1"/>
    <xf numFmtId="239" fontId="67" fillId="0" borderId="2" xfId="0" applyNumberFormat="1" applyFont="1" applyBorder="1" applyAlignment="1">
      <alignment horizontal="centerContinuous"/>
    </xf>
    <xf numFmtId="174" fontId="4" fillId="0" borderId="24" xfId="0" applyNumberFormat="1" applyFont="1" applyBorder="1" applyAlignment="1">
      <alignment horizontal="center"/>
    </xf>
    <xf numFmtId="37" fontId="0" fillId="0" borderId="24" xfId="0" applyNumberFormat="1" applyFont="1" applyBorder="1" applyAlignment="1">
      <alignment horizontal="center"/>
    </xf>
    <xf numFmtId="39" fontId="0" fillId="0" borderId="24" xfId="0" applyNumberFormat="1" applyFont="1" applyBorder="1" applyAlignment="1">
      <alignment horizontal="center"/>
    </xf>
    <xf numFmtId="175" fontId="67" fillId="0" borderId="24" xfId="0" applyNumberFormat="1" applyFont="1" applyBorder="1" applyAlignment="1">
      <alignment horizontal="center"/>
    </xf>
    <xf numFmtId="0" fontId="67" fillId="0" borderId="24" xfId="0" applyFont="1" applyBorder="1" applyAlignment="1">
      <alignment horizontal="center"/>
    </xf>
    <xf numFmtId="37" fontId="1" fillId="0" borderId="24" xfId="0" applyNumberFormat="1" applyFont="1" applyBorder="1" applyAlignment="1">
      <alignment horizontal="center"/>
    </xf>
    <xf numFmtId="0" fontId="1" fillId="0" borderId="27" xfId="0" applyFont="1" applyBorder="1" applyAlignment="1">
      <alignment horizontal="center"/>
    </xf>
    <xf numFmtId="230" fontId="0" fillId="0" borderId="26" xfId="0" applyNumberFormat="1" applyFont="1" applyBorder="1" applyAlignment="1">
      <alignment horizontal="center"/>
    </xf>
    <xf numFmtId="0" fontId="77" fillId="0" borderId="4" xfId="0" applyFont="1" applyBorder="1" applyAlignment="1">
      <alignment horizontal="centerContinuous"/>
    </xf>
    <xf numFmtId="0" fontId="0" fillId="0" borderId="31" xfId="0" applyFont="1" applyBorder="1" applyAlignment="1">
      <alignment horizontal="centerContinuous"/>
    </xf>
    <xf numFmtId="0" fontId="0" fillId="0" borderId="32" xfId="0" applyFont="1" applyBorder="1" applyAlignment="1">
      <alignment horizontal="centerContinuous"/>
    </xf>
    <xf numFmtId="174" fontId="5" fillId="0" borderId="4" xfId="0" applyNumberFormat="1" applyFont="1" applyBorder="1"/>
    <xf numFmtId="174" fontId="4" fillId="0" borderId="31" xfId="0" applyNumberFormat="1" applyFont="1" applyBorder="1"/>
    <xf numFmtId="174" fontId="4" fillId="0" borderId="32" xfId="0" applyNumberFormat="1" applyFont="1" applyBorder="1"/>
    <xf numFmtId="37" fontId="1" fillId="0" borderId="23" xfId="0" applyNumberFormat="1" applyFont="1" applyBorder="1"/>
    <xf numFmtId="37" fontId="0" fillId="0" borderId="23" xfId="0" applyNumberFormat="1" applyFont="1" applyBorder="1"/>
    <xf numFmtId="175" fontId="67" fillId="0" borderId="23" xfId="0" applyNumberFormat="1" applyFont="1" applyBorder="1"/>
    <xf numFmtId="230" fontId="0" fillId="0" borderId="2" xfId="0" applyNumberFormat="1" applyFont="1" applyBorder="1"/>
    <xf numFmtId="230" fontId="0" fillId="0" borderId="25" xfId="0" applyNumberFormat="1" applyFont="1" applyBorder="1"/>
    <xf numFmtId="0" fontId="1" fillId="0" borderId="28" xfId="0" applyFont="1" applyBorder="1" applyAlignment="1">
      <alignment horizontal="left"/>
    </xf>
    <xf numFmtId="174" fontId="7" fillId="0" borderId="26" xfId="0" applyNumberFormat="1" applyFont="1" applyBorder="1" applyAlignment="1">
      <alignment horizontal="left"/>
    </xf>
    <xf numFmtId="210" fontId="0" fillId="0" borderId="0" xfId="0" applyNumberFormat="1" applyFont="1" applyFill="1"/>
    <xf numFmtId="230" fontId="5" fillId="0" borderId="0" xfId="0" applyNumberFormat="1" applyFont="1" applyFill="1"/>
    <xf numFmtId="167" fontId="6" fillId="0" borderId="31" xfId="0" applyNumberFormat="1" applyFont="1" applyBorder="1"/>
    <xf numFmtId="165" fontId="1" fillId="0" borderId="0" xfId="0" applyNumberFormat="1" applyFont="1" applyBorder="1"/>
    <xf numFmtId="166" fontId="6" fillId="0" borderId="33" xfId="0" applyNumberFormat="1" applyFont="1" applyBorder="1"/>
    <xf numFmtId="168" fontId="3" fillId="0" borderId="34" xfId="0" applyNumberFormat="1" applyFont="1" applyBorder="1"/>
    <xf numFmtId="210" fontId="0" fillId="0" borderId="35" xfId="0" applyNumberFormat="1" applyFont="1" applyBorder="1"/>
    <xf numFmtId="210" fontId="0" fillId="0" borderId="34" xfId="0" applyNumberFormat="1" applyFont="1" applyBorder="1"/>
    <xf numFmtId="210" fontId="1" fillId="0" borderId="35" xfId="0" applyNumberFormat="1" applyFont="1" applyBorder="1"/>
    <xf numFmtId="165" fontId="0" fillId="32" borderId="0" xfId="0" applyNumberFormat="1" applyFont="1" applyFill="1" applyBorder="1"/>
    <xf numFmtId="165" fontId="0" fillId="32" borderId="0" xfId="0" applyNumberFormat="1" applyFont="1" applyFill="1"/>
    <xf numFmtId="210" fontId="0" fillId="32" borderId="0" xfId="0" applyNumberFormat="1" applyFont="1" applyFill="1" applyAlignment="1">
      <alignment horizontal="center"/>
    </xf>
    <xf numFmtId="0" fontId="69" fillId="32" borderId="0" xfId="0" applyFont="1" applyFill="1" applyAlignment="1">
      <alignment horizontal="left"/>
    </xf>
    <xf numFmtId="0" fontId="0" fillId="32" borderId="0" xfId="0" applyFont="1" applyFill="1" applyBorder="1" applyAlignment="1">
      <alignment horizontal="left" indent="1"/>
    </xf>
    <xf numFmtId="0" fontId="1" fillId="32" borderId="0" xfId="0" applyFont="1" applyFill="1"/>
    <xf numFmtId="210" fontId="0" fillId="32" borderId="0" xfId="0" applyNumberFormat="1" applyFont="1" applyFill="1" applyBorder="1"/>
  </cellXfs>
  <cellStyles count="187">
    <cellStyle name="$" xfId="1" xr:uid="{00000000-0005-0000-0000-000000000000}"/>
    <cellStyle name="$m" xfId="2" xr:uid="{00000000-0005-0000-0000-000001000000}"/>
    <cellStyle name="$q" xfId="3" xr:uid="{00000000-0005-0000-0000-000002000000}"/>
    <cellStyle name="$q*" xfId="4" xr:uid="{00000000-0005-0000-0000-000003000000}"/>
    <cellStyle name="$q_valuation" xfId="5" xr:uid="{00000000-0005-0000-0000-000004000000}"/>
    <cellStyle name="$qA" xfId="6" xr:uid="{00000000-0005-0000-0000-000005000000}"/>
    <cellStyle name="$qRange" xfId="7" xr:uid="{00000000-0005-0000-0000-000006000000}"/>
    <cellStyle name="%" xfId="8" xr:uid="{00000000-0005-0000-0000-000007000000}"/>
    <cellStyle name="******************************************" xfId="9" xr:uid="{00000000-0005-0000-0000-000008000000}"/>
    <cellStyle name="2 Decimal Places_MA Software Comps - List_AccretionDilution OTGS v16.xls Chart 1" xfId="10" xr:uid="{00000000-0005-0000-0000-000009000000}"/>
    <cellStyle name="20% - Accent1 2" xfId="11" xr:uid="{00000000-0005-0000-0000-00000A000000}"/>
    <cellStyle name="20% - Accent2 2" xfId="12" xr:uid="{00000000-0005-0000-0000-00000B000000}"/>
    <cellStyle name="20% - Accent3 2" xfId="13" xr:uid="{00000000-0005-0000-0000-00000C000000}"/>
    <cellStyle name="20% - Accent4 2" xfId="14" xr:uid="{00000000-0005-0000-0000-00000D000000}"/>
    <cellStyle name="20% - Accent5 2" xfId="15" xr:uid="{00000000-0005-0000-0000-00000E000000}"/>
    <cellStyle name="20% - Accent6 2" xfId="16" xr:uid="{00000000-0005-0000-0000-00000F000000}"/>
    <cellStyle name="40% - Accent1 2" xfId="17" xr:uid="{00000000-0005-0000-0000-000010000000}"/>
    <cellStyle name="40% - Accent2 2" xfId="18" xr:uid="{00000000-0005-0000-0000-000011000000}"/>
    <cellStyle name="40% - Accent3 2" xfId="19" xr:uid="{00000000-0005-0000-0000-000012000000}"/>
    <cellStyle name="40% - Accent4 2" xfId="20" xr:uid="{00000000-0005-0000-0000-000013000000}"/>
    <cellStyle name="40% - Accent5 2" xfId="21" xr:uid="{00000000-0005-0000-0000-000014000000}"/>
    <cellStyle name="40% - Accent6 2" xfId="22" xr:uid="{00000000-0005-0000-0000-000015000000}"/>
    <cellStyle name="60% - Accent1 2" xfId="23" xr:uid="{00000000-0005-0000-0000-000016000000}"/>
    <cellStyle name="60% - Accent2 2" xfId="24" xr:uid="{00000000-0005-0000-0000-000017000000}"/>
    <cellStyle name="60% - Accent3 2" xfId="25" xr:uid="{00000000-0005-0000-0000-000018000000}"/>
    <cellStyle name="60% - Accent4 2" xfId="26" xr:uid="{00000000-0005-0000-0000-000019000000}"/>
    <cellStyle name="60% - Accent5 2" xfId="27" xr:uid="{00000000-0005-0000-0000-00001A000000}"/>
    <cellStyle name="60% - Accent6 2" xfId="28" xr:uid="{00000000-0005-0000-0000-00001B000000}"/>
    <cellStyle name="Accent1 2" xfId="29" xr:uid="{00000000-0005-0000-0000-00001C000000}"/>
    <cellStyle name="Accent2 2" xfId="30" xr:uid="{00000000-0005-0000-0000-00001D000000}"/>
    <cellStyle name="Accent3 2" xfId="31" xr:uid="{00000000-0005-0000-0000-00001E000000}"/>
    <cellStyle name="Accent4 2" xfId="32" xr:uid="{00000000-0005-0000-0000-00001F000000}"/>
    <cellStyle name="Accent5 2" xfId="33" xr:uid="{00000000-0005-0000-0000-000020000000}"/>
    <cellStyle name="Accent6 2" xfId="34" xr:uid="{00000000-0005-0000-0000-000021000000}"/>
    <cellStyle name="AFE" xfId="35" xr:uid="{00000000-0005-0000-0000-000022000000}"/>
    <cellStyle name="Bad 2" xfId="36" xr:uid="{00000000-0005-0000-0000-000023000000}"/>
    <cellStyle name="Balance" xfId="37" xr:uid="{00000000-0005-0000-0000-000024000000}"/>
    <cellStyle name="BalanceSheet" xfId="38" xr:uid="{00000000-0005-0000-0000-000025000000}"/>
    <cellStyle name="Body_$Numeric" xfId="39" xr:uid="{00000000-0005-0000-0000-000026000000}"/>
    <cellStyle name="Bold Header" xfId="40" xr:uid="{00000000-0005-0000-0000-000027000000}"/>
    <cellStyle name="Calculation 2" xfId="41" xr:uid="{00000000-0005-0000-0000-000028000000}"/>
    <cellStyle name="CashFlow" xfId="42" xr:uid="{00000000-0005-0000-0000-000029000000}"/>
    <cellStyle name="Check" xfId="43" xr:uid="{00000000-0005-0000-0000-00002A000000}"/>
    <cellStyle name="Check Cell 2" xfId="44" xr:uid="{00000000-0005-0000-0000-00002B000000}"/>
    <cellStyle name="ColHeading" xfId="45" xr:uid="{00000000-0005-0000-0000-00002C000000}"/>
    <cellStyle name="colheadleft" xfId="46" xr:uid="{00000000-0005-0000-0000-00002D000000}"/>
    <cellStyle name="colheadright" xfId="47" xr:uid="{00000000-0005-0000-0000-00002E000000}"/>
    <cellStyle name="Comma 2" xfId="48" xr:uid="{00000000-0005-0000-0000-00002F000000}"/>
    <cellStyle name="Comma0" xfId="49" xr:uid="{00000000-0005-0000-0000-000030000000}"/>
    <cellStyle name="Comma2" xfId="50" xr:uid="{00000000-0005-0000-0000-000031000000}"/>
    <cellStyle name="Company" xfId="51" xr:uid="{00000000-0005-0000-0000-000032000000}"/>
    <cellStyle name="CurRatio" xfId="52" xr:uid="{00000000-0005-0000-0000-000033000000}"/>
    <cellStyle name="Currency [1]" xfId="53" xr:uid="{00000000-0005-0000-0000-000034000000}"/>
    <cellStyle name="Currency [2]" xfId="54" xr:uid="{00000000-0005-0000-0000-000035000000}"/>
    <cellStyle name="Currency0" xfId="55" xr:uid="{00000000-0005-0000-0000-000036000000}"/>
    <cellStyle name="Currency2" xfId="56" xr:uid="{00000000-0005-0000-0000-000037000000}"/>
    <cellStyle name="d_yield" xfId="57" xr:uid="{00000000-0005-0000-0000-000038000000}"/>
    <cellStyle name="d_yield_CW's MAKER MODEL" xfId="58" xr:uid="{00000000-0005-0000-0000-000039000000}"/>
    <cellStyle name="d_yield_valuation" xfId="59" xr:uid="{00000000-0005-0000-0000-00003A000000}"/>
    <cellStyle name="Date [d-mmm-yy]" xfId="60" xr:uid="{00000000-0005-0000-0000-00003B000000}"/>
    <cellStyle name="Date [mmm-d-yyyy]" xfId="61" xr:uid="{00000000-0005-0000-0000-00003C000000}"/>
    <cellStyle name="Date [mmm-yyyy]" xfId="62" xr:uid="{00000000-0005-0000-0000-00003D000000}"/>
    <cellStyle name="Dates" xfId="63" xr:uid="{00000000-0005-0000-0000-00003E000000}"/>
    <cellStyle name="DateYear" xfId="64" xr:uid="{00000000-0005-0000-0000-00003F000000}"/>
    <cellStyle name="Dezimal_Capital expenditure planning FY 2000" xfId="65" xr:uid="{00000000-0005-0000-0000-000040000000}"/>
    <cellStyle name="Dollar" xfId="66" xr:uid="{00000000-0005-0000-0000-000041000000}"/>
    <cellStyle name="Dollars" xfId="67" xr:uid="{00000000-0005-0000-0000-000042000000}"/>
    <cellStyle name="DollarWhole" xfId="68" xr:uid="{00000000-0005-0000-0000-000043000000}"/>
    <cellStyle name="eps" xfId="69" xr:uid="{00000000-0005-0000-0000-000044000000}"/>
    <cellStyle name="eps$" xfId="70" xr:uid="{00000000-0005-0000-0000-000045000000}"/>
    <cellStyle name="eps$A" xfId="71" xr:uid="{00000000-0005-0000-0000-000046000000}"/>
    <cellStyle name="eps$E" xfId="72" xr:uid="{00000000-0005-0000-0000-000047000000}"/>
    <cellStyle name="eps_CW's MAKER MODEL" xfId="73" xr:uid="{00000000-0005-0000-0000-000048000000}"/>
    <cellStyle name="epsA" xfId="74" xr:uid="{00000000-0005-0000-0000-000049000000}"/>
    <cellStyle name="EPSActual" xfId="75" xr:uid="{00000000-0005-0000-0000-00004A000000}"/>
    <cellStyle name="epsE" xfId="76" xr:uid="{00000000-0005-0000-0000-00004B000000}"/>
    <cellStyle name="EPSEstimate" xfId="77" xr:uid="{00000000-0005-0000-0000-00004C000000}"/>
    <cellStyle name="Euro" xfId="78" xr:uid="{00000000-0005-0000-0000-00004D000000}"/>
    <cellStyle name="Explanatory Text 2" xfId="79" xr:uid="{00000000-0005-0000-0000-00004E000000}"/>
    <cellStyle name="fy_eps$" xfId="80" xr:uid="{00000000-0005-0000-0000-00004F000000}"/>
    <cellStyle name="g_rate" xfId="81" xr:uid="{00000000-0005-0000-0000-000050000000}"/>
    <cellStyle name="g_rate_CW's MAKER MODEL" xfId="82" xr:uid="{00000000-0005-0000-0000-000051000000}"/>
    <cellStyle name="g_rate_valuation" xfId="83" xr:uid="{00000000-0005-0000-0000-000052000000}"/>
    <cellStyle name="General" xfId="84" xr:uid="{00000000-0005-0000-0000-000053000000}"/>
    <cellStyle name="Good 2" xfId="85" xr:uid="{00000000-0005-0000-0000-000054000000}"/>
    <cellStyle name="GrowthRate" xfId="86" xr:uid="{00000000-0005-0000-0000-000055000000}"/>
    <cellStyle name="GrowthSeq" xfId="87" xr:uid="{00000000-0005-0000-0000-000056000000}"/>
    <cellStyle name="Hard Number Input" xfId="88" xr:uid="{00000000-0005-0000-0000-000057000000}"/>
    <cellStyle name="Heading 1 2" xfId="89" xr:uid="{00000000-0005-0000-0000-000058000000}"/>
    <cellStyle name="Heading 2 2" xfId="90" xr:uid="{00000000-0005-0000-0000-000059000000}"/>
    <cellStyle name="Heading 3 2" xfId="91" xr:uid="{00000000-0005-0000-0000-00005A000000}"/>
    <cellStyle name="Heading 4 2" xfId="92" xr:uid="{00000000-0005-0000-0000-00005B000000}"/>
    <cellStyle name="Historical Number" xfId="93" xr:uid="{00000000-0005-0000-0000-00005C000000}"/>
    <cellStyle name="iemens" xfId="94" xr:uid="{00000000-0005-0000-0000-00005D000000}"/>
    <cellStyle name="Income" xfId="95" xr:uid="{00000000-0005-0000-0000-00005E000000}"/>
    <cellStyle name="IncomeStatement" xfId="96" xr:uid="{00000000-0005-0000-0000-00005F000000}"/>
    <cellStyle name="Input 2" xfId="97" xr:uid="{00000000-0005-0000-0000-000060000000}"/>
    <cellStyle name="Input Fixed [0]" xfId="98" xr:uid="{00000000-0005-0000-0000-000061000000}"/>
    <cellStyle name="Integer" xfId="99" xr:uid="{00000000-0005-0000-0000-000062000000}"/>
    <cellStyle name="Inverse Header" xfId="100" xr:uid="{00000000-0005-0000-0000-000063000000}"/>
    <cellStyle name="Item" xfId="101" xr:uid="{00000000-0005-0000-0000-000064000000}"/>
    <cellStyle name="ItemTypeClass" xfId="102" xr:uid="{00000000-0005-0000-0000-000065000000}"/>
    <cellStyle name="Linked Cell 2" xfId="103" xr:uid="{00000000-0005-0000-0000-000066000000}"/>
    <cellStyle name="LTGR" xfId="104" xr:uid="{00000000-0005-0000-0000-000067000000}"/>
    <cellStyle name="m" xfId="105" xr:uid="{00000000-0005-0000-0000-000068000000}"/>
    <cellStyle name="m$" xfId="106" xr:uid="{00000000-0005-0000-0000-000069000000}"/>
    <cellStyle name="m_CW's MAKER MODEL" xfId="107" xr:uid="{00000000-0005-0000-0000-00006A000000}"/>
    <cellStyle name="m_valuation" xfId="108" xr:uid="{00000000-0005-0000-0000-00006B000000}"/>
    <cellStyle name="Margin" xfId="109" xr:uid="{00000000-0005-0000-0000-00006C000000}"/>
    <cellStyle name="Margins" xfId="110" xr:uid="{00000000-0005-0000-0000-00006D000000}"/>
    <cellStyle name="mm" xfId="111" xr:uid="{00000000-0005-0000-0000-00006E000000}"/>
    <cellStyle name="Multiple" xfId="112" xr:uid="{00000000-0005-0000-0000-00006F000000}"/>
    <cellStyle name="NA is zero" xfId="113" xr:uid="{00000000-0005-0000-0000-000070000000}"/>
    <cellStyle name="Neutral 2" xfId="114" xr:uid="{00000000-0005-0000-0000-000071000000}"/>
    <cellStyle name="Normal" xfId="0" builtinId="0"/>
    <cellStyle name="Normal [0]" xfId="115" xr:uid="{00000000-0005-0000-0000-000073000000}"/>
    <cellStyle name="Normal [1]" xfId="116" xr:uid="{00000000-0005-0000-0000-000074000000}"/>
    <cellStyle name="Normal [2]" xfId="117" xr:uid="{00000000-0005-0000-0000-000075000000}"/>
    <cellStyle name="Normal [3]" xfId="118" xr:uid="{00000000-0005-0000-0000-000076000000}"/>
    <cellStyle name="Normal 2" xfId="119" xr:uid="{00000000-0005-0000-0000-000077000000}"/>
    <cellStyle name="Normal Bold" xfId="120" xr:uid="{00000000-0005-0000-0000-000078000000}"/>
    <cellStyle name="Normal Pct" xfId="121" xr:uid="{00000000-0005-0000-0000-000079000000}"/>
    <cellStyle name="Normal_Matrix LBO Model v2 - Tri-State_05_EBITDA" xfId="186" xr:uid="{00000000-0005-0000-0000-00007A000000}"/>
    <cellStyle name="NormalX" xfId="122" xr:uid="{00000000-0005-0000-0000-00007B000000}"/>
    <cellStyle name="Note 2" xfId="123" xr:uid="{00000000-0005-0000-0000-00007C000000}"/>
    <cellStyle name="NPPESalesPct" xfId="124" xr:uid="{00000000-0005-0000-0000-00007D000000}"/>
    <cellStyle name="Number" xfId="125" xr:uid="{00000000-0005-0000-0000-00007E000000}"/>
    <cellStyle name="NWI%S" xfId="126" xr:uid="{00000000-0005-0000-0000-00007F000000}"/>
    <cellStyle name="Output 2" xfId="127" xr:uid="{00000000-0005-0000-0000-000080000000}"/>
    <cellStyle name="P/E" xfId="128" xr:uid="{00000000-0005-0000-0000-000081000000}"/>
    <cellStyle name="Palatino" xfId="129" xr:uid="{00000000-0005-0000-0000-000082000000}"/>
    <cellStyle name="pc1" xfId="130" xr:uid="{00000000-0005-0000-0000-000083000000}"/>
    <cellStyle name="pe" xfId="131" xr:uid="{00000000-0005-0000-0000-000084000000}"/>
    <cellStyle name="PE/LTGR" xfId="132" xr:uid="{00000000-0005-0000-0000-000085000000}"/>
    <cellStyle name="PEG" xfId="133" xr:uid="{00000000-0005-0000-0000-000086000000}"/>
    <cellStyle name="Percent [0]" xfId="134" xr:uid="{00000000-0005-0000-0000-000087000000}"/>
    <cellStyle name="Percent [1]" xfId="135" xr:uid="{00000000-0005-0000-0000-000088000000}"/>
    <cellStyle name="Percent [2]" xfId="136" xr:uid="{00000000-0005-0000-0000-000089000000}"/>
    <cellStyle name="PercentChange" xfId="137" xr:uid="{00000000-0005-0000-0000-00008A000000}"/>
    <cellStyle name="PercentPresentation" xfId="138" xr:uid="{00000000-0005-0000-0000-00008B000000}"/>
    <cellStyle name="PerShare" xfId="139" xr:uid="{00000000-0005-0000-0000-00008C000000}"/>
    <cellStyle name="POPS" xfId="140" xr:uid="{00000000-0005-0000-0000-00008D000000}"/>
    <cellStyle name="Presentation" xfId="141" xr:uid="{00000000-0005-0000-0000-00008E000000}"/>
    <cellStyle name="PresentationZero" xfId="142" xr:uid="{00000000-0005-0000-0000-00008F000000}"/>
    <cellStyle name="price" xfId="143" xr:uid="{00000000-0005-0000-0000-000090000000}"/>
    <cellStyle name="q" xfId="144" xr:uid="{00000000-0005-0000-0000-000091000000}"/>
    <cellStyle name="q_CW's MAKER MODEL" xfId="145" xr:uid="{00000000-0005-0000-0000-000092000000}"/>
    <cellStyle name="QEPS-h" xfId="146" xr:uid="{00000000-0005-0000-0000-000093000000}"/>
    <cellStyle name="QEPS-H1" xfId="147" xr:uid="{00000000-0005-0000-0000-000094000000}"/>
    <cellStyle name="qRange" xfId="148" xr:uid="{00000000-0005-0000-0000-000095000000}"/>
    <cellStyle name="range" xfId="149" xr:uid="{00000000-0005-0000-0000-000096000000}"/>
    <cellStyle name="RatioX" xfId="150" xr:uid="{00000000-0005-0000-0000-000097000000}"/>
    <cellStyle name="Report" xfId="151" xr:uid="{00000000-0005-0000-0000-000098000000}"/>
    <cellStyle name="Right" xfId="152" xr:uid="{00000000-0005-0000-0000-000099000000}"/>
    <cellStyle name="SectionHeading" xfId="153" xr:uid="{00000000-0005-0000-0000-00009A000000}"/>
    <cellStyle name="Shares" xfId="154" xr:uid="{00000000-0005-0000-0000-00009B000000}"/>
    <cellStyle name="StockPrice" xfId="155" xr:uid="{00000000-0005-0000-0000-00009C000000}"/>
    <cellStyle name="Style 1" xfId="156" xr:uid="{00000000-0005-0000-0000-00009D000000}"/>
    <cellStyle name="Style 21" xfId="157" xr:uid="{00000000-0005-0000-0000-00009E000000}"/>
    <cellStyle name="Style 22" xfId="158" xr:uid="{00000000-0005-0000-0000-00009F000000}"/>
    <cellStyle name="Style 23" xfId="159" xr:uid="{00000000-0005-0000-0000-0000A0000000}"/>
    <cellStyle name="Style 24" xfId="160" xr:uid="{00000000-0005-0000-0000-0000A1000000}"/>
    <cellStyle name="Style 26" xfId="161" xr:uid="{00000000-0005-0000-0000-0000A2000000}"/>
    <cellStyle name="Style 27" xfId="162" xr:uid="{00000000-0005-0000-0000-0000A3000000}"/>
    <cellStyle name="Style 34" xfId="163" xr:uid="{00000000-0005-0000-0000-0000A4000000}"/>
    <cellStyle name="Style 37" xfId="164" xr:uid="{00000000-0005-0000-0000-0000A5000000}"/>
    <cellStyle name="Style 63" xfId="165" xr:uid="{00000000-0005-0000-0000-0000A6000000}"/>
    <cellStyle name="SubDollar" xfId="166" xr:uid="{00000000-0005-0000-0000-0000A7000000}"/>
    <cellStyle name="SubGrowth" xfId="167" xr:uid="{00000000-0005-0000-0000-0000A8000000}"/>
    <cellStyle name="SubGrowthRate" xfId="168" xr:uid="{00000000-0005-0000-0000-0000A9000000}"/>
    <cellStyle name="SubMargins" xfId="169" xr:uid="{00000000-0005-0000-0000-0000AA000000}"/>
    <cellStyle name="SubPenetration" xfId="170" xr:uid="{00000000-0005-0000-0000-0000AB000000}"/>
    <cellStyle name="Subscribers" xfId="171" xr:uid="{00000000-0005-0000-0000-0000AC000000}"/>
    <cellStyle name="SubVariable" xfId="172" xr:uid="{00000000-0005-0000-0000-0000AD000000}"/>
    <cellStyle name="tcn" xfId="173" xr:uid="{00000000-0005-0000-0000-0000AE000000}"/>
    <cellStyle name="Times [1]" xfId="174" xr:uid="{00000000-0005-0000-0000-0000AF000000}"/>
    <cellStyle name="Times [2]" xfId="175" xr:uid="{00000000-0005-0000-0000-0000B0000000}"/>
    <cellStyle name="Title 2" xfId="176" xr:uid="{00000000-0005-0000-0000-0000B1000000}"/>
    <cellStyle name="title2" xfId="177" xr:uid="{00000000-0005-0000-0000-0000B2000000}"/>
    <cellStyle name="TitleII" xfId="178" xr:uid="{00000000-0005-0000-0000-0000B3000000}"/>
    <cellStyle name="Titles" xfId="179" xr:uid="{00000000-0005-0000-0000-0000B4000000}"/>
    <cellStyle name="TitleSub" xfId="180" xr:uid="{00000000-0005-0000-0000-0000B5000000}"/>
    <cellStyle name="tn" xfId="181" xr:uid="{00000000-0005-0000-0000-0000B6000000}"/>
    <cellStyle name="Total 2" xfId="182" xr:uid="{00000000-0005-0000-0000-0000B7000000}"/>
    <cellStyle name="Warning Text 2" xfId="183" xr:uid="{00000000-0005-0000-0000-0000B8000000}"/>
    <cellStyle name="WholeNumber" xfId="184" xr:uid="{00000000-0005-0000-0000-0000B9000000}"/>
    <cellStyle name="Year&quot;E&quot;" xfId="185" xr:uid="{00000000-0005-0000-0000-0000BA000000}"/>
  </cellStyles>
  <dxfs count="5">
    <dxf>
      <fill>
        <patternFill>
          <bgColor theme="0" tint="-0.14996795556505021"/>
        </patternFill>
      </fill>
      <border>
        <left style="dotted">
          <color auto="1"/>
        </left>
        <right style="dotted">
          <color auto="1"/>
        </right>
        <top style="dotted">
          <color auto="1"/>
        </top>
        <bottom style="dotted">
          <color auto="1"/>
        </bottom>
        <vertical/>
        <horizontal/>
      </border>
    </dxf>
    <dxf>
      <font>
        <color theme="0"/>
      </font>
    </dxf>
    <dxf>
      <font>
        <color theme="0"/>
      </font>
    </dxf>
    <dxf>
      <font>
        <color theme="0" tint="-0.14996795556505021"/>
      </font>
      <fill>
        <patternFill>
          <bgColor theme="0" tint="-0.14996795556505021"/>
        </patternFill>
      </fill>
    </dxf>
    <dxf>
      <font>
        <color theme="0" tint="-0.14996795556505021"/>
      </font>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62"/>
  <sheetViews>
    <sheetView tabSelected="1" zoomScale="130" zoomScaleNormal="130" workbookViewId="0">
      <selection activeCell="D10" sqref="D10"/>
    </sheetView>
  </sheetViews>
  <sheetFormatPr defaultRowHeight="15"/>
  <cols>
    <col min="1" max="1" width="1.7109375" style="10" customWidth="1"/>
    <col min="2" max="2" width="34.7109375" style="10" customWidth="1"/>
    <col min="3" max="10" width="15.7109375" style="10" customWidth="1"/>
    <col min="11" max="11" width="12.85546875" style="10" customWidth="1"/>
    <col min="12" max="12" width="8.7109375" style="10" customWidth="1"/>
    <col min="13" max="16384" width="9.140625" style="10"/>
  </cols>
  <sheetData>
    <row r="1" spans="2:10" ht="15.75" thickBot="1"/>
    <row r="2" spans="2:10" ht="27" thickBot="1">
      <c r="B2" s="1" t="str">
        <f>"Leveraged Buyout Model for "&amp;D6</f>
        <v>Leveraged Buyout Model for BMC</v>
      </c>
      <c r="C2" s="11"/>
      <c r="D2" s="11"/>
      <c r="E2" s="11"/>
      <c r="F2" s="11"/>
      <c r="G2" s="11"/>
      <c r="H2" s="11"/>
      <c r="I2" s="11"/>
      <c r="J2" s="11"/>
    </row>
    <row r="3" spans="2:10">
      <c r="B3" s="2" t="s">
        <v>0</v>
      </c>
      <c r="C3" s="12"/>
      <c r="F3" s="13"/>
      <c r="G3" s="13"/>
      <c r="H3" s="13"/>
      <c r="I3" s="13"/>
      <c r="J3" s="13"/>
    </row>
    <row r="4" spans="2:10">
      <c r="B4" s="14"/>
      <c r="D4" s="12"/>
    </row>
    <row r="5" spans="2:10">
      <c r="B5" s="15" t="s">
        <v>124</v>
      </c>
      <c r="C5" s="17"/>
      <c r="D5" s="17"/>
      <c r="E5" s="13"/>
      <c r="F5" s="97" t="s">
        <v>125</v>
      </c>
      <c r="G5" s="17"/>
      <c r="H5" s="17"/>
      <c r="I5" s="17"/>
      <c r="J5" s="17"/>
    </row>
    <row r="6" spans="2:10">
      <c r="B6" s="103" t="s">
        <v>1</v>
      </c>
      <c r="D6" s="3" t="s">
        <v>171</v>
      </c>
      <c r="E6" s="13"/>
    </row>
    <row r="7" spans="2:10">
      <c r="B7" s="103" t="s">
        <v>122</v>
      </c>
      <c r="D7" s="3" t="s">
        <v>171</v>
      </c>
      <c r="E7" s="13"/>
      <c r="F7" s="66" t="s">
        <v>197</v>
      </c>
      <c r="H7" s="289">
        <v>2</v>
      </c>
      <c r="I7" s="201">
        <v>1</v>
      </c>
      <c r="J7" s="202">
        <v>2</v>
      </c>
    </row>
    <row r="8" spans="2:10">
      <c r="B8" s="83" t="s">
        <v>123</v>
      </c>
      <c r="D8" s="78">
        <v>45.42</v>
      </c>
      <c r="E8" s="13"/>
      <c r="H8" s="290" t="str">
        <f>CHOOSE($H$7,I8,J8)</f>
        <v>Explicit offer/share</v>
      </c>
      <c r="I8" s="204" t="s">
        <v>199</v>
      </c>
      <c r="J8" s="204" t="s">
        <v>200</v>
      </c>
    </row>
    <row r="9" spans="2:10">
      <c r="B9" s="103" t="s">
        <v>196</v>
      </c>
      <c r="D9" s="5">
        <v>41400</v>
      </c>
      <c r="E9" s="13"/>
      <c r="H9" s="13"/>
    </row>
    <row r="10" spans="2:10">
      <c r="B10" s="83" t="s">
        <v>2</v>
      </c>
      <c r="D10" s="7" t="s">
        <v>3</v>
      </c>
      <c r="E10" s="13"/>
      <c r="F10" s="6" t="s">
        <v>68</v>
      </c>
      <c r="H10" s="298">
        <f>$D$13</f>
        <v>882.70000000000027</v>
      </c>
      <c r="I10" s="190">
        <f>$D$13</f>
        <v>882.70000000000027</v>
      </c>
      <c r="J10" s="190">
        <f>$D$13</f>
        <v>882.70000000000027</v>
      </c>
    </row>
    <row r="11" spans="2:10">
      <c r="E11" s="13"/>
      <c r="F11" s="6" t="s">
        <v>119</v>
      </c>
      <c r="H11" s="292">
        <f>CHOOSE($H$7,I11,J11)</f>
        <v>7.6773833125637223</v>
      </c>
      <c r="I11" s="197">
        <v>8</v>
      </c>
      <c r="J11" s="198">
        <f>J12/J10</f>
        <v>7.6773833125637223</v>
      </c>
    </row>
    <row r="12" spans="2:10">
      <c r="B12" s="15" t="s">
        <v>238</v>
      </c>
      <c r="C12" s="17"/>
      <c r="D12" s="15"/>
      <c r="E12" s="13"/>
      <c r="F12" s="4" t="s">
        <v>56</v>
      </c>
      <c r="H12" s="293">
        <f>D13*H11</f>
        <v>6776.8262500000001</v>
      </c>
      <c r="I12" s="269">
        <f>I10*I11</f>
        <v>7061.6000000000022</v>
      </c>
      <c r="J12" s="269">
        <f>J17-J14-J15</f>
        <v>6776.8262500000001</v>
      </c>
    </row>
    <row r="13" spans="2:10">
      <c r="B13" s="83" t="s">
        <v>236</v>
      </c>
      <c r="D13" s="195">
        <f>E60</f>
        <v>882.70000000000027</v>
      </c>
      <c r="E13" s="13"/>
      <c r="H13" s="294"/>
    </row>
    <row r="14" spans="2:10">
      <c r="B14" s="83" t="s">
        <v>248</v>
      </c>
      <c r="D14" s="163">
        <v>-1306</v>
      </c>
      <c r="E14" s="13"/>
      <c r="F14" s="83" t="s">
        <v>195</v>
      </c>
      <c r="H14" s="295">
        <f>$D$14</f>
        <v>-1306</v>
      </c>
      <c r="I14" s="203">
        <f>$D$14</f>
        <v>-1306</v>
      </c>
      <c r="J14" s="203">
        <f>$D$14</f>
        <v>-1306</v>
      </c>
    </row>
    <row r="15" spans="2:10">
      <c r="B15" s="83" t="s">
        <v>47</v>
      </c>
      <c r="D15" s="163">
        <v>1581.9</v>
      </c>
      <c r="E15" s="13"/>
      <c r="F15" s="83" t="s">
        <v>193</v>
      </c>
      <c r="H15" s="295">
        <f>$D$15</f>
        <v>1581.9</v>
      </c>
      <c r="I15" s="203">
        <f>$D$15</f>
        <v>1581.9</v>
      </c>
      <c r="J15" s="203">
        <f>$D$15</f>
        <v>1581.9</v>
      </c>
    </row>
    <row r="16" spans="2:10">
      <c r="B16" s="37" t="s">
        <v>237</v>
      </c>
      <c r="D16" s="135">
        <v>180</v>
      </c>
      <c r="E16" s="13"/>
      <c r="H16" s="294"/>
    </row>
    <row r="17" spans="2:18">
      <c r="B17" s="83" t="s">
        <v>198</v>
      </c>
      <c r="D17" s="326">
        <v>7.3</v>
      </c>
      <c r="E17" s="13"/>
      <c r="F17" s="4" t="s">
        <v>70</v>
      </c>
      <c r="H17" s="296">
        <f>H12+SUM(H14:H15)</f>
        <v>7052.7262499999997</v>
      </c>
      <c r="I17" s="269">
        <f>I12+SUM(I14:I15)</f>
        <v>7337.5000000000018</v>
      </c>
      <c r="J17" s="269">
        <f>J18*J20</f>
        <v>7052.7262500000006</v>
      </c>
    </row>
    <row r="18" spans="2:18">
      <c r="C18" s="181"/>
      <c r="F18" s="10" t="s">
        <v>18</v>
      </c>
      <c r="H18" s="297">
        <f>Shares!$E$14</f>
        <v>152.49137837837839</v>
      </c>
      <c r="I18" s="199">
        <f>Shares!$E$14</f>
        <v>152.49137837837839</v>
      </c>
      <c r="J18" s="199">
        <f>Shares!$E$14</f>
        <v>152.49137837837839</v>
      </c>
      <c r="K18" s="200"/>
      <c r="L18" s="200"/>
    </row>
    <row r="19" spans="2:18">
      <c r="B19" s="97" t="s">
        <v>159</v>
      </c>
      <c r="C19" s="17"/>
      <c r="D19" s="17"/>
      <c r="H19" s="294"/>
      <c r="K19" s="200"/>
      <c r="L19" s="200"/>
    </row>
    <row r="20" spans="2:18">
      <c r="B20" s="35" t="s">
        <v>71</v>
      </c>
      <c r="D20" s="85">
        <f>H17</f>
        <v>7052.7262499999997</v>
      </c>
      <c r="F20" s="4" t="s">
        <v>120</v>
      </c>
      <c r="H20" s="300">
        <f>H17/H18</f>
        <v>46.249999999999993</v>
      </c>
      <c r="I20" s="237">
        <f>I17/I18</f>
        <v>48.117474430543801</v>
      </c>
      <c r="J20" s="301">
        <v>46.25</v>
      </c>
      <c r="K20" s="200"/>
      <c r="L20" s="200"/>
    </row>
    <row r="21" spans="2:18">
      <c r="B21" s="35" t="s">
        <v>73</v>
      </c>
      <c r="D21" s="85">
        <f>-(D14)</f>
        <v>1306</v>
      </c>
      <c r="F21" s="102" t="s">
        <v>121</v>
      </c>
      <c r="H21" s="299">
        <f>H20/$D$8-1</f>
        <v>1.8273888154997531E-2</v>
      </c>
      <c r="I21" s="200">
        <f>I20/$D$8-1</f>
        <v>5.9389573547860008E-2</v>
      </c>
      <c r="J21" s="200">
        <f>J20/$D$8-1</f>
        <v>1.8273888154997753E-2</v>
      </c>
      <c r="K21" s="200"/>
      <c r="L21" s="200"/>
    </row>
    <row r="22" spans="2:18">
      <c r="B22" s="35" t="s">
        <v>243</v>
      </c>
      <c r="D22" s="302">
        <f>H36+H33</f>
        <v>210.74369000000002</v>
      </c>
      <c r="H22" s="102"/>
      <c r="J22" s="196"/>
      <c r="K22" s="200"/>
      <c r="L22" s="200"/>
    </row>
    <row r="23" spans="2:18">
      <c r="B23" s="26" t="s">
        <v>75</v>
      </c>
      <c r="D23" s="108">
        <f>SUM(D20:D22)</f>
        <v>8569.469939999999</v>
      </c>
      <c r="H23" s="102"/>
      <c r="J23" s="196"/>
      <c r="K23" s="200"/>
      <c r="L23" s="200"/>
    </row>
    <row r="24" spans="2:18">
      <c r="C24" s="181"/>
      <c r="H24" s="102"/>
      <c r="J24" s="196"/>
      <c r="K24" s="200"/>
      <c r="L24" s="200"/>
    </row>
    <row r="25" spans="2:18">
      <c r="B25" s="97" t="s">
        <v>158</v>
      </c>
      <c r="C25" s="17"/>
      <c r="D25" s="17"/>
      <c r="E25" s="13"/>
      <c r="F25" s="15" t="s">
        <v>239</v>
      </c>
      <c r="G25" s="17"/>
      <c r="H25" s="17"/>
      <c r="I25" s="17"/>
      <c r="J25" s="17"/>
    </row>
    <row r="26" spans="2:18" ht="16.5">
      <c r="C26" s="104" t="s">
        <v>130</v>
      </c>
      <c r="D26" s="105" t="s">
        <v>131</v>
      </c>
      <c r="G26" s="248" t="s">
        <v>226</v>
      </c>
      <c r="H26" s="248" t="s">
        <v>241</v>
      </c>
      <c r="I26" s="248" t="s">
        <v>225</v>
      </c>
      <c r="J26" s="248" t="s">
        <v>228</v>
      </c>
    </row>
    <row r="27" spans="2:18">
      <c r="B27" s="83" t="s">
        <v>72</v>
      </c>
      <c r="C27" s="275">
        <f>D27/$D$13</f>
        <v>1.5881953098447941</v>
      </c>
      <c r="D27" s="82">
        <f>MAX(0,D15-D16)</f>
        <v>1401.9</v>
      </c>
      <c r="F27" s="66" t="s">
        <v>224</v>
      </c>
    </row>
    <row r="28" spans="2:18">
      <c r="B28" s="83" t="s">
        <v>29</v>
      </c>
      <c r="C28" s="276">
        <v>0</v>
      </c>
      <c r="D28" s="85">
        <f t="shared" ref="D28:D34" si="0">$D$13*C28</f>
        <v>0</v>
      </c>
      <c r="F28" s="37" t="str">
        <f>B28</f>
        <v>Revolver</v>
      </c>
      <c r="G28" s="178">
        <v>0.01</v>
      </c>
      <c r="H28" s="82">
        <f>D28*G28</f>
        <v>0</v>
      </c>
      <c r="I28" s="274">
        <v>5</v>
      </c>
      <c r="J28" s="246">
        <f>IFERROR(G28*D28/I28, "NM")</f>
        <v>0</v>
      </c>
    </row>
    <row r="29" spans="2:18">
      <c r="B29" s="32" t="s">
        <v>86</v>
      </c>
      <c r="C29" s="277">
        <v>3.27</v>
      </c>
      <c r="D29" s="85">
        <f t="shared" si="0"/>
        <v>2886.429000000001</v>
      </c>
      <c r="F29" s="37" t="str">
        <f>B29</f>
        <v>Term Loan A</v>
      </c>
      <c r="G29" s="178">
        <v>1.4999999999999999E-2</v>
      </c>
      <c r="H29" s="82">
        <f>D29*G29</f>
        <v>43.296435000000017</v>
      </c>
      <c r="I29" s="274">
        <v>7</v>
      </c>
      <c r="J29" s="246">
        <f>IFERROR(G29*D29/I29, "NM")</f>
        <v>6.1852050000000025</v>
      </c>
    </row>
    <row r="30" spans="2:18">
      <c r="B30" s="32" t="s">
        <v>87</v>
      </c>
      <c r="C30" s="277">
        <v>0.76</v>
      </c>
      <c r="D30" s="85">
        <f t="shared" si="0"/>
        <v>670.8520000000002</v>
      </c>
      <c r="F30" s="37" t="str">
        <f>B30</f>
        <v>Term Loan B</v>
      </c>
      <c r="G30" s="178">
        <v>1.4999999999999999E-2</v>
      </c>
      <c r="H30" s="82">
        <f>D30*G30</f>
        <v>10.062780000000002</v>
      </c>
      <c r="I30" s="274">
        <v>7</v>
      </c>
      <c r="J30" s="246">
        <f>IFERROR(G30*D30/I30, "NM")</f>
        <v>1.4375400000000003</v>
      </c>
      <c r="P30" s="26"/>
      <c r="R30" s="108"/>
    </row>
    <row r="31" spans="2:18">
      <c r="B31" s="32" t="s">
        <v>88</v>
      </c>
      <c r="C31" s="277">
        <v>1.85</v>
      </c>
      <c r="D31" s="85">
        <f t="shared" si="0"/>
        <v>1632.9950000000006</v>
      </c>
      <c r="F31" s="37" t="str">
        <f>B31</f>
        <v>Senior Note</v>
      </c>
      <c r="G31" s="178">
        <v>0.01</v>
      </c>
      <c r="H31" s="82">
        <f>D31*G31</f>
        <v>16.329950000000007</v>
      </c>
      <c r="I31" s="274">
        <v>8</v>
      </c>
      <c r="J31" s="246">
        <f>IFERROR(G31*D31/I31, "NM")</f>
        <v>2.0412437500000009</v>
      </c>
      <c r="P31" s="26"/>
      <c r="R31" s="108"/>
    </row>
    <row r="32" spans="2:18">
      <c r="B32" s="32" t="s">
        <v>89</v>
      </c>
      <c r="C32" s="277">
        <v>0</v>
      </c>
      <c r="D32" s="85">
        <f t="shared" si="0"/>
        <v>0</v>
      </c>
      <c r="F32" s="37" t="str">
        <f>B32</f>
        <v>Sub Note</v>
      </c>
      <c r="G32" s="178">
        <v>0</v>
      </c>
      <c r="H32" s="193">
        <f>D32*G32</f>
        <v>0</v>
      </c>
      <c r="I32" s="274">
        <v>0</v>
      </c>
      <c r="J32" s="280" t="str">
        <f>IFERROR(G32*D32/I32, "NM")</f>
        <v>NM</v>
      </c>
      <c r="P32" s="26"/>
      <c r="R32" s="108"/>
    </row>
    <row r="33" spans="1:18">
      <c r="B33" s="32" t="s">
        <v>114</v>
      </c>
      <c r="C33" s="277">
        <v>0</v>
      </c>
      <c r="D33" s="85">
        <f t="shared" si="0"/>
        <v>0</v>
      </c>
      <c r="F33" s="281" t="s">
        <v>224</v>
      </c>
      <c r="H33" s="175">
        <f>SUM(H28:H32)</f>
        <v>69.689165000000031</v>
      </c>
      <c r="I33" s="69"/>
      <c r="J33" s="82">
        <f>SUM(J28:J32)</f>
        <v>9.6639887500000032</v>
      </c>
      <c r="P33" s="26"/>
      <c r="R33" s="108"/>
    </row>
    <row r="34" spans="1:18">
      <c r="B34" s="35" t="s">
        <v>161</v>
      </c>
      <c r="C34" s="278">
        <v>0</v>
      </c>
      <c r="D34" s="225">
        <f t="shared" si="0"/>
        <v>0</v>
      </c>
      <c r="H34" s="175"/>
      <c r="J34" s="82"/>
      <c r="P34" s="26"/>
      <c r="R34" s="108"/>
    </row>
    <row r="35" spans="1:18" ht="16.5">
      <c r="B35" s="32" t="s">
        <v>74</v>
      </c>
      <c r="C35" s="275">
        <f>D35/$D$13</f>
        <v>2.2400520448623498</v>
      </c>
      <c r="D35" s="193">
        <f>D23-SUM(D27:D34)</f>
        <v>1977.2939399999968</v>
      </c>
      <c r="F35" s="37"/>
      <c r="G35" s="248" t="s">
        <v>240</v>
      </c>
      <c r="H35" s="248" t="s">
        <v>241</v>
      </c>
      <c r="P35" s="26"/>
      <c r="R35" s="108"/>
    </row>
    <row r="36" spans="1:18">
      <c r="B36" s="47" t="s">
        <v>132</v>
      </c>
      <c r="C36" s="279">
        <f>SUM(C27:C35)</f>
        <v>9.7082473547071437</v>
      </c>
      <c r="D36" s="230">
        <f>SUM(D27:D35)</f>
        <v>8569.469939999999</v>
      </c>
      <c r="F36" s="281" t="s">
        <v>242</v>
      </c>
      <c r="G36" s="282">
        <v>0.02</v>
      </c>
      <c r="H36" s="175">
        <f>G36*H17</f>
        <v>141.05452499999998</v>
      </c>
    </row>
    <row r="37" spans="1:18">
      <c r="E37" s="13"/>
      <c r="K37" s="13"/>
    </row>
    <row r="38" spans="1:18">
      <c r="A38" s="10" t="s">
        <v>55</v>
      </c>
      <c r="B38" s="15" t="s">
        <v>4</v>
      </c>
      <c r="C38" s="16"/>
      <c r="D38" s="17"/>
      <c r="E38" s="17"/>
      <c r="F38" s="17"/>
      <c r="G38" s="17"/>
      <c r="H38" s="17"/>
      <c r="I38" s="17"/>
      <c r="J38" s="17"/>
      <c r="K38" s="13"/>
    </row>
    <row r="39" spans="1:18">
      <c r="B39" s="13" t="s">
        <v>5</v>
      </c>
      <c r="C39" s="18">
        <f>D39-1</f>
        <v>2011</v>
      </c>
      <c r="D39" s="18">
        <f>E39-1</f>
        <v>2012</v>
      </c>
      <c r="E39" s="18">
        <f>YEAR(E40)</f>
        <v>2013</v>
      </c>
      <c r="F39" s="19">
        <f>E39+1</f>
        <v>2014</v>
      </c>
      <c r="G39" s="19">
        <f>F39+1</f>
        <v>2015</v>
      </c>
      <c r="H39" s="19">
        <f>G39+1</f>
        <v>2016</v>
      </c>
      <c r="I39" s="19">
        <f>H39+1</f>
        <v>2017</v>
      </c>
      <c r="J39" s="19">
        <f>I39+1</f>
        <v>2018</v>
      </c>
      <c r="K39" s="13"/>
    </row>
    <row r="40" spans="1:18">
      <c r="B40" s="20" t="s">
        <v>6</v>
      </c>
      <c r="C40" s="21">
        <v>40633</v>
      </c>
      <c r="D40" s="21">
        <v>40999</v>
      </c>
      <c r="E40" s="21">
        <v>41364</v>
      </c>
      <c r="F40" s="22">
        <f>EOMONTH(E40,12)</f>
        <v>41729</v>
      </c>
      <c r="G40" s="22">
        <f>EOMONTH(F40,12)</f>
        <v>42094</v>
      </c>
      <c r="H40" s="22">
        <f>EOMONTH(G40,12)</f>
        <v>42460</v>
      </c>
      <c r="I40" s="22">
        <f>EOMONTH(H40,12)</f>
        <v>42825</v>
      </c>
      <c r="J40" s="22">
        <f>EOMONTH(I40,12)</f>
        <v>43190</v>
      </c>
      <c r="K40" s="13"/>
    </row>
    <row r="41" spans="1:18">
      <c r="B41" s="23"/>
      <c r="C41" s="24"/>
      <c r="D41" s="24"/>
      <c r="E41" s="25"/>
      <c r="F41" s="25"/>
      <c r="G41" s="25"/>
      <c r="H41" s="25"/>
      <c r="I41" s="25"/>
      <c r="J41" s="25"/>
      <c r="K41" s="13"/>
    </row>
    <row r="42" spans="1:18">
      <c r="B42" s="13" t="s">
        <v>7</v>
      </c>
      <c r="C42" s="169">
        <v>2065.3000000000002</v>
      </c>
      <c r="D42" s="169">
        <v>2172</v>
      </c>
      <c r="E42" s="169">
        <v>2201.4</v>
      </c>
      <c r="F42" s="170">
        <f>E42*(1+F63)</f>
        <v>2278.4490000000001</v>
      </c>
      <c r="G42" s="170">
        <f>F42*(1+G63)</f>
        <v>2403.7636950000001</v>
      </c>
      <c r="H42" s="170">
        <f>G42*(1+H63)</f>
        <v>2547.9895167000004</v>
      </c>
      <c r="I42" s="170">
        <f>H42*(1+I63)</f>
        <v>2675.3889925350004</v>
      </c>
      <c r="J42" s="170">
        <f>I42*(1+J63)</f>
        <v>2803.8076641766806</v>
      </c>
    </row>
    <row r="43" spans="1:18">
      <c r="B43" s="13" t="s">
        <v>8</v>
      </c>
      <c r="C43" s="169">
        <f>-(129.8+169.4+186)</f>
        <v>-485.20000000000005</v>
      </c>
      <c r="D43" s="169">
        <f>-(158.4+198.5+212)</f>
        <v>-568.9</v>
      </c>
      <c r="E43" s="169">
        <f>-(159.6+208.4+224)</f>
        <v>-592</v>
      </c>
      <c r="F43" s="170">
        <f>F44-F42</f>
        <v>-581.59219970234994</v>
      </c>
      <c r="G43" s="170">
        <f>G44-G42</f>
        <v>-601.56095221097917</v>
      </c>
      <c r="H43" s="170">
        <f>H44-H42</f>
        <v>-624.91466176013796</v>
      </c>
      <c r="I43" s="170">
        <f>I44-I42</f>
        <v>-642.78344988546974</v>
      </c>
      <c r="J43" s="170">
        <f>J44-J42</f>
        <v>-659.61801715908905</v>
      </c>
    </row>
    <row r="44" spans="1:18">
      <c r="B44" s="26" t="s">
        <v>9</v>
      </c>
      <c r="C44" s="168">
        <f>SUM(C42:C43)</f>
        <v>1580.1000000000001</v>
      </c>
      <c r="D44" s="168">
        <f>SUM(D42:D43)</f>
        <v>1603.1</v>
      </c>
      <c r="E44" s="168">
        <f>SUM(E42:E43)</f>
        <v>1609.4</v>
      </c>
      <c r="F44" s="168">
        <f>F42*F64</f>
        <v>1696.8568002976501</v>
      </c>
      <c r="G44" s="168">
        <f>G42*G64</f>
        <v>1802.2027427890209</v>
      </c>
      <c r="H44" s="168">
        <f>H42*H64</f>
        <v>1923.0748549398625</v>
      </c>
      <c r="I44" s="168">
        <f>I42*I64</f>
        <v>2032.6055426495307</v>
      </c>
      <c r="J44" s="168">
        <f>J42*J64</f>
        <v>2144.1896470175916</v>
      </c>
    </row>
    <row r="45" spans="1:18">
      <c r="B45" s="27" t="s">
        <v>10</v>
      </c>
      <c r="C45" s="169">
        <v>-181.6</v>
      </c>
      <c r="D45" s="169">
        <v>-165.2</v>
      </c>
      <c r="E45" s="169">
        <v>-174.6</v>
      </c>
      <c r="F45" s="170">
        <f>-(F65*F42)</f>
        <v>-184.78313334862591</v>
      </c>
      <c r="G45" s="170">
        <f>-(G65*G42)</f>
        <v>-194.94620568280035</v>
      </c>
      <c r="H45" s="170">
        <f>-(H65*H42)</f>
        <v>-206.64297802376839</v>
      </c>
      <c r="I45" s="170">
        <f>-(I65*I42)</f>
        <v>-216.97512692495681</v>
      </c>
      <c r="J45" s="170">
        <f>-(J65*J42)</f>
        <v>-227.38993301735476</v>
      </c>
    </row>
    <row r="46" spans="1:18">
      <c r="B46" s="27" t="s">
        <v>11</v>
      </c>
      <c r="C46" s="169">
        <f>-(611.4+220.7+33.6)</f>
        <v>-865.69999999999993</v>
      </c>
      <c r="D46" s="169">
        <f>-(634+217.9+42.1)</f>
        <v>-894</v>
      </c>
      <c r="E46" s="169">
        <f>-(686.9+238.7+43.8)</f>
        <v>-969.39999999999986</v>
      </c>
      <c r="F46" s="170">
        <f>-F66*F42</f>
        <v>-965.39603068528015</v>
      </c>
      <c r="G46" s="170">
        <f>-G66*G42</f>
        <v>-994.45517542297057</v>
      </c>
      <c r="H46" s="170">
        <f>-H66*H42</f>
        <v>-1028.6425907813489</v>
      </c>
      <c r="I46" s="170">
        <f>-I66*I42</f>
        <v>-1053.3208303950664</v>
      </c>
      <c r="J46" s="170">
        <f>-J66*J42</f>
        <v>-1075.8421536122628</v>
      </c>
    </row>
    <row r="47" spans="1:18">
      <c r="B47" s="26" t="s">
        <v>12</v>
      </c>
      <c r="C47" s="168">
        <f t="shared" ref="C47:J47" si="1">SUM(C44:C46)</f>
        <v>532.8000000000003</v>
      </c>
      <c r="D47" s="168">
        <f t="shared" si="1"/>
        <v>543.89999999999986</v>
      </c>
      <c r="E47" s="168">
        <f t="shared" si="1"/>
        <v>465.40000000000032</v>
      </c>
      <c r="F47" s="168">
        <f t="shared" si="1"/>
        <v>546.67763626374415</v>
      </c>
      <c r="G47" s="168">
        <f t="shared" si="1"/>
        <v>612.80136168324998</v>
      </c>
      <c r="H47" s="168">
        <f t="shared" si="1"/>
        <v>687.78928613474523</v>
      </c>
      <c r="I47" s="168">
        <f t="shared" si="1"/>
        <v>762.3095853295074</v>
      </c>
      <c r="J47" s="168">
        <f t="shared" si="1"/>
        <v>840.95756038797413</v>
      </c>
      <c r="K47" s="43"/>
    </row>
    <row r="48" spans="1:18">
      <c r="B48" s="13" t="s">
        <v>13</v>
      </c>
      <c r="C48" s="169">
        <v>15</v>
      </c>
      <c r="D48" s="169">
        <v>10.6</v>
      </c>
      <c r="E48" s="169">
        <v>8.3000000000000007</v>
      </c>
      <c r="F48" s="85">
        <f ca="1">F143</f>
        <v>0.92867132867132884</v>
      </c>
      <c r="G48" s="85">
        <f ca="1">G143</f>
        <v>0.92867132867132884</v>
      </c>
      <c r="H48" s="85">
        <f ca="1">H143</f>
        <v>0.92867132867132884</v>
      </c>
      <c r="I48" s="85">
        <f ca="1">I143</f>
        <v>0.92867132867132884</v>
      </c>
      <c r="J48" s="85">
        <f ca="1">J143</f>
        <v>0.92867132867132884</v>
      </c>
    </row>
    <row r="49" spans="2:11">
      <c r="B49" s="13" t="s">
        <v>14</v>
      </c>
      <c r="C49" s="169">
        <v>-19.8</v>
      </c>
      <c r="D49" s="169">
        <v>-23.3</v>
      </c>
      <c r="E49" s="169">
        <v>-47.8</v>
      </c>
      <c r="F49" s="340">
        <f ca="1">-(SUM(F204:F209))+F195</f>
        <v>-306.60524954648014</v>
      </c>
      <c r="G49" s="340">
        <f t="shared" ref="G49:J49" ca="1" si="2">-(SUM(G204:G209))+G195</f>
        <v>-285.61887367565583</v>
      </c>
      <c r="H49" s="340">
        <f t="shared" ca="1" si="2"/>
        <v>-266.57161563959426</v>
      </c>
      <c r="I49" s="340">
        <f t="shared" ca="1" si="2"/>
        <v>-240.63457352062738</v>
      </c>
      <c r="J49" s="340">
        <f t="shared" ca="1" si="2"/>
        <v>-202.17023505497713</v>
      </c>
    </row>
    <row r="50" spans="2:11">
      <c r="B50" s="27" t="s">
        <v>172</v>
      </c>
      <c r="C50" s="169">
        <v>3.3</v>
      </c>
      <c r="D50" s="169">
        <v>-1.2</v>
      </c>
      <c r="E50" s="169">
        <v>2</v>
      </c>
      <c r="F50" s="85">
        <v>0</v>
      </c>
      <c r="G50" s="85">
        <v>0</v>
      </c>
      <c r="H50" s="85">
        <v>0</v>
      </c>
      <c r="I50" s="85">
        <v>0</v>
      </c>
      <c r="J50" s="85">
        <v>0</v>
      </c>
    </row>
    <row r="51" spans="2:11">
      <c r="B51" s="26" t="s">
        <v>15</v>
      </c>
      <c r="C51" s="168">
        <f t="shared" ref="C51:J51" si="3">SUM(C47:C50)</f>
        <v>531.3000000000003</v>
      </c>
      <c r="D51" s="168">
        <f t="shared" si="3"/>
        <v>529.99999999999989</v>
      </c>
      <c r="E51" s="168">
        <f t="shared" si="3"/>
        <v>427.90000000000032</v>
      </c>
      <c r="F51" s="168">
        <f ca="1">SUM(F47:F50)</f>
        <v>241.00105804593539</v>
      </c>
      <c r="G51" s="168">
        <f t="shared" ca="1" si="3"/>
        <v>328.11115933626553</v>
      </c>
      <c r="H51" s="168">
        <f t="shared" ca="1" si="3"/>
        <v>422.14634182382235</v>
      </c>
      <c r="I51" s="168">
        <f t="shared" ca="1" si="3"/>
        <v>522.60368313755134</v>
      </c>
      <c r="J51" s="168">
        <f t="shared" ca="1" si="3"/>
        <v>639.71599666166844</v>
      </c>
    </row>
    <row r="52" spans="2:11">
      <c r="B52" s="13" t="s">
        <v>16</v>
      </c>
      <c r="C52" s="169">
        <v>-75.099999999999994</v>
      </c>
      <c r="D52" s="169">
        <v>-129</v>
      </c>
      <c r="E52" s="169">
        <v>-96.9</v>
      </c>
      <c r="F52" s="170">
        <f ca="1">-F67*F51</f>
        <v>-54.575841375674514</v>
      </c>
      <c r="G52" s="170">
        <f ca="1">-G67*G51</f>
        <v>-74.30234012545948</v>
      </c>
      <c r="H52" s="170">
        <f ca="1">-H67*H51</f>
        <v>-95.597056608385984</v>
      </c>
      <c r="I52" s="170">
        <f ca="1">-I67*I51</f>
        <v>-118.34610164998526</v>
      </c>
      <c r="J52" s="170">
        <f ca="1">-J67*J51</f>
        <v>-144.86674474530412</v>
      </c>
    </row>
    <row r="53" spans="2:11">
      <c r="B53" s="26" t="s">
        <v>17</v>
      </c>
      <c r="C53" s="171">
        <f t="shared" ref="C53:J53" si="4">SUM(C51:C52)</f>
        <v>456.20000000000027</v>
      </c>
      <c r="D53" s="171">
        <f t="shared" si="4"/>
        <v>400.99999999999989</v>
      </c>
      <c r="E53" s="171">
        <f t="shared" si="4"/>
        <v>331.00000000000034</v>
      </c>
      <c r="F53" s="171">
        <f t="shared" ca="1" si="4"/>
        <v>186.42521667026088</v>
      </c>
      <c r="G53" s="171">
        <f t="shared" ca="1" si="4"/>
        <v>253.80881921080606</v>
      </c>
      <c r="H53" s="171">
        <f t="shared" ca="1" si="4"/>
        <v>326.54928521543638</v>
      </c>
      <c r="I53" s="171">
        <f t="shared" ca="1" si="4"/>
        <v>404.25758148756609</v>
      </c>
      <c r="J53" s="171">
        <f t="shared" ca="1" si="4"/>
        <v>494.84925191636432</v>
      </c>
    </row>
    <row r="54" spans="2:11">
      <c r="C54" s="43"/>
      <c r="D54" s="43"/>
      <c r="E54" s="43"/>
      <c r="F54" s="43"/>
      <c r="G54" s="43"/>
      <c r="H54" s="43"/>
      <c r="I54" s="43"/>
      <c r="J54" s="43"/>
    </row>
    <row r="55" spans="2:11">
      <c r="B55" s="36" t="s">
        <v>177</v>
      </c>
      <c r="C55" s="43"/>
      <c r="D55" s="43"/>
      <c r="E55" s="43"/>
      <c r="F55" s="43"/>
      <c r="G55" s="43"/>
      <c r="H55" s="43"/>
      <c r="I55" s="43"/>
      <c r="J55" s="43"/>
    </row>
    <row r="56" spans="2:11">
      <c r="B56" s="56" t="s">
        <v>176</v>
      </c>
      <c r="C56" s="82">
        <f t="shared" ref="C56:J56" si="5">C47</f>
        <v>532.8000000000003</v>
      </c>
      <c r="D56" s="82">
        <f t="shared" si="5"/>
        <v>543.89999999999986</v>
      </c>
      <c r="E56" s="82">
        <f t="shared" si="5"/>
        <v>465.40000000000032</v>
      </c>
      <c r="F56" s="82">
        <f t="shared" si="5"/>
        <v>546.67763626374415</v>
      </c>
      <c r="G56" s="82">
        <f t="shared" si="5"/>
        <v>612.80136168324998</v>
      </c>
      <c r="H56" s="82">
        <f t="shared" si="5"/>
        <v>687.78928613474523</v>
      </c>
      <c r="I56" s="82">
        <f t="shared" si="5"/>
        <v>762.3095853295074</v>
      </c>
      <c r="J56" s="82">
        <f t="shared" si="5"/>
        <v>840.95756038797413</v>
      </c>
    </row>
    <row r="57" spans="2:11">
      <c r="B57" s="37" t="s">
        <v>37</v>
      </c>
      <c r="C57" s="174">
        <v>190</v>
      </c>
      <c r="D57" s="174">
        <f>224.6</f>
        <v>224.6</v>
      </c>
      <c r="E57" s="174">
        <f>229</f>
        <v>229</v>
      </c>
      <c r="F57" s="82">
        <f>-(F97+F91+F103)</f>
        <v>223.94686822877298</v>
      </c>
      <c r="G57" s="82">
        <f>-(G97+G91+G103)</f>
        <v>220.60103174603177</v>
      </c>
      <c r="H57" s="82">
        <f>-(H97+H91+H103)</f>
        <v>222.40078105316201</v>
      </c>
      <c r="I57" s="82">
        <f>-(I97+I91+I103)</f>
        <v>224.19373141849334</v>
      </c>
      <c r="J57" s="82">
        <f>-(J97+J91+J103)</f>
        <v>223.00000000000003</v>
      </c>
    </row>
    <row r="58" spans="2:11">
      <c r="B58" s="37" t="s">
        <v>26</v>
      </c>
      <c r="C58" s="172">
        <v>106.5</v>
      </c>
      <c r="D58" s="172">
        <v>127.2</v>
      </c>
      <c r="E58" s="172">
        <v>147.4</v>
      </c>
      <c r="F58" s="82">
        <f>-(F68*SUM(F43,F45,F46))</f>
        <v>161.0547368274718</v>
      </c>
      <c r="G58" s="82">
        <f>-(G68*SUM(G43,G45,G46))</f>
        <v>162.08209116516588</v>
      </c>
      <c r="H58" s="82">
        <f>-(H68*SUM(H43,H45,H46))</f>
        <v>163.69762028974245</v>
      </c>
      <c r="I58" s="82">
        <f>-(I68*SUM(I43,I45,I46))</f>
        <v>163.56828931606964</v>
      </c>
      <c r="J58" s="82">
        <f>-(J68*SUM(J43,J45,J46))</f>
        <v>162.91655861446264</v>
      </c>
    </row>
    <row r="59" spans="2:11">
      <c r="B59" s="37" t="s">
        <v>173</v>
      </c>
      <c r="C59" s="172">
        <v>14.3</v>
      </c>
      <c r="D59" s="172">
        <v>10.8</v>
      </c>
      <c r="E59" s="172">
        <f>36+4.9</f>
        <v>40.9</v>
      </c>
      <c r="F59" s="172">
        <v>16</v>
      </c>
      <c r="G59" s="172">
        <v>5</v>
      </c>
      <c r="H59" s="172">
        <v>5</v>
      </c>
      <c r="I59" s="172">
        <v>0</v>
      </c>
      <c r="J59" s="172">
        <v>0</v>
      </c>
    </row>
    <row r="60" spans="2:11">
      <c r="B60" s="91" t="s">
        <v>27</v>
      </c>
      <c r="C60" s="173">
        <f t="shared" ref="C60:J60" si="6">SUM(C56:C59)</f>
        <v>843.60000000000025</v>
      </c>
      <c r="D60" s="173">
        <f t="shared" si="6"/>
        <v>906.49999999999989</v>
      </c>
      <c r="E60" s="173">
        <f t="shared" si="6"/>
        <v>882.70000000000027</v>
      </c>
      <c r="F60" s="173">
        <f t="shared" si="6"/>
        <v>947.67924131998893</v>
      </c>
      <c r="G60" s="173">
        <f t="shared" si="6"/>
        <v>1000.4844845944476</v>
      </c>
      <c r="H60" s="173">
        <f t="shared" si="6"/>
        <v>1078.8876874776497</v>
      </c>
      <c r="I60" s="173">
        <f t="shared" si="6"/>
        <v>1150.0716060640705</v>
      </c>
      <c r="J60" s="173">
        <f t="shared" si="6"/>
        <v>1226.8741190024368</v>
      </c>
    </row>
    <row r="61" spans="2:11">
      <c r="B61" s="38"/>
      <c r="C61" s="39"/>
      <c r="D61" s="39"/>
      <c r="E61" s="39"/>
      <c r="F61" s="39"/>
      <c r="G61" s="39"/>
      <c r="H61" s="39"/>
      <c r="I61" s="39"/>
      <c r="J61" s="39"/>
    </row>
    <row r="62" spans="2:11">
      <c r="B62" s="31" t="s">
        <v>19</v>
      </c>
      <c r="F62" s="82" t="s">
        <v>253</v>
      </c>
      <c r="K62" s="76" t="s">
        <v>135</v>
      </c>
    </row>
    <row r="63" spans="2:11">
      <c r="B63" s="48" t="s">
        <v>20</v>
      </c>
      <c r="C63" s="33" t="s">
        <v>21</v>
      </c>
      <c r="D63" s="34">
        <f>D42/C42-1</f>
        <v>5.1663196630029384E-2</v>
      </c>
      <c r="E63" s="34">
        <f>E42/D42-1</f>
        <v>1.3535911602210016E-2</v>
      </c>
      <c r="F63" s="80">
        <v>3.5000000000000003E-2</v>
      </c>
      <c r="G63" s="80">
        <v>5.5E-2</v>
      </c>
      <c r="H63" s="80">
        <v>0.06</v>
      </c>
      <c r="I63" s="80">
        <v>0.05</v>
      </c>
      <c r="J63" s="80">
        <v>4.8000000000000001E-2</v>
      </c>
      <c r="K63" s="44"/>
    </row>
    <row r="64" spans="2:11">
      <c r="B64" s="48" t="s">
        <v>22</v>
      </c>
      <c r="C64" s="34">
        <f>C44/C42</f>
        <v>0.76507044981358641</v>
      </c>
      <c r="D64" s="34">
        <f>D44/D42</f>
        <v>0.7380755064456721</v>
      </c>
      <c r="E64" s="34">
        <f>E44/E42</f>
        <v>0.73108022167711462</v>
      </c>
      <c r="F64" s="165">
        <f>AVERAGE(C64:E64)</f>
        <v>0.74474205931212423</v>
      </c>
      <c r="G64" s="165">
        <f t="shared" ref="G64:J68" si="7">F64+$K64</f>
        <v>0.74974205931212423</v>
      </c>
      <c r="H64" s="165">
        <f t="shared" si="7"/>
        <v>0.75474205931212424</v>
      </c>
      <c r="I64" s="165">
        <f t="shared" si="7"/>
        <v>0.75974205931212424</v>
      </c>
      <c r="J64" s="165">
        <f t="shared" si="7"/>
        <v>0.76474205931212424</v>
      </c>
      <c r="K64" s="44">
        <v>5.0000000000000001E-3</v>
      </c>
    </row>
    <row r="65" spans="2:11">
      <c r="B65" s="46" t="s">
        <v>23</v>
      </c>
      <c r="C65" s="34">
        <f t="shared" ref="C65:E66" si="8">-C45/C$42</f>
        <v>8.7929114414370776E-2</v>
      </c>
      <c r="D65" s="34">
        <f t="shared" si="8"/>
        <v>7.605893186003683E-2</v>
      </c>
      <c r="E65" s="34">
        <f t="shared" si="8"/>
        <v>7.9313164349959109E-2</v>
      </c>
      <c r="F65" s="165">
        <f>AVERAGE(C65:E65)</f>
        <v>8.1100403541455576E-2</v>
      </c>
      <c r="G65" s="165">
        <f t="shared" si="7"/>
        <v>8.1100403541455576E-2</v>
      </c>
      <c r="H65" s="165">
        <f t="shared" si="7"/>
        <v>8.1100403541455576E-2</v>
      </c>
      <c r="I65" s="165">
        <f t="shared" si="7"/>
        <v>8.1100403541455576E-2</v>
      </c>
      <c r="J65" s="165">
        <f t="shared" si="7"/>
        <v>8.1100403541455576E-2</v>
      </c>
      <c r="K65" s="44">
        <v>0</v>
      </c>
    </row>
    <row r="66" spans="2:11">
      <c r="B66" s="48" t="s">
        <v>24</v>
      </c>
      <c r="C66" s="34">
        <f t="shared" si="8"/>
        <v>0.41916428606013645</v>
      </c>
      <c r="D66" s="34">
        <f t="shared" si="8"/>
        <v>0.41160220994475138</v>
      </c>
      <c r="E66" s="34">
        <f t="shared" si="8"/>
        <v>0.44035613700372483</v>
      </c>
      <c r="F66" s="165">
        <f>AVERAGE(C66:E66)</f>
        <v>0.42370754433620422</v>
      </c>
      <c r="G66" s="165">
        <f t="shared" si="7"/>
        <v>0.41370754433620421</v>
      </c>
      <c r="H66" s="165">
        <f t="shared" si="7"/>
        <v>0.4037075443362042</v>
      </c>
      <c r="I66" s="165">
        <f t="shared" si="7"/>
        <v>0.3937075443362042</v>
      </c>
      <c r="J66" s="165">
        <f t="shared" si="7"/>
        <v>0.38370754433620419</v>
      </c>
      <c r="K66" s="44">
        <v>-0.01</v>
      </c>
    </row>
    <row r="67" spans="2:11">
      <c r="B67" s="48" t="s">
        <v>25</v>
      </c>
      <c r="C67" s="34">
        <f>-C52/C51</f>
        <v>0.14135140222096734</v>
      </c>
      <c r="D67" s="34">
        <f>-D52/D51</f>
        <v>0.2433962264150944</v>
      </c>
      <c r="E67" s="34">
        <f>-E52/E51</f>
        <v>0.2264547791540078</v>
      </c>
      <c r="F67" s="80">
        <f>E67</f>
        <v>0.2264547791540078</v>
      </c>
      <c r="G67" s="165">
        <f t="shared" si="7"/>
        <v>0.2264547791540078</v>
      </c>
      <c r="H67" s="165">
        <f t="shared" si="7"/>
        <v>0.2264547791540078</v>
      </c>
      <c r="I67" s="165">
        <f t="shared" si="7"/>
        <v>0.2264547791540078</v>
      </c>
      <c r="J67" s="165">
        <f t="shared" si="7"/>
        <v>0.2264547791540078</v>
      </c>
      <c r="K67" s="44">
        <v>0</v>
      </c>
    </row>
    <row r="68" spans="2:11">
      <c r="B68" s="48" t="s">
        <v>35</v>
      </c>
      <c r="C68" s="8">
        <f>-(C58/SUM(C43,C45,C46))</f>
        <v>6.949429037520391E-2</v>
      </c>
      <c r="D68" s="8">
        <f>-(D58/SUM(D43,D45,D46))</f>
        <v>7.8127879122904004E-2</v>
      </c>
      <c r="E68" s="8">
        <f>-(E58/SUM(E43,E45,E46))</f>
        <v>8.4907834101382487E-2</v>
      </c>
      <c r="F68" s="80">
        <v>9.2999999999999999E-2</v>
      </c>
      <c r="G68" s="165">
        <f t="shared" si="7"/>
        <v>9.0499999999999997E-2</v>
      </c>
      <c r="H68" s="165">
        <f t="shared" si="7"/>
        <v>8.7999999999999995E-2</v>
      </c>
      <c r="I68" s="165">
        <f t="shared" si="7"/>
        <v>8.5499999999999993E-2</v>
      </c>
      <c r="J68" s="165">
        <f t="shared" si="7"/>
        <v>8.299999999999999E-2</v>
      </c>
      <c r="K68" s="44">
        <v>-2.5000000000000001E-3</v>
      </c>
    </row>
    <row r="69" spans="2:11">
      <c r="B69" s="38"/>
      <c r="C69" s="39"/>
      <c r="D69" s="39"/>
      <c r="E69" s="39"/>
      <c r="F69" s="39"/>
      <c r="G69" s="39"/>
      <c r="H69" s="39"/>
      <c r="I69" s="39"/>
      <c r="J69" s="39"/>
    </row>
    <row r="70" spans="2:11">
      <c r="B70" s="95" t="s">
        <v>30</v>
      </c>
      <c r="C70" s="259"/>
      <c r="D70" s="259"/>
      <c r="E70" s="259"/>
      <c r="F70" s="259"/>
      <c r="G70" s="259"/>
      <c r="H70" s="259"/>
      <c r="I70" s="259"/>
      <c r="J70" s="259"/>
    </row>
    <row r="71" spans="2:11">
      <c r="B71" s="13" t="s">
        <v>5</v>
      </c>
      <c r="C71" s="39"/>
      <c r="D71" s="18">
        <f>D$39</f>
        <v>2012</v>
      </c>
      <c r="E71" s="18">
        <f t="shared" ref="E71:J71" si="9">E$39</f>
        <v>2013</v>
      </c>
      <c r="F71" s="19">
        <f t="shared" si="9"/>
        <v>2014</v>
      </c>
      <c r="G71" s="19">
        <f t="shared" si="9"/>
        <v>2015</v>
      </c>
      <c r="H71" s="19">
        <f t="shared" si="9"/>
        <v>2016</v>
      </c>
      <c r="I71" s="19">
        <f t="shared" si="9"/>
        <v>2017</v>
      </c>
      <c r="J71" s="19">
        <f t="shared" si="9"/>
        <v>2018</v>
      </c>
    </row>
    <row r="72" spans="2:11">
      <c r="B72" s="20" t="s">
        <v>6</v>
      </c>
      <c r="C72" s="259"/>
      <c r="D72" s="22">
        <f>D$40</f>
        <v>40999</v>
      </c>
      <c r="E72" s="22">
        <f t="shared" ref="E72:J72" si="10">E$40</f>
        <v>41364</v>
      </c>
      <c r="F72" s="22">
        <f t="shared" si="10"/>
        <v>41729</v>
      </c>
      <c r="G72" s="22">
        <f t="shared" si="10"/>
        <v>42094</v>
      </c>
      <c r="H72" s="22">
        <f t="shared" si="10"/>
        <v>42460</v>
      </c>
      <c r="I72" s="22">
        <f t="shared" si="10"/>
        <v>42825</v>
      </c>
      <c r="J72" s="22">
        <f t="shared" si="10"/>
        <v>43190</v>
      </c>
    </row>
    <row r="73" spans="2:11">
      <c r="B73" s="23"/>
      <c r="C73" s="39"/>
      <c r="D73" s="39"/>
      <c r="E73" s="39"/>
      <c r="F73" s="39"/>
      <c r="G73" s="39"/>
      <c r="H73" s="39"/>
      <c r="I73" s="39"/>
      <c r="J73" s="39"/>
    </row>
    <row r="74" spans="2:11">
      <c r="B74" s="60" t="s">
        <v>78</v>
      </c>
      <c r="C74" s="50"/>
      <c r="D74" s="166">
        <f>296.7+108+80.1</f>
        <v>484.79999999999995</v>
      </c>
      <c r="E74" s="166">
        <f>265.5+110.4+67.8</f>
        <v>443.7</v>
      </c>
      <c r="F74" s="175">
        <f>IF(F75,F75*F42,E74*(1+F63))</f>
        <v>459.22949999999997</v>
      </c>
      <c r="G74" s="175">
        <f>IF(G75,G75*G42,F74*(1+G63))</f>
        <v>484.4871225</v>
      </c>
      <c r="H74" s="175">
        <f>IF(H75,H75*H42,G74*(1+H63))</f>
        <v>513.55634985000006</v>
      </c>
      <c r="I74" s="175">
        <f>IF(I75,I75*I42,H74*(1+I63))</f>
        <v>539.23416734250009</v>
      </c>
      <c r="J74" s="175">
        <f>IF(J75,J75*J42,I74*(1+J63))</f>
        <v>565.11740737494006</v>
      </c>
    </row>
    <row r="75" spans="2:11">
      <c r="B75" s="64" t="s">
        <v>32</v>
      </c>
      <c r="C75" s="52"/>
      <c r="D75" s="8">
        <f>D74/D42</f>
        <v>0.22320441988950274</v>
      </c>
      <c r="E75" s="8">
        <f>E74/E42</f>
        <v>0.20155355682747342</v>
      </c>
      <c r="F75" s="9">
        <f>E75</f>
        <v>0.20155355682747342</v>
      </c>
      <c r="G75" s="9">
        <f>F75</f>
        <v>0.20155355682747342</v>
      </c>
      <c r="H75" s="9">
        <f>G75</f>
        <v>0.20155355682747342</v>
      </c>
      <c r="I75" s="9">
        <f>H75</f>
        <v>0.20155355682747342</v>
      </c>
      <c r="J75" s="9">
        <f>I75</f>
        <v>0.20155355682747342</v>
      </c>
    </row>
    <row r="76" spans="2:11">
      <c r="B76" s="60" t="s">
        <v>174</v>
      </c>
      <c r="C76" s="50"/>
      <c r="D76" s="166">
        <v>195.1</v>
      </c>
      <c r="E76" s="166">
        <v>213.1</v>
      </c>
      <c r="F76" s="175">
        <f>IF(F77,F77*F42,E76*(1+F63))</f>
        <v>220.55850000000001</v>
      </c>
      <c r="G76" s="175">
        <f>IF(G77,G77*G42,F76*(1+G63))</f>
        <v>232.68921750000001</v>
      </c>
      <c r="H76" s="175">
        <f>IF(H77,H77*H42,G76*(1+H63))</f>
        <v>246.65057055000003</v>
      </c>
      <c r="I76" s="175">
        <f>IF(I77,I77*I42,H76*(1+I63))</f>
        <v>258.98309907750001</v>
      </c>
      <c r="J76" s="175">
        <f>IF(J77,J77*J42,I76*(1+J63))</f>
        <v>271.41428783322004</v>
      </c>
    </row>
    <row r="77" spans="2:11">
      <c r="B77" s="64" t="s">
        <v>175</v>
      </c>
      <c r="C77" s="52"/>
      <c r="D77" s="8">
        <f>D76/D42</f>
        <v>8.9825046040515652E-2</v>
      </c>
      <c r="E77" s="8">
        <f>E76/E42</f>
        <v>9.6802035068592709E-2</v>
      </c>
      <c r="F77" s="9">
        <f>E77</f>
        <v>9.6802035068592709E-2</v>
      </c>
      <c r="G77" s="9">
        <f>F77</f>
        <v>9.6802035068592709E-2</v>
      </c>
      <c r="H77" s="9">
        <f>G77</f>
        <v>9.6802035068592709E-2</v>
      </c>
      <c r="I77" s="9">
        <f>H77</f>
        <v>9.6802035068592709E-2</v>
      </c>
      <c r="J77" s="9">
        <f>I77</f>
        <v>9.6802035068592709E-2</v>
      </c>
    </row>
    <row r="78" spans="2:11">
      <c r="B78" s="60" t="s">
        <v>77</v>
      </c>
      <c r="C78" s="50"/>
      <c r="D78" s="166">
        <f>31.5+1.2</f>
        <v>32.700000000000003</v>
      </c>
      <c r="E78" s="166">
        <f>31.6+10.5</f>
        <v>42.1</v>
      </c>
      <c r="F78" s="175">
        <f>IF(F79,-(F79*F43),E78*F43/E43)</f>
        <v>41.35985068829212</v>
      </c>
      <c r="G78" s="175">
        <f>IF(G79,-(G79*G43),F78*G43/F43)</f>
        <v>42.77992582446322</v>
      </c>
      <c r="H78" s="175">
        <f>IF(H79,-(H79*H43),G78*H43/G43)</f>
        <v>44.440721723144954</v>
      </c>
      <c r="I78" s="175">
        <f>IF(I79,-(I79*I43),H78*I43/H43)</f>
        <v>45.711458175976823</v>
      </c>
      <c r="J78" s="175">
        <f>IF(J79,-(J79*J43),I78*J43/I43)</f>
        <v>46.908646152698736</v>
      </c>
    </row>
    <row r="79" spans="2:11">
      <c r="B79" s="64" t="s">
        <v>33</v>
      </c>
      <c r="C79" s="52"/>
      <c r="D79" s="8">
        <f>-(D78/D43)</f>
        <v>5.7479346106521362E-2</v>
      </c>
      <c r="E79" s="8">
        <f>-(E78/E43)</f>
        <v>7.1114864864864874E-2</v>
      </c>
      <c r="F79" s="9">
        <f>E79</f>
        <v>7.1114864864864874E-2</v>
      </c>
      <c r="G79" s="9">
        <f>F79</f>
        <v>7.1114864864864874E-2</v>
      </c>
      <c r="H79" s="9">
        <f>G79</f>
        <v>7.1114864864864874E-2</v>
      </c>
      <c r="I79" s="9">
        <f>H79</f>
        <v>7.1114864864864874E-2</v>
      </c>
      <c r="J79" s="9">
        <f>I79</f>
        <v>7.1114864864864874E-2</v>
      </c>
    </row>
    <row r="80" spans="2:11">
      <c r="B80" s="60" t="s">
        <v>76</v>
      </c>
      <c r="C80" s="88"/>
      <c r="D80" s="166">
        <f>319.4+1059.5+934.4</f>
        <v>2313.3000000000002</v>
      </c>
      <c r="E80" s="166">
        <f>326.4+1038.6+936.7</f>
        <v>2301.6999999999998</v>
      </c>
      <c r="F80" s="175">
        <f>IF(F81,F81*F42,E80*(1+F63))</f>
        <v>2382.2594999999997</v>
      </c>
      <c r="G80" s="175">
        <f>IF(G81,G81*G42,F80*(1+G63))</f>
        <v>2513.2837724999995</v>
      </c>
      <c r="H80" s="175">
        <f>IF(H81,H81*H42,G80*(1+H63))</f>
        <v>2664.0807988500001</v>
      </c>
      <c r="I80" s="175">
        <f>IF(I81,I81*I42,H80*(1+I63))</f>
        <v>2797.2848387925001</v>
      </c>
      <c r="J80" s="175">
        <f>IF(J81,J81*J42,I80*(1+J63))</f>
        <v>2931.5545110545399</v>
      </c>
    </row>
    <row r="81" spans="2:11">
      <c r="B81" s="64" t="s">
        <v>84</v>
      </c>
      <c r="C81" s="52"/>
      <c r="D81" s="8">
        <f>D80/D42</f>
        <v>1.0650552486187845</v>
      </c>
      <c r="E81" s="9">
        <f>E80/E42</f>
        <v>1.0455619151449076</v>
      </c>
      <c r="F81" s="9">
        <f>E81</f>
        <v>1.0455619151449076</v>
      </c>
      <c r="G81" s="9">
        <f>F81</f>
        <v>1.0455619151449076</v>
      </c>
      <c r="H81" s="9">
        <f>G81</f>
        <v>1.0455619151449076</v>
      </c>
      <c r="I81" s="9">
        <f>H81</f>
        <v>1.0455619151449076</v>
      </c>
      <c r="J81" s="9">
        <f>I81</f>
        <v>1.0455619151449076</v>
      </c>
    </row>
    <row r="82" spans="2:11">
      <c r="B82" s="64"/>
      <c r="C82" s="52"/>
      <c r="D82" s="8"/>
      <c r="E82" s="9"/>
      <c r="F82" s="44"/>
      <c r="G82" s="44"/>
      <c r="H82" s="44"/>
      <c r="I82" s="44"/>
      <c r="J82" s="44"/>
    </row>
    <row r="83" spans="2:11">
      <c r="B83" s="150" t="s">
        <v>127</v>
      </c>
      <c r="C83" s="23"/>
      <c r="D83" s="261">
        <f t="shared" ref="D83:J83" si="11">D74+D76+-D78-D80</f>
        <v>-1666.1000000000004</v>
      </c>
      <c r="E83" s="261">
        <f t="shared" si="11"/>
        <v>-1687</v>
      </c>
      <c r="F83" s="261">
        <f t="shared" si="11"/>
        <v>-1743.8313506882919</v>
      </c>
      <c r="G83" s="261">
        <f t="shared" si="11"/>
        <v>-1838.8873583244626</v>
      </c>
      <c r="H83" s="261">
        <f t="shared" si="11"/>
        <v>-1948.314600173145</v>
      </c>
      <c r="I83" s="261">
        <f t="shared" si="11"/>
        <v>-2044.7790305484768</v>
      </c>
      <c r="J83" s="261">
        <f t="shared" si="11"/>
        <v>-2141.9314619990787</v>
      </c>
    </row>
    <row r="84" spans="2:11">
      <c r="B84" s="27"/>
      <c r="D84" s="53"/>
      <c r="E84" s="53"/>
      <c r="F84" s="43"/>
      <c r="G84" s="43"/>
      <c r="H84" s="43"/>
      <c r="I84" s="43"/>
      <c r="J84" s="43"/>
    </row>
    <row r="85" spans="2:11">
      <c r="B85" s="260" t="s">
        <v>183</v>
      </c>
      <c r="C85" s="96"/>
      <c r="D85" s="96"/>
      <c r="E85" s="96"/>
      <c r="F85" s="86"/>
      <c r="G85" s="86"/>
      <c r="H85" s="86"/>
      <c r="I85" s="86"/>
      <c r="J85" s="86"/>
    </row>
    <row r="86" spans="2:11">
      <c r="B86" s="13" t="s">
        <v>5</v>
      </c>
      <c r="C86" s="39"/>
      <c r="D86" s="18">
        <f>D$39</f>
        <v>2012</v>
      </c>
      <c r="E86" s="18">
        <f t="shared" ref="E86:J86" si="12">E$39</f>
        <v>2013</v>
      </c>
      <c r="F86" s="19">
        <f t="shared" si="12"/>
        <v>2014</v>
      </c>
      <c r="G86" s="19">
        <f t="shared" si="12"/>
        <v>2015</v>
      </c>
      <c r="H86" s="19">
        <f t="shared" si="12"/>
        <v>2016</v>
      </c>
      <c r="I86" s="19">
        <f t="shared" si="12"/>
        <v>2017</v>
      </c>
      <c r="J86" s="19">
        <f t="shared" si="12"/>
        <v>2018</v>
      </c>
    </row>
    <row r="87" spans="2:11">
      <c r="B87" s="20" t="s">
        <v>6</v>
      </c>
      <c r="C87" s="259"/>
      <c r="D87" s="22">
        <f>D$40</f>
        <v>40999</v>
      </c>
      <c r="E87" s="22">
        <f t="shared" ref="E87:J87" si="13">E$40</f>
        <v>41364</v>
      </c>
      <c r="F87" s="22">
        <f t="shared" si="13"/>
        <v>41729</v>
      </c>
      <c r="G87" s="22">
        <f t="shared" si="13"/>
        <v>42094</v>
      </c>
      <c r="H87" s="22">
        <f t="shared" si="13"/>
        <v>42460</v>
      </c>
      <c r="I87" s="22">
        <f t="shared" si="13"/>
        <v>42825</v>
      </c>
      <c r="J87" s="22">
        <f t="shared" si="13"/>
        <v>43190</v>
      </c>
    </row>
    <row r="88" spans="2:11">
      <c r="B88" s="89"/>
    </row>
    <row r="89" spans="2:11">
      <c r="B89" s="60" t="s">
        <v>81</v>
      </c>
      <c r="C89" s="30"/>
      <c r="D89" s="166">
        <v>87.8</v>
      </c>
      <c r="E89" s="166">
        <v>85.2</v>
      </c>
      <c r="F89" s="175">
        <f>E89+SUM(F90:F91)</f>
        <v>73.144489795918361</v>
      </c>
      <c r="G89" s="175">
        <f>F89+SUM(G90:G91)</f>
        <v>63.407346938775504</v>
      </c>
      <c r="H89" s="175">
        <f>G89+SUM(H90:H91)</f>
        <v>56.452244897959183</v>
      </c>
      <c r="I89" s="175">
        <f>H89+SUM(I90:I91)</f>
        <v>53.090612244897962</v>
      </c>
      <c r="J89" s="175">
        <f>I89+SUM(J90:J91)</f>
        <v>53.090612244897962</v>
      </c>
      <c r="K89" s="76"/>
    </row>
    <row r="90" spans="2:11">
      <c r="B90" s="87" t="s">
        <v>39</v>
      </c>
      <c r="C90" s="172">
        <v>22</v>
      </c>
      <c r="D90" s="172">
        <v>26.5</v>
      </c>
      <c r="E90" s="172">
        <v>24.5</v>
      </c>
      <c r="F90" s="172">
        <v>26</v>
      </c>
      <c r="G90" s="172">
        <v>28</v>
      </c>
      <c r="H90" s="172">
        <v>30</v>
      </c>
      <c r="I90" s="172">
        <v>29</v>
      </c>
      <c r="J90" s="172">
        <v>31</v>
      </c>
      <c r="K90"/>
    </row>
    <row r="91" spans="2:11">
      <c r="B91" s="87" t="s">
        <v>80</v>
      </c>
      <c r="C91" s="172">
        <v>-39.1</v>
      </c>
      <c r="D91" s="172">
        <v>-37.799999999999997</v>
      </c>
      <c r="E91" s="172">
        <v>-38.700000000000003</v>
      </c>
      <c r="F91" s="176">
        <f>-(F93*F90)</f>
        <v>-38.055510204081635</v>
      </c>
      <c r="G91" s="176">
        <f>-(G93*G90)</f>
        <v>-37.737142857142857</v>
      </c>
      <c r="H91" s="176">
        <f>-(H93*H90)</f>
        <v>-36.955102040816321</v>
      </c>
      <c r="I91" s="176">
        <f>-(I93*I90)</f>
        <v>-32.361632653061221</v>
      </c>
      <c r="J91" s="176">
        <f>-(J93*J90)</f>
        <v>-30.999999999999993</v>
      </c>
      <c r="K91" s="76" t="s">
        <v>181</v>
      </c>
    </row>
    <row r="92" spans="2:11">
      <c r="B92" s="89" t="s">
        <v>184</v>
      </c>
      <c r="C92" s="9">
        <f t="shared" ref="C92:J92" si="14">-(C90/C42)</f>
        <v>-1.0652205490727738E-2</v>
      </c>
      <c r="D92" s="9">
        <f t="shared" si="14"/>
        <v>-1.220073664825046E-2</v>
      </c>
      <c r="E92" s="9">
        <f t="shared" si="14"/>
        <v>-1.1129281366403197E-2</v>
      </c>
      <c r="F92" s="9">
        <f t="shared" si="14"/>
        <v>-1.1411271439474836E-2</v>
      </c>
      <c r="G92" s="9">
        <f t="shared" si="14"/>
        <v>-1.1648399573652766E-2</v>
      </c>
      <c r="H92" s="9">
        <f t="shared" si="14"/>
        <v>-1.177398878738487E-2</v>
      </c>
      <c r="I92" s="9">
        <f t="shared" si="14"/>
        <v>-1.0839545232830516E-2</v>
      </c>
      <c r="J92" s="9">
        <f t="shared" si="14"/>
        <v>-1.1056393202742366E-2</v>
      </c>
      <c r="K92" s="185" t="s">
        <v>162</v>
      </c>
    </row>
    <row r="93" spans="2:11">
      <c r="B93" s="89" t="s">
        <v>160</v>
      </c>
      <c r="C93" s="71">
        <f>-(C91/C90)</f>
        <v>1.7772727272727273</v>
      </c>
      <c r="D93" s="71">
        <f>-(D91/D90)</f>
        <v>1.4264150943396225</v>
      </c>
      <c r="E93" s="71">
        <f>-(E91/E90)</f>
        <v>1.5795918367346939</v>
      </c>
      <c r="F93" s="71">
        <f>E93+$K$93</f>
        <v>1.4636734693877551</v>
      </c>
      <c r="G93" s="71">
        <f>F93+$K$93</f>
        <v>1.3477551020408163</v>
      </c>
      <c r="H93" s="71">
        <f>G93+$K$93</f>
        <v>1.2318367346938774</v>
      </c>
      <c r="I93" s="71">
        <f>H93+$K$93</f>
        <v>1.1159183673469386</v>
      </c>
      <c r="J93" s="71">
        <f>I93+$K$93</f>
        <v>0.99999999999999978</v>
      </c>
      <c r="K93" s="153">
        <f>IF(K92="Yes",(1-E93)/COLUMNS(F93:J93),0)</f>
        <v>-0.11591836734693879</v>
      </c>
    </row>
    <row r="94" spans="2:11">
      <c r="B94" s="89"/>
      <c r="C94" s="71"/>
      <c r="D94" s="71"/>
      <c r="E94" s="71"/>
      <c r="F94" s="81"/>
      <c r="G94" s="81"/>
      <c r="H94" s="81"/>
      <c r="I94" s="81"/>
      <c r="J94" s="81"/>
    </row>
    <row r="95" spans="2:11">
      <c r="B95" s="60" t="s">
        <v>201</v>
      </c>
      <c r="C95" s="59"/>
      <c r="D95" s="166">
        <v>244.7</v>
      </c>
      <c r="E95" s="166">
        <v>271.39999999999998</v>
      </c>
      <c r="F95" s="175">
        <f>E95+SUM(F96:F97)</f>
        <v>286.50864197530859</v>
      </c>
      <c r="G95" s="175">
        <f>F95+SUM(G96:G97)</f>
        <v>297.64475308641971</v>
      </c>
      <c r="H95" s="175">
        <f>G95+SUM(H96:H97)</f>
        <v>305.19907407407402</v>
      </c>
      <c r="I95" s="175">
        <f>H95+SUM(I96:I97)</f>
        <v>309.36697530864188</v>
      </c>
      <c r="J95" s="175">
        <f>I95+SUM(J96:J97)</f>
        <v>309.36697530864188</v>
      </c>
    </row>
    <row r="96" spans="2:11">
      <c r="B96" s="87" t="s">
        <v>178</v>
      </c>
      <c r="C96" s="172">
        <v>115.8</v>
      </c>
      <c r="D96" s="172">
        <f>132.5</f>
        <v>132.5</v>
      </c>
      <c r="E96" s="172">
        <f>129.6</f>
        <v>129.6</v>
      </c>
      <c r="F96" s="172">
        <v>116</v>
      </c>
      <c r="G96" s="172">
        <v>114</v>
      </c>
      <c r="H96" s="172">
        <v>116</v>
      </c>
      <c r="I96" s="172">
        <v>128</v>
      </c>
      <c r="J96" s="172">
        <v>135</v>
      </c>
    </row>
    <row r="97" spans="2:11">
      <c r="B97" s="87" t="s">
        <v>79</v>
      </c>
      <c r="C97" s="174">
        <v>-75.7</v>
      </c>
      <c r="D97" s="172">
        <v>-93.6</v>
      </c>
      <c r="E97" s="172">
        <v>-108.5</v>
      </c>
      <c r="F97" s="176">
        <f>-(F99*F96)</f>
        <v>-100.89135802469136</v>
      </c>
      <c r="G97" s="176">
        <f t="shared" ref="G97:J97" si="15">-(G99*G96)</f>
        <v>-102.86388888888889</v>
      </c>
      <c r="H97" s="176">
        <f t="shared" si="15"/>
        <v>-108.44567901234569</v>
      </c>
      <c r="I97" s="176">
        <f t="shared" si="15"/>
        <v>-123.83209876543212</v>
      </c>
      <c r="J97" s="176">
        <f t="shared" si="15"/>
        <v>-135.00000000000003</v>
      </c>
      <c r="K97" s="76" t="s">
        <v>181</v>
      </c>
    </row>
    <row r="98" spans="2:11">
      <c r="B98" s="89" t="s">
        <v>179</v>
      </c>
      <c r="C98" s="179">
        <f t="shared" ref="C98:J98" si="16">C96/C42</f>
        <v>5.6069336173921458E-2</v>
      </c>
      <c r="D98" s="179">
        <f t="shared" si="16"/>
        <v>6.1003683241252299E-2</v>
      </c>
      <c r="E98" s="179">
        <f t="shared" si="16"/>
        <v>5.8871627146361398E-2</v>
      </c>
      <c r="F98" s="179">
        <f t="shared" si="16"/>
        <v>5.0911826422272342E-2</v>
      </c>
      <c r="G98" s="179">
        <f t="shared" si="16"/>
        <v>4.7425626835586265E-2</v>
      </c>
      <c r="H98" s="179">
        <f t="shared" si="16"/>
        <v>4.5526089977888165E-2</v>
      </c>
      <c r="I98" s="179">
        <f t="shared" si="16"/>
        <v>4.7843509993182966E-2</v>
      </c>
      <c r="J98" s="179">
        <f t="shared" si="16"/>
        <v>4.8148809108716752E-2</v>
      </c>
      <c r="K98" s="185" t="s">
        <v>162</v>
      </c>
    </row>
    <row r="99" spans="2:11">
      <c r="B99" s="89" t="s">
        <v>180</v>
      </c>
      <c r="C99" s="71">
        <f>-(C97/C96)</f>
        <v>0.65371329879101903</v>
      </c>
      <c r="D99" s="71">
        <f>-(D97/D96)</f>
        <v>0.70641509433962257</v>
      </c>
      <c r="E99" s="71">
        <f>-(E97/E96)</f>
        <v>0.83719135802469136</v>
      </c>
      <c r="F99" s="71">
        <f>E99+$K$99</f>
        <v>0.86975308641975313</v>
      </c>
      <c r="G99" s="71">
        <f>F99+$K$99</f>
        <v>0.9023148148148149</v>
      </c>
      <c r="H99" s="71">
        <f>G99+$K$99</f>
        <v>0.93487654320987668</v>
      </c>
      <c r="I99" s="71">
        <f>H99+$K$99</f>
        <v>0.96743827160493845</v>
      </c>
      <c r="J99" s="71">
        <f>I99+$K$99</f>
        <v>1.0000000000000002</v>
      </c>
      <c r="K99" s="153">
        <f>IF(K98="Yes",(1-E99)/COLUMNS(F99:J99),0)</f>
        <v>3.2561728395061731E-2</v>
      </c>
    </row>
    <row r="100" spans="2:11">
      <c r="B100" s="89"/>
      <c r="C100" s="71"/>
      <c r="D100" s="71"/>
      <c r="E100" s="71"/>
      <c r="F100" s="81"/>
      <c r="G100" s="81"/>
      <c r="H100" s="81"/>
      <c r="I100" s="81"/>
      <c r="J100" s="81"/>
    </row>
    <row r="101" spans="2:11">
      <c r="B101" s="60" t="s">
        <v>182</v>
      </c>
      <c r="D101" s="166">
        <v>257.5</v>
      </c>
      <c r="E101" s="166">
        <v>189.8</v>
      </c>
      <c r="F101" s="175">
        <f>E101+SUM(F102:F103)</f>
        <v>189.8</v>
      </c>
      <c r="G101" s="175">
        <f>F101+SUM(G102:G103)</f>
        <v>189.8</v>
      </c>
      <c r="H101" s="175">
        <f>G101+SUM(H102:H103)</f>
        <v>189.8</v>
      </c>
      <c r="I101" s="175">
        <f>H101+SUM(I102:I103)</f>
        <v>189.8</v>
      </c>
      <c r="J101" s="175">
        <f>I101+SUM(J102:J103)</f>
        <v>189.8</v>
      </c>
    </row>
    <row r="102" spans="2:11">
      <c r="B102" s="87" t="s">
        <v>178</v>
      </c>
      <c r="C102" s="223">
        <v>0</v>
      </c>
      <c r="D102" s="172">
        <v>0</v>
      </c>
      <c r="E102" s="172">
        <v>0</v>
      </c>
      <c r="F102" s="172">
        <f>-F103</f>
        <v>85</v>
      </c>
      <c r="G102" s="172">
        <f t="shared" ref="G102:J102" si="17">-G103</f>
        <v>80</v>
      </c>
      <c r="H102" s="172">
        <f t="shared" si="17"/>
        <v>77</v>
      </c>
      <c r="I102" s="172">
        <f t="shared" si="17"/>
        <v>68</v>
      </c>
      <c r="J102" s="172">
        <f t="shared" si="17"/>
        <v>57</v>
      </c>
    </row>
    <row r="103" spans="2:11">
      <c r="B103" s="87" t="s">
        <v>79</v>
      </c>
      <c r="C103" s="172">
        <v>-79.099999999999994</v>
      </c>
      <c r="D103" s="172">
        <v>-97.7</v>
      </c>
      <c r="E103" s="172">
        <v>-86.9</v>
      </c>
      <c r="F103" s="172">
        <v>-85</v>
      </c>
      <c r="G103" s="172">
        <v>-80</v>
      </c>
      <c r="H103" s="172">
        <v>-77</v>
      </c>
      <c r="I103" s="172">
        <v>-68</v>
      </c>
      <c r="J103" s="172">
        <v>-57</v>
      </c>
    </row>
    <row r="104" spans="2:11">
      <c r="B104" s="37"/>
      <c r="C104" s="85"/>
      <c r="D104" s="85"/>
      <c r="E104" s="85"/>
      <c r="F104" s="65"/>
      <c r="G104" s="65"/>
      <c r="H104" s="65"/>
      <c r="I104" s="65"/>
      <c r="J104" s="65"/>
    </row>
    <row r="105" spans="2:11">
      <c r="B105" s="140" t="s">
        <v>206</v>
      </c>
      <c r="D105" s="166">
        <f>240.2+1700.1</f>
        <v>1940.3</v>
      </c>
      <c r="E105" s="166">
        <f>229.3+1705.9</f>
        <v>1935.2</v>
      </c>
      <c r="F105" s="175">
        <f>E105</f>
        <v>1935.2</v>
      </c>
      <c r="G105" s="175">
        <f>F105</f>
        <v>1935.2</v>
      </c>
      <c r="H105" s="175">
        <f>G105</f>
        <v>1935.2</v>
      </c>
      <c r="I105" s="175">
        <f>H105</f>
        <v>1935.2</v>
      </c>
      <c r="J105" s="175">
        <f>I105</f>
        <v>1935.2</v>
      </c>
    </row>
    <row r="106" spans="2:11">
      <c r="B106" s="140"/>
      <c r="D106" s="166"/>
      <c r="E106" s="166"/>
      <c r="F106" s="175"/>
      <c r="G106" s="175"/>
      <c r="H106" s="175"/>
      <c r="I106" s="175"/>
      <c r="J106" s="175"/>
    </row>
    <row r="107" spans="2:11">
      <c r="B107" s="60" t="s">
        <v>83</v>
      </c>
      <c r="D107" s="166">
        <v>232.4</v>
      </c>
      <c r="E107" s="166">
        <v>252</v>
      </c>
      <c r="F107" s="175">
        <f>E107</f>
        <v>252</v>
      </c>
      <c r="G107" s="175">
        <f>F107</f>
        <v>252</v>
      </c>
      <c r="H107" s="175">
        <f t="shared" ref="H107" si="18">G107</f>
        <v>252</v>
      </c>
      <c r="I107" s="175">
        <f t="shared" ref="I107" si="19">H107</f>
        <v>252</v>
      </c>
      <c r="J107" s="175">
        <f t="shared" ref="J107" si="20">I107</f>
        <v>252</v>
      </c>
    </row>
    <row r="108" spans="2:11">
      <c r="B108" s="32"/>
      <c r="C108" s="53"/>
      <c r="D108" s="53"/>
      <c r="E108" s="53"/>
      <c r="F108" s="43"/>
      <c r="G108" s="43"/>
      <c r="H108" s="43"/>
      <c r="I108" s="43"/>
      <c r="J108" s="43"/>
    </row>
    <row r="109" spans="2:11">
      <c r="B109" s="15" t="s">
        <v>36</v>
      </c>
      <c r="C109" s="22"/>
      <c r="D109" s="22"/>
      <c r="E109" s="22"/>
      <c r="F109" s="22"/>
      <c r="G109" s="22"/>
      <c r="H109" s="22"/>
      <c r="I109" s="22"/>
      <c r="J109" s="22"/>
    </row>
    <row r="110" spans="2:11">
      <c r="B110" s="45" t="str">
        <f>B39</f>
        <v xml:space="preserve">Fiscal year  </v>
      </c>
      <c r="C110" s="40"/>
      <c r="D110" s="40"/>
      <c r="E110" s="40"/>
      <c r="F110" s="41">
        <f t="shared" ref="F110:J111" si="21">F39</f>
        <v>2014</v>
      </c>
      <c r="G110" s="41">
        <f t="shared" si="21"/>
        <v>2015</v>
      </c>
      <c r="H110" s="41">
        <f t="shared" si="21"/>
        <v>2016</v>
      </c>
      <c r="I110" s="41">
        <f t="shared" si="21"/>
        <v>2017</v>
      </c>
      <c r="J110" s="41">
        <f t="shared" si="21"/>
        <v>2018</v>
      </c>
    </row>
    <row r="111" spans="2:11">
      <c r="B111" s="17" t="str">
        <f>B40</f>
        <v>Fiscal year end date</v>
      </c>
      <c r="C111" s="42"/>
      <c r="D111" s="42"/>
      <c r="E111" s="42"/>
      <c r="F111" s="42">
        <f t="shared" si="21"/>
        <v>41729</v>
      </c>
      <c r="G111" s="42">
        <f t="shared" si="21"/>
        <v>42094</v>
      </c>
      <c r="H111" s="42">
        <f t="shared" si="21"/>
        <v>42460</v>
      </c>
      <c r="I111" s="42">
        <f t="shared" si="21"/>
        <v>42825</v>
      </c>
      <c r="J111" s="42">
        <f t="shared" si="21"/>
        <v>43190</v>
      </c>
    </row>
    <row r="113" spans="2:10">
      <c r="B113" s="13" t="s">
        <v>17</v>
      </c>
      <c r="C113" s="57"/>
      <c r="D113" s="57"/>
      <c r="E113" s="57"/>
      <c r="F113" s="85">
        <f ca="1">F53</f>
        <v>186.42521667026088</v>
      </c>
      <c r="G113" s="85">
        <f ca="1">G53</f>
        <v>253.80881921080606</v>
      </c>
      <c r="H113" s="85">
        <f ca="1">H53</f>
        <v>326.54928521543638</v>
      </c>
      <c r="I113" s="85">
        <f ca="1">I53</f>
        <v>404.25758148756609</v>
      </c>
      <c r="J113" s="85">
        <f ca="1">J53</f>
        <v>494.84925191636432</v>
      </c>
    </row>
    <row r="114" spans="2:10">
      <c r="B114" s="13" t="s">
        <v>37</v>
      </c>
      <c r="C114" s="57"/>
      <c r="D114" s="57"/>
      <c r="E114" s="57"/>
      <c r="F114" s="51">
        <f t="shared" ref="F114:J115" si="22">F57</f>
        <v>223.94686822877298</v>
      </c>
      <c r="G114" s="51">
        <f t="shared" si="22"/>
        <v>220.60103174603177</v>
      </c>
      <c r="H114" s="51">
        <f t="shared" si="22"/>
        <v>222.40078105316201</v>
      </c>
      <c r="I114" s="51">
        <f t="shared" si="22"/>
        <v>224.19373141849334</v>
      </c>
      <c r="J114" s="51">
        <f t="shared" si="22"/>
        <v>223.00000000000003</v>
      </c>
    </row>
    <row r="115" spans="2:10">
      <c r="B115" s="13" t="s">
        <v>26</v>
      </c>
      <c r="C115" s="57"/>
      <c r="D115" s="57"/>
      <c r="E115" s="57"/>
      <c r="F115" s="85">
        <f t="shared" si="22"/>
        <v>161.0547368274718</v>
      </c>
      <c r="G115" s="85">
        <f t="shared" si="22"/>
        <v>162.08209116516588</v>
      </c>
      <c r="H115" s="85">
        <f t="shared" si="22"/>
        <v>163.69762028974245</v>
      </c>
      <c r="I115" s="85">
        <f t="shared" si="22"/>
        <v>163.56828931606964</v>
      </c>
      <c r="J115" s="85">
        <f t="shared" si="22"/>
        <v>162.91655861446264</v>
      </c>
    </row>
    <row r="116" spans="2:10">
      <c r="B116" s="13" t="s">
        <v>82</v>
      </c>
      <c r="C116" s="28"/>
      <c r="D116" s="28"/>
      <c r="E116" s="28"/>
      <c r="F116" s="85">
        <f>E83-F83</f>
        <v>56.831350688291877</v>
      </c>
      <c r="G116" s="85">
        <f>F83-G83</f>
        <v>95.056007636170762</v>
      </c>
      <c r="H116" s="85">
        <f>G83-H83</f>
        <v>109.42724184868234</v>
      </c>
      <c r="I116" s="85">
        <f>H83-I83</f>
        <v>96.464430375331858</v>
      </c>
      <c r="J116" s="85">
        <f>I83-J83</f>
        <v>97.152431450601853</v>
      </c>
    </row>
    <row r="117" spans="2:10">
      <c r="B117" s="27" t="s">
        <v>128</v>
      </c>
      <c r="C117" s="28"/>
      <c r="D117" s="28"/>
      <c r="E117" s="28"/>
      <c r="F117" s="85">
        <f>E105-F105+F107-E107</f>
        <v>0</v>
      </c>
      <c r="G117" s="85">
        <f>F105-G105+G107-F107</f>
        <v>0</v>
      </c>
      <c r="H117" s="85">
        <f>G105-H105+H107-G107</f>
        <v>0</v>
      </c>
      <c r="I117" s="85">
        <f>H105-I105+I107-H107</f>
        <v>0</v>
      </c>
      <c r="J117" s="85">
        <f>I105-J105+J107-I107</f>
        <v>0</v>
      </c>
    </row>
    <row r="118" spans="2:10">
      <c r="B118" s="27" t="s">
        <v>150</v>
      </c>
      <c r="C118" s="28"/>
      <c r="D118" s="28"/>
      <c r="E118" s="28"/>
      <c r="F118" s="225">
        <f>F209</f>
        <v>0</v>
      </c>
      <c r="G118" s="225">
        <f t="shared" ref="G118:J118" si="23">G209</f>
        <v>0</v>
      </c>
      <c r="H118" s="225">
        <f t="shared" si="23"/>
        <v>0</v>
      </c>
      <c r="I118" s="225">
        <f t="shared" si="23"/>
        <v>0</v>
      </c>
      <c r="J118" s="225">
        <f t="shared" si="23"/>
        <v>0</v>
      </c>
    </row>
    <row r="119" spans="2:10">
      <c r="B119" s="27" t="s">
        <v>249</v>
      </c>
      <c r="C119" s="28"/>
      <c r="D119" s="28"/>
      <c r="E119" s="28"/>
      <c r="F119" s="340">
        <f>-(F195)</f>
        <v>9.6639887500000032</v>
      </c>
      <c r="G119" s="340">
        <f t="shared" ref="G119:J119" si="24">-(G195)</f>
        <v>9.6639887500000032</v>
      </c>
      <c r="H119" s="340">
        <f t="shared" si="24"/>
        <v>9.6639887500000032</v>
      </c>
      <c r="I119" s="340">
        <f t="shared" si="24"/>
        <v>9.6639887500000032</v>
      </c>
      <c r="J119" s="340">
        <f t="shared" si="24"/>
        <v>9.6639887500000032</v>
      </c>
    </row>
    <row r="120" spans="2:10">
      <c r="B120" s="26" t="s">
        <v>38</v>
      </c>
      <c r="F120" s="108">
        <f ca="1">SUM(F113:F119)</f>
        <v>637.92216116479767</v>
      </c>
      <c r="G120" s="108">
        <f t="shared" ref="G120:J120" ca="1" si="25">SUM(G113:G119)</f>
        <v>741.21193850817451</v>
      </c>
      <c r="H120" s="108">
        <f t="shared" ca="1" si="25"/>
        <v>831.73891715702325</v>
      </c>
      <c r="I120" s="108">
        <f t="shared" ca="1" si="25"/>
        <v>898.14802134746105</v>
      </c>
      <c r="J120" s="108">
        <f t="shared" ca="1" si="25"/>
        <v>987.58223073142881</v>
      </c>
    </row>
    <row r="121" spans="2:10">
      <c r="B121" s="13"/>
    </row>
    <row r="122" spans="2:10">
      <c r="B122" s="13" t="s">
        <v>39</v>
      </c>
      <c r="F122" s="82">
        <f>-(F90)</f>
        <v>-26</v>
      </c>
      <c r="G122" s="82">
        <f>-(G90)</f>
        <v>-28</v>
      </c>
      <c r="H122" s="82">
        <f>-(H90)</f>
        <v>-30</v>
      </c>
      <c r="I122" s="82">
        <f>-(I90)</f>
        <v>-29</v>
      </c>
      <c r="J122" s="82">
        <f>-(J90)</f>
        <v>-31</v>
      </c>
    </row>
    <row r="123" spans="2:10">
      <c r="B123" s="13" t="s">
        <v>218</v>
      </c>
      <c r="F123" s="82">
        <f>-(F96+F102)</f>
        <v>-201</v>
      </c>
      <c r="G123" s="82">
        <f>-(G96+G102)</f>
        <v>-194</v>
      </c>
      <c r="H123" s="82">
        <f>-(H96+H102)</f>
        <v>-193</v>
      </c>
      <c r="I123" s="82">
        <f>-(I96+I102)</f>
        <v>-196</v>
      </c>
      <c r="J123" s="82">
        <f>-(J96+J102)</f>
        <v>-192</v>
      </c>
    </row>
    <row r="124" spans="2:10">
      <c r="B124" s="26" t="s">
        <v>40</v>
      </c>
      <c r="F124" s="175">
        <f>SUM(F122:F123)</f>
        <v>-227</v>
      </c>
      <c r="G124" s="175">
        <f>SUM(G122:G123)</f>
        <v>-222</v>
      </c>
      <c r="H124" s="175">
        <f>SUM(H122:H123)</f>
        <v>-223</v>
      </c>
      <c r="I124" s="175">
        <f>SUM(I122:I123)</f>
        <v>-225</v>
      </c>
      <c r="J124" s="175">
        <f>SUM(J122:J123)</f>
        <v>-223</v>
      </c>
    </row>
    <row r="125" spans="2:10">
      <c r="B125" s="13"/>
    </row>
    <row r="126" spans="2:10">
      <c r="B126" s="13" t="s">
        <v>98</v>
      </c>
      <c r="F126" s="82">
        <f>-(F160+F168+F176+F182)</f>
        <v>-322.1855000000001</v>
      </c>
      <c r="G126" s="82">
        <f ca="1">-(G160+G168+G176+G182)</f>
        <v>-177.86405000000008</v>
      </c>
      <c r="H126" s="82">
        <f ca="1">-(H160+H168+H176+H182)</f>
        <v>-177.86405000000008</v>
      </c>
      <c r="I126" s="82">
        <f ca="1">-(I160+I168+I176+I182)</f>
        <v>-177.86405000000008</v>
      </c>
      <c r="J126" s="82">
        <f ca="1">-(J160+J168+J176+J182)</f>
        <v>-177.86405000000008</v>
      </c>
    </row>
    <row r="127" spans="2:10">
      <c r="B127" s="27" t="s">
        <v>163</v>
      </c>
      <c r="F127" s="325">
        <f>-F191</f>
        <v>0</v>
      </c>
      <c r="G127" s="325">
        <f t="shared" ref="G127:J127" si="26">-G191</f>
        <v>0</v>
      </c>
      <c r="H127" s="325">
        <f t="shared" si="26"/>
        <v>0</v>
      </c>
      <c r="I127" s="325">
        <f t="shared" si="26"/>
        <v>0</v>
      </c>
      <c r="J127" s="325">
        <f t="shared" si="26"/>
        <v>0</v>
      </c>
    </row>
    <row r="128" spans="2:10">
      <c r="B128" s="151" t="s">
        <v>103</v>
      </c>
      <c r="C128" s="30"/>
      <c r="D128" s="30"/>
      <c r="E128" s="30"/>
      <c r="F128" s="175">
        <f ca="1">F120+F124+SUM(F126:F127)</f>
        <v>88.736661164797567</v>
      </c>
      <c r="G128" s="175">
        <f ca="1">G120+G124+SUM(G126:G127)</f>
        <v>341.34788850817444</v>
      </c>
      <c r="H128" s="175">
        <f ca="1">H120+H124+SUM(H126:H127)</f>
        <v>430.87486715702317</v>
      </c>
      <c r="I128" s="175">
        <f ca="1">I120+I124+SUM(I126:I127)</f>
        <v>495.28397134746098</v>
      </c>
      <c r="J128" s="175">
        <f ca="1">J120+J124+SUM(J126:J127)</f>
        <v>586.71818073142867</v>
      </c>
    </row>
    <row r="129" spans="2:10">
      <c r="B129" s="13" t="s">
        <v>29</v>
      </c>
      <c r="F129" s="85">
        <f ca="1">F153</f>
        <v>0</v>
      </c>
      <c r="G129" s="85">
        <f ca="1">G153</f>
        <v>0</v>
      </c>
      <c r="H129" s="85">
        <f ca="1">H153</f>
        <v>0</v>
      </c>
      <c r="I129" s="85">
        <f ca="1">I153</f>
        <v>0</v>
      </c>
      <c r="J129" s="85">
        <f ca="1">J153</f>
        <v>0</v>
      </c>
    </row>
    <row r="130" spans="2:10">
      <c r="B130" s="151" t="s">
        <v>100</v>
      </c>
      <c r="C130" s="30"/>
      <c r="D130" s="30"/>
      <c r="E130" s="30"/>
      <c r="F130" s="108">
        <f ca="1">SUM(F128:F129)</f>
        <v>88.736661164797567</v>
      </c>
      <c r="G130" s="108">
        <f ca="1">SUM(G128:G129)</f>
        <v>341.34788850817444</v>
      </c>
      <c r="H130" s="108">
        <f ca="1">SUM(H128:H129)</f>
        <v>430.87486715702317</v>
      </c>
      <c r="I130" s="108">
        <f ca="1">SUM(I128:I129)</f>
        <v>495.28397134746098</v>
      </c>
      <c r="J130" s="108">
        <f ca="1">SUM(J128:J129)</f>
        <v>586.71818073142867</v>
      </c>
    </row>
    <row r="131" spans="2:10">
      <c r="B131" s="46" t="s">
        <v>102</v>
      </c>
      <c r="F131" s="85">
        <f ca="1">-(F161)</f>
        <v>-88.736661164797567</v>
      </c>
      <c r="G131" s="85">
        <f ca="1">-(G161)</f>
        <v>-341.34788850817444</v>
      </c>
      <c r="H131" s="85">
        <f ca="1">-(H161)</f>
        <v>-430.87486715702317</v>
      </c>
      <c r="I131" s="85">
        <f ca="1">-(I161)</f>
        <v>-495.28397134746098</v>
      </c>
      <c r="J131" s="85">
        <f ca="1">-(J161)</f>
        <v>-586.71818073142867</v>
      </c>
    </row>
    <row r="132" spans="2:10">
      <c r="B132" s="46" t="s">
        <v>104</v>
      </c>
      <c r="F132" s="85">
        <f ca="1">-(F169)</f>
        <v>0</v>
      </c>
      <c r="G132" s="85">
        <f ca="1">-(G169)</f>
        <v>0</v>
      </c>
      <c r="H132" s="85">
        <f ca="1">-(H169)</f>
        <v>0</v>
      </c>
      <c r="I132" s="85">
        <f ca="1">-(I169)</f>
        <v>0</v>
      </c>
      <c r="J132" s="85">
        <f ca="1">-(J169)</f>
        <v>0</v>
      </c>
    </row>
    <row r="133" spans="2:10">
      <c r="B133" s="30" t="s">
        <v>41</v>
      </c>
      <c r="F133" s="175">
        <f ca="1">SUM(F130:F132)</f>
        <v>0</v>
      </c>
      <c r="G133" s="175">
        <f ca="1">SUM(G130:G132)</f>
        <v>0</v>
      </c>
      <c r="H133" s="175">
        <f ca="1">SUM(H130:H132)</f>
        <v>0</v>
      </c>
      <c r="I133" s="175">
        <f ca="1">SUM(I130:I132)</f>
        <v>0</v>
      </c>
      <c r="J133" s="175">
        <f ca="1">SUM(J130:J132)</f>
        <v>0</v>
      </c>
    </row>
    <row r="134" spans="2:10">
      <c r="B134" s="30"/>
      <c r="F134" s="59"/>
      <c r="G134" s="59"/>
      <c r="H134" s="59"/>
      <c r="I134" s="59"/>
      <c r="J134" s="59"/>
    </row>
    <row r="135" spans="2:10">
      <c r="B135" s="95" t="s">
        <v>107</v>
      </c>
      <c r="C135" s="17"/>
      <c r="D135" s="17"/>
      <c r="E135" s="17"/>
      <c r="F135" s="17"/>
      <c r="G135" s="17"/>
      <c r="H135" s="17"/>
      <c r="I135" s="17"/>
      <c r="J135" s="17"/>
    </row>
    <row r="136" spans="2:10">
      <c r="B136" s="45" t="str">
        <f t="shared" ref="B136:J136" si="27">B39</f>
        <v xml:space="preserve">Fiscal year  </v>
      </c>
      <c r="C136" s="40">
        <f t="shared" si="27"/>
        <v>2011</v>
      </c>
      <c r="D136" s="40">
        <f t="shared" si="27"/>
        <v>2012</v>
      </c>
      <c r="E136" s="40">
        <f t="shared" si="27"/>
        <v>2013</v>
      </c>
      <c r="F136" s="41">
        <f t="shared" si="27"/>
        <v>2014</v>
      </c>
      <c r="G136" s="41">
        <f t="shared" si="27"/>
        <v>2015</v>
      </c>
      <c r="H136" s="41">
        <f t="shared" si="27"/>
        <v>2016</v>
      </c>
      <c r="I136" s="41">
        <f t="shared" si="27"/>
        <v>2017</v>
      </c>
      <c r="J136" s="41">
        <f t="shared" si="27"/>
        <v>2018</v>
      </c>
    </row>
    <row r="137" spans="2:10">
      <c r="B137" s="17" t="str">
        <f t="shared" ref="B137:J137" si="28">B40</f>
        <v>Fiscal year end date</v>
      </c>
      <c r="C137" s="42">
        <f t="shared" si="28"/>
        <v>40633</v>
      </c>
      <c r="D137" s="42">
        <f t="shared" si="28"/>
        <v>40999</v>
      </c>
      <c r="E137" s="42">
        <f t="shared" si="28"/>
        <v>41364</v>
      </c>
      <c r="F137" s="42">
        <f t="shared" si="28"/>
        <v>41729</v>
      </c>
      <c r="G137" s="42">
        <f t="shared" si="28"/>
        <v>42094</v>
      </c>
      <c r="H137" s="42">
        <f t="shared" si="28"/>
        <v>42460</v>
      </c>
      <c r="I137" s="42">
        <f t="shared" si="28"/>
        <v>42825</v>
      </c>
      <c r="J137" s="42">
        <f t="shared" si="28"/>
        <v>43190</v>
      </c>
    </row>
    <row r="138" spans="2:10">
      <c r="B138" s="47"/>
      <c r="C138" s="13"/>
      <c r="D138" s="13"/>
      <c r="E138" s="13"/>
      <c r="F138" s="13"/>
      <c r="G138" s="13"/>
      <c r="H138" s="13"/>
      <c r="I138" s="13"/>
      <c r="J138" s="13"/>
    </row>
    <row r="139" spans="2:10">
      <c r="B139" s="32" t="s">
        <v>105</v>
      </c>
      <c r="F139" s="224">
        <f>D16</f>
        <v>180</v>
      </c>
      <c r="G139" s="82">
        <f ca="1">F141</f>
        <v>180</v>
      </c>
      <c r="H139" s="82">
        <f ca="1">G141</f>
        <v>180</v>
      </c>
      <c r="I139" s="82">
        <f ca="1">H141</f>
        <v>180</v>
      </c>
      <c r="J139" s="82">
        <f ca="1">I141</f>
        <v>180</v>
      </c>
    </row>
    <row r="140" spans="2:10">
      <c r="B140" s="49" t="s">
        <v>31</v>
      </c>
      <c r="F140" s="82">
        <f ca="1">F133</f>
        <v>0</v>
      </c>
      <c r="G140" s="82">
        <f ca="1">G133</f>
        <v>0</v>
      </c>
      <c r="H140" s="82">
        <f ca="1">H133</f>
        <v>0</v>
      </c>
      <c r="I140" s="82">
        <f ca="1">I133</f>
        <v>0</v>
      </c>
      <c r="J140" s="82">
        <f ca="1">J133</f>
        <v>0</v>
      </c>
    </row>
    <row r="141" spans="2:10">
      <c r="B141" s="60" t="s">
        <v>106</v>
      </c>
      <c r="C141" s="30"/>
      <c r="D141" s="167">
        <f>1496.9+86.1+52.6</f>
        <v>1635.6</v>
      </c>
      <c r="E141" s="167">
        <f>1379.2+131.2+71.5</f>
        <v>1581.9</v>
      </c>
      <c r="F141" s="175">
        <f ca="1">SUM(F139:F140)</f>
        <v>180</v>
      </c>
      <c r="G141" s="175">
        <f ca="1">SUM(G139:G140)</f>
        <v>180</v>
      </c>
      <c r="H141" s="175">
        <f ca="1">SUM(H139:H140)</f>
        <v>180</v>
      </c>
      <c r="I141" s="175">
        <f ca="1">SUM(I139:I140)</f>
        <v>180</v>
      </c>
      <c r="J141" s="175">
        <f ca="1">SUM(J139:J140)</f>
        <v>180</v>
      </c>
    </row>
    <row r="142" spans="2:10">
      <c r="B142" s="32" t="s">
        <v>48</v>
      </c>
      <c r="D142" s="162">
        <f>D143/AVERAGE(C141:D141)</f>
        <v>6.4808021521154321E-3</v>
      </c>
      <c r="E142" s="162">
        <f>E143/AVERAGE(D141:E141)</f>
        <v>5.1592851592851601E-3</v>
      </c>
      <c r="F142" s="61">
        <f>E142</f>
        <v>5.1592851592851601E-3</v>
      </c>
      <c r="G142" s="61">
        <f>F142</f>
        <v>5.1592851592851601E-3</v>
      </c>
      <c r="H142" s="61">
        <f>G142</f>
        <v>5.1592851592851601E-3</v>
      </c>
      <c r="I142" s="61">
        <f>H142</f>
        <v>5.1592851592851601E-3</v>
      </c>
      <c r="J142" s="61">
        <f>I142</f>
        <v>5.1592851592851601E-3</v>
      </c>
    </row>
    <row r="143" spans="2:10">
      <c r="B143" s="32" t="s">
        <v>13</v>
      </c>
      <c r="C143" s="43"/>
      <c r="D143" s="82">
        <f>D48</f>
        <v>10.6</v>
      </c>
      <c r="E143" s="82">
        <f>E48</f>
        <v>8.3000000000000007</v>
      </c>
      <c r="F143" s="325">
        <f ca="1">IF($D$10="OFF",AVERAGE(F139,F141)*F142,0)</f>
        <v>0.92867132867132884</v>
      </c>
      <c r="G143" s="325">
        <f ca="1">IF($D$10="OFF",AVERAGE(G139,G141)*G142,0)</f>
        <v>0.92867132867132884</v>
      </c>
      <c r="H143" s="325">
        <f ca="1">IF($D$10="OFF",AVERAGE(H139,H141)*H142,0)</f>
        <v>0.92867132867132884</v>
      </c>
      <c r="I143" s="325">
        <f ca="1">IF($D$10="OFF",AVERAGE(I139,I141)*I142,0)</f>
        <v>0.92867132867132884</v>
      </c>
      <c r="J143" s="325">
        <f ca="1">IF($D$10="OFF",AVERAGE(J139,J141)*J142,0)</f>
        <v>0.92867132867132884</v>
      </c>
    </row>
    <row r="144" spans="2:10">
      <c r="B144" s="32"/>
      <c r="C144" s="43"/>
      <c r="D144" s="43"/>
      <c r="E144" s="43"/>
      <c r="F144" s="62"/>
      <c r="G144" s="62"/>
      <c r="H144" s="62"/>
      <c r="I144" s="62"/>
      <c r="J144" s="62"/>
    </row>
    <row r="145" spans="2:10">
      <c r="B145" s="31" t="s">
        <v>29</v>
      </c>
      <c r="C145" s="27"/>
      <c r="D145" s="143"/>
      <c r="E145" s="143"/>
      <c r="F145" s="84"/>
      <c r="G145" s="84"/>
      <c r="H145" s="84"/>
      <c r="I145" s="84"/>
      <c r="J145" s="84"/>
    </row>
    <row r="146" spans="2:10">
      <c r="B146" s="68" t="s">
        <v>110</v>
      </c>
      <c r="C146" s="27"/>
      <c r="D146" s="27"/>
      <c r="E146" s="27"/>
      <c r="F146" s="225">
        <f>F139</f>
        <v>180</v>
      </c>
      <c r="G146" s="225">
        <f ca="1">F141</f>
        <v>180</v>
      </c>
      <c r="H146" s="225">
        <f ca="1">G141</f>
        <v>180</v>
      </c>
      <c r="I146" s="225">
        <f ca="1">H141</f>
        <v>180</v>
      </c>
      <c r="J146" s="225">
        <f ca="1">I141</f>
        <v>180</v>
      </c>
    </row>
    <row r="147" spans="2:10">
      <c r="B147" s="68" t="s">
        <v>44</v>
      </c>
      <c r="C147" s="27"/>
      <c r="D147" s="27"/>
      <c r="E147" s="27"/>
      <c r="F147" s="226">
        <f>D16</f>
        <v>180</v>
      </c>
      <c r="G147" s="226">
        <f>F147</f>
        <v>180</v>
      </c>
      <c r="H147" s="226">
        <f t="shared" ref="H147:J147" si="29">G147</f>
        <v>180</v>
      </c>
      <c r="I147" s="226">
        <f t="shared" si="29"/>
        <v>180</v>
      </c>
      <c r="J147" s="226">
        <f t="shared" si="29"/>
        <v>180</v>
      </c>
    </row>
    <row r="148" spans="2:10">
      <c r="B148" s="68" t="s">
        <v>45</v>
      </c>
      <c r="C148" s="27"/>
      <c r="D148" s="27"/>
      <c r="E148" s="27"/>
      <c r="F148" s="225">
        <f>F146-F147</f>
        <v>0</v>
      </c>
      <c r="G148" s="225">
        <f ca="1">G146-G147</f>
        <v>0</v>
      </c>
      <c r="H148" s="225">
        <f ca="1">H146-H147</f>
        <v>0</v>
      </c>
      <c r="I148" s="225">
        <f ca="1">I146-I147</f>
        <v>0</v>
      </c>
      <c r="J148" s="225">
        <f ca="1">J146-J147</f>
        <v>0</v>
      </c>
    </row>
    <row r="149" spans="2:10">
      <c r="B149" s="145" t="s">
        <v>46</v>
      </c>
      <c r="C149" s="36"/>
      <c r="D149" s="36"/>
      <c r="E149" s="36"/>
      <c r="F149" s="227">
        <f ca="1">F128</f>
        <v>88.736661164797567</v>
      </c>
      <c r="G149" s="227">
        <f ca="1">G128</f>
        <v>341.34788850817444</v>
      </c>
      <c r="H149" s="227">
        <f ca="1">H128</f>
        <v>430.87486715702317</v>
      </c>
      <c r="I149" s="227">
        <f ca="1">I128</f>
        <v>495.28397134746098</v>
      </c>
      <c r="J149" s="227">
        <f ca="1">J128</f>
        <v>586.71818073142867</v>
      </c>
    </row>
    <row r="150" spans="2:10">
      <c r="B150" s="137" t="s">
        <v>111</v>
      </c>
      <c r="C150" s="73"/>
      <c r="D150" s="73"/>
      <c r="E150" s="73"/>
      <c r="F150" s="228">
        <f ca="1">SUM(F148:F149)</f>
        <v>88.736661164797567</v>
      </c>
      <c r="G150" s="228">
        <f ca="1">SUM(G148:G149)</f>
        <v>341.34788850817444</v>
      </c>
      <c r="H150" s="228">
        <f ca="1">SUM(H148:H149)</f>
        <v>430.87486715702317</v>
      </c>
      <c r="I150" s="228">
        <f ca="1">SUM(I148:I149)</f>
        <v>495.28397134746098</v>
      </c>
      <c r="J150" s="228">
        <f ca="1">SUM(J148:J149)</f>
        <v>586.71818073142867</v>
      </c>
    </row>
    <row r="151" spans="2:10">
      <c r="B151" s="27"/>
      <c r="C151" s="27"/>
      <c r="D151" s="27"/>
      <c r="E151" s="27"/>
      <c r="F151" s="27"/>
      <c r="G151" s="27"/>
      <c r="H151" s="27"/>
      <c r="I151" s="27"/>
      <c r="J151" s="27"/>
    </row>
    <row r="152" spans="2:10">
      <c r="B152" s="35" t="s">
        <v>108</v>
      </c>
      <c r="C152" s="27"/>
      <c r="D152" s="27"/>
      <c r="E152" s="27"/>
      <c r="F152" s="229">
        <f>D28</f>
        <v>0</v>
      </c>
      <c r="G152" s="225">
        <f ca="1">F154</f>
        <v>0</v>
      </c>
      <c r="H152" s="225">
        <f ca="1">G154</f>
        <v>0</v>
      </c>
      <c r="I152" s="225">
        <f ca="1">H154</f>
        <v>0</v>
      </c>
      <c r="J152" s="225">
        <f ca="1">I154</f>
        <v>0</v>
      </c>
    </row>
    <row r="153" spans="2:10">
      <c r="B153" s="139" t="s">
        <v>31</v>
      </c>
      <c r="C153" s="27"/>
      <c r="D153" s="27"/>
      <c r="E153" s="27"/>
      <c r="F153" s="225">
        <f ca="1">-MIN(F150,F152)</f>
        <v>0</v>
      </c>
      <c r="G153" s="225">
        <f ca="1">-MIN(G150,G152)</f>
        <v>0</v>
      </c>
      <c r="H153" s="225">
        <f ca="1">-MIN(H150,H152)</f>
        <v>0</v>
      </c>
      <c r="I153" s="225">
        <f ca="1">-MIN(I150,I152)</f>
        <v>0</v>
      </c>
      <c r="J153" s="225">
        <f ca="1">-MIN(J150,J152)</f>
        <v>0</v>
      </c>
    </row>
    <row r="154" spans="2:10">
      <c r="B154" s="140" t="s">
        <v>109</v>
      </c>
      <c r="C154" s="27"/>
      <c r="D154" s="27"/>
      <c r="E154" s="27"/>
      <c r="F154" s="230">
        <f ca="1">SUM(F152:F153)</f>
        <v>0</v>
      </c>
      <c r="G154" s="230">
        <f ca="1">SUM(G152:G153)</f>
        <v>0</v>
      </c>
      <c r="H154" s="230">
        <f ca="1">SUM(H152:H153)</f>
        <v>0</v>
      </c>
      <c r="I154" s="230">
        <f ca="1">SUM(I152:I153)</f>
        <v>0</v>
      </c>
      <c r="J154" s="230">
        <f ca="1">SUM(J152:J153)</f>
        <v>0</v>
      </c>
    </row>
    <row r="155" spans="2:10">
      <c r="B155" s="137" t="s">
        <v>42</v>
      </c>
      <c r="C155" s="27"/>
      <c r="D155" s="141" t="s">
        <v>147</v>
      </c>
      <c r="E155" s="141" t="s">
        <v>148</v>
      </c>
      <c r="F155" s="228">
        <f>$D$156*F74+$E$156*F76</f>
        <v>510.74662499999999</v>
      </c>
      <c r="G155" s="228">
        <f t="shared" ref="G155:J155" si="30">$D$156*G74+$E$156*G76</f>
        <v>538.83768937500008</v>
      </c>
      <c r="H155" s="228">
        <f t="shared" si="30"/>
        <v>571.16795073750006</v>
      </c>
      <c r="I155" s="228">
        <f t="shared" si="30"/>
        <v>599.72634827437514</v>
      </c>
      <c r="J155" s="228">
        <f t="shared" si="30"/>
        <v>628.51321299154506</v>
      </c>
    </row>
    <row r="156" spans="2:10">
      <c r="B156" s="137" t="s">
        <v>43</v>
      </c>
      <c r="C156" s="27"/>
      <c r="D156" s="142">
        <v>0.8</v>
      </c>
      <c r="E156" s="142">
        <v>0.65</v>
      </c>
      <c r="F156" s="146" t="str">
        <f ca="1">IF(F154&gt;F155,"OVERDRAWN","OK")</f>
        <v>OK</v>
      </c>
      <c r="G156" s="146" t="str">
        <f t="shared" ref="G156:J156" ca="1" si="31">IF(G154&gt;G155,"OVERDRAWN","OK")</f>
        <v>OK</v>
      </c>
      <c r="H156" s="146" t="str">
        <f t="shared" ca="1" si="31"/>
        <v>OK</v>
      </c>
      <c r="I156" s="146" t="str">
        <f t="shared" ca="1" si="31"/>
        <v>OK</v>
      </c>
      <c r="J156" s="146" t="str">
        <f t="shared" ca="1" si="31"/>
        <v>OK</v>
      </c>
    </row>
    <row r="157" spans="2:10">
      <c r="B157" s="27"/>
      <c r="C157" s="27"/>
      <c r="D157" s="27"/>
      <c r="E157" s="27"/>
      <c r="F157" s="27"/>
      <c r="G157" s="27"/>
      <c r="H157" s="27"/>
      <c r="I157" s="27"/>
      <c r="J157" s="27"/>
    </row>
    <row r="158" spans="2:10">
      <c r="B158" s="31" t="s">
        <v>86</v>
      </c>
      <c r="C158" s="27"/>
      <c r="D158" s="27"/>
      <c r="E158" s="27"/>
      <c r="F158" s="27"/>
      <c r="G158" s="27"/>
      <c r="H158" s="27"/>
      <c r="I158" s="27"/>
      <c r="J158" s="27"/>
    </row>
    <row r="159" spans="2:10">
      <c r="B159" s="35" t="s">
        <v>90</v>
      </c>
      <c r="C159" s="27"/>
      <c r="D159" s="27"/>
      <c r="E159" s="27"/>
      <c r="F159" s="229">
        <f>D29</f>
        <v>2886.429000000001</v>
      </c>
      <c r="G159" s="225">
        <f ca="1">F162</f>
        <v>2509.0494388352031</v>
      </c>
      <c r="H159" s="225">
        <f ca="1">G162</f>
        <v>2023.3801003270287</v>
      </c>
      <c r="I159" s="225">
        <f ca="1">H162</f>
        <v>1448.1837831700054</v>
      </c>
      <c r="J159" s="225">
        <f ca="1">I162</f>
        <v>808.57836182254437</v>
      </c>
    </row>
    <row r="160" spans="2:10">
      <c r="B160" s="35" t="s">
        <v>99</v>
      </c>
      <c r="C160" s="27"/>
      <c r="D160" s="27"/>
      <c r="E160" s="27"/>
      <c r="F160" s="226">
        <f>MIN(F163*$F$159,F159)</f>
        <v>288.64290000000011</v>
      </c>
      <c r="G160" s="226">
        <f ca="1">MIN(G163*$F$159,G159)</f>
        <v>144.32145000000006</v>
      </c>
      <c r="H160" s="226">
        <f ca="1">MIN(H163*$F$159,H159)</f>
        <v>144.32145000000006</v>
      </c>
      <c r="I160" s="226">
        <f ca="1">MIN(I163*$F$159,I159)</f>
        <v>144.32145000000006</v>
      </c>
      <c r="J160" s="226">
        <f ca="1">MIN(J163*$F$159,J159)</f>
        <v>144.32145000000006</v>
      </c>
    </row>
    <row r="161" spans="2:10">
      <c r="B161" s="35" t="s">
        <v>101</v>
      </c>
      <c r="C161" s="27"/>
      <c r="D161" s="27"/>
      <c r="E161" s="27"/>
      <c r="F161" s="226">
        <f ca="1">MIN(F159-F160,F164)</f>
        <v>88.736661164797567</v>
      </c>
      <c r="G161" s="226">
        <f ca="1">MIN(G159-G160,G164)</f>
        <v>341.34788850817444</v>
      </c>
      <c r="H161" s="226">
        <f ca="1">MIN(H159-H160,H164)</f>
        <v>430.87486715702317</v>
      </c>
      <c r="I161" s="226">
        <f ca="1">MIN(I159-I160,I164)</f>
        <v>495.28397134746098</v>
      </c>
      <c r="J161" s="226">
        <f ca="1">MIN(J159-J160,J164)</f>
        <v>586.71818073142867</v>
      </c>
    </row>
    <row r="162" spans="2:10">
      <c r="B162" s="140" t="s">
        <v>93</v>
      </c>
      <c r="C162" s="54"/>
      <c r="D162" s="147"/>
      <c r="E162" s="54"/>
      <c r="F162" s="168">
        <f ca="1">F159-F160-F161</f>
        <v>2509.0494388352031</v>
      </c>
      <c r="G162" s="168">
        <f ca="1">G159-G160-G161</f>
        <v>2023.3801003270287</v>
      </c>
      <c r="H162" s="168">
        <f ca="1">H159-H160-H161</f>
        <v>1448.1837831700054</v>
      </c>
      <c r="I162" s="168">
        <f ca="1">I159-I160-I161</f>
        <v>808.57836182254437</v>
      </c>
      <c r="J162" s="168">
        <f ca="1">J159-J160-J161</f>
        <v>77.538731091115665</v>
      </c>
    </row>
    <row r="163" spans="2:10">
      <c r="B163" s="137" t="s">
        <v>116</v>
      </c>
      <c r="C163" s="73"/>
      <c r="E163" s="143" t="s">
        <v>165</v>
      </c>
      <c r="F163" s="148">
        <v>0.1</v>
      </c>
      <c r="G163" s="148">
        <v>0.05</v>
      </c>
      <c r="H163" s="148">
        <v>0.05</v>
      </c>
      <c r="I163" s="148">
        <v>0.05</v>
      </c>
      <c r="J163" s="148">
        <v>0.05</v>
      </c>
    </row>
    <row r="164" spans="2:10">
      <c r="B164" s="137" t="s">
        <v>164</v>
      </c>
      <c r="C164" s="73"/>
      <c r="E164" s="149">
        <v>1</v>
      </c>
      <c r="F164" s="231">
        <f ca="1">$E$164*(F150+F153)</f>
        <v>88.736661164797567</v>
      </c>
      <c r="G164" s="231">
        <f ca="1">$E$164*(G150+G153)</f>
        <v>341.34788850817444</v>
      </c>
      <c r="H164" s="231">
        <f ca="1">$E$164*(H150+H153)</f>
        <v>430.87486715702317</v>
      </c>
      <c r="I164" s="231">
        <f ca="1">$E$164*(I150+I153)</f>
        <v>495.28397134746098</v>
      </c>
      <c r="J164" s="231">
        <f ca="1">$E$164*(J150+J153)</f>
        <v>586.71818073142867</v>
      </c>
    </row>
    <row r="165" spans="2:10">
      <c r="B165" s="35"/>
      <c r="C165" s="27"/>
      <c r="F165" s="144"/>
      <c r="G165" s="144"/>
      <c r="H165" s="144"/>
      <c r="I165" s="144"/>
      <c r="J165" s="144"/>
    </row>
    <row r="166" spans="2:10">
      <c r="B166" s="31" t="s">
        <v>87</v>
      </c>
      <c r="C166" s="27"/>
      <c r="F166" s="84"/>
      <c r="G166" s="27"/>
      <c r="H166" s="27"/>
      <c r="I166" s="27"/>
      <c r="J166" s="27"/>
    </row>
    <row r="167" spans="2:10">
      <c r="B167" s="35" t="s">
        <v>91</v>
      </c>
      <c r="C167" s="27"/>
      <c r="F167" s="229">
        <f>D30</f>
        <v>670.8520000000002</v>
      </c>
      <c r="G167" s="225">
        <f ca="1">F170</f>
        <v>637.30940000000021</v>
      </c>
      <c r="H167" s="225">
        <f ca="1">G170</f>
        <v>603.76680000000022</v>
      </c>
      <c r="I167" s="225">
        <f ca="1">H170</f>
        <v>570.22420000000022</v>
      </c>
      <c r="J167" s="225">
        <f ca="1">I170</f>
        <v>536.68160000000023</v>
      </c>
    </row>
    <row r="168" spans="2:10">
      <c r="B168" s="35" t="s">
        <v>85</v>
      </c>
      <c r="C168" s="27"/>
      <c r="F168" s="226">
        <f>MIN(F171*$F$167,F167)</f>
        <v>33.542600000000014</v>
      </c>
      <c r="G168" s="226">
        <f ca="1">MIN(G171*$F$167,G167)</f>
        <v>33.542600000000014</v>
      </c>
      <c r="H168" s="226">
        <f ca="1">MIN(H171*$F$167,H167)</f>
        <v>33.542600000000014</v>
      </c>
      <c r="I168" s="226">
        <f ca="1">MIN(I171*$F$167,I167)</f>
        <v>33.542600000000014</v>
      </c>
      <c r="J168" s="226">
        <f ca="1">MIN(J171*$F$167,J167)</f>
        <v>33.542600000000014</v>
      </c>
    </row>
    <row r="169" spans="2:10">
      <c r="B169" s="35" t="s">
        <v>101</v>
      </c>
      <c r="C169" s="27"/>
      <c r="F169" s="226">
        <f ca="1">MIN(F167-F168,F172)</f>
        <v>0</v>
      </c>
      <c r="G169" s="226">
        <f ca="1">MIN(G167-G168,G172)</f>
        <v>0</v>
      </c>
      <c r="H169" s="226">
        <f ca="1">MIN(H167-H168,H172)</f>
        <v>0</v>
      </c>
      <c r="I169" s="226">
        <f ca="1">MIN(I167-I168,I172)</f>
        <v>0</v>
      </c>
      <c r="J169" s="226">
        <f ca="1">MIN(J167-J168,J172)</f>
        <v>0</v>
      </c>
    </row>
    <row r="170" spans="2:10">
      <c r="B170" s="140" t="s">
        <v>92</v>
      </c>
      <c r="C170" s="54"/>
      <c r="F170" s="168">
        <f ca="1">F167-F168-F169</f>
        <v>637.30940000000021</v>
      </c>
      <c r="G170" s="168">
        <f ca="1">G167-G168-G169</f>
        <v>603.76680000000022</v>
      </c>
      <c r="H170" s="168">
        <f ca="1">H167-H168-H169</f>
        <v>570.22420000000022</v>
      </c>
      <c r="I170" s="168">
        <f ca="1">I167-I168-I169</f>
        <v>536.68160000000023</v>
      </c>
      <c r="J170" s="168">
        <f ca="1">J167-J168-J169</f>
        <v>503.13900000000024</v>
      </c>
    </row>
    <row r="171" spans="2:10">
      <c r="B171" s="137" t="s">
        <v>116</v>
      </c>
      <c r="C171" s="73"/>
      <c r="E171" s="143" t="s">
        <v>165</v>
      </c>
      <c r="F171" s="148">
        <v>0.05</v>
      </c>
      <c r="G171" s="148">
        <v>0.05</v>
      </c>
      <c r="H171" s="148">
        <v>0.05</v>
      </c>
      <c r="I171" s="148">
        <v>0.05</v>
      </c>
      <c r="J171" s="148">
        <v>0.05</v>
      </c>
    </row>
    <row r="172" spans="2:10">
      <c r="B172" s="137" t="s">
        <v>133</v>
      </c>
      <c r="C172" s="73"/>
      <c r="E172" s="149">
        <v>1</v>
      </c>
      <c r="F172" s="232">
        <f ca="1">$E$172*(F150+F153-F161)</f>
        <v>0</v>
      </c>
      <c r="G172" s="232">
        <f ca="1">$E$172*(G150+G153-G161)</f>
        <v>0</v>
      </c>
      <c r="H172" s="232">
        <f ca="1">$E$172*(H150+H153-H161)</f>
        <v>0</v>
      </c>
      <c r="I172" s="232">
        <f ca="1">$E$172*(I150+I153-I161)</f>
        <v>0</v>
      </c>
      <c r="J172" s="232">
        <f ca="1">$E$172*(J150+J153-J161)</f>
        <v>0</v>
      </c>
    </row>
    <row r="173" spans="2:10">
      <c r="B173" s="90"/>
      <c r="C173" s="66"/>
      <c r="D173" s="66"/>
      <c r="E173" s="66"/>
      <c r="F173" s="98"/>
      <c r="G173" s="98"/>
      <c r="H173" s="98"/>
      <c r="I173" s="98"/>
      <c r="J173" s="98"/>
    </row>
    <row r="174" spans="2:10">
      <c r="B174" s="31" t="s">
        <v>88</v>
      </c>
      <c r="F174" s="43"/>
    </row>
    <row r="175" spans="2:10">
      <c r="B175" s="32" t="s">
        <v>95</v>
      </c>
      <c r="F175" s="224">
        <f>D31</f>
        <v>1632.9950000000006</v>
      </c>
      <c r="G175" s="82">
        <f>F177</f>
        <v>1632.9950000000006</v>
      </c>
      <c r="H175" s="82">
        <f t="shared" ref="H175:J175" si="32">G177</f>
        <v>1632.9950000000006</v>
      </c>
      <c r="I175" s="82">
        <f t="shared" si="32"/>
        <v>1632.9950000000006</v>
      </c>
      <c r="J175" s="82">
        <f t="shared" si="32"/>
        <v>1632.9950000000006</v>
      </c>
    </row>
    <row r="176" spans="2:10">
      <c r="B176" s="32" t="s">
        <v>85</v>
      </c>
      <c r="F176" s="176">
        <f>MIN(F178*$F$175,F175)</f>
        <v>0</v>
      </c>
      <c r="G176" s="176">
        <f>MIN(G178*$F$175,G175)</f>
        <v>0</v>
      </c>
      <c r="H176" s="176">
        <f>MIN(H178*$F$175,H175)</f>
        <v>0</v>
      </c>
      <c r="I176" s="176">
        <f>MIN(I178*$F$175,I175)</f>
        <v>0</v>
      </c>
      <c r="J176" s="176">
        <f>MIN(J178*$F$175,J175)</f>
        <v>0</v>
      </c>
    </row>
    <row r="177" spans="2:10">
      <c r="B177" s="60" t="s">
        <v>94</v>
      </c>
      <c r="C177" s="30"/>
      <c r="D177" s="30"/>
      <c r="E177" s="30"/>
      <c r="F177" s="173">
        <f>F175-F176</f>
        <v>1632.9950000000006</v>
      </c>
      <c r="G177" s="173">
        <f>G175-G176</f>
        <v>1632.9950000000006</v>
      </c>
      <c r="H177" s="173">
        <f>H175-H176</f>
        <v>1632.9950000000006</v>
      </c>
      <c r="I177" s="173">
        <f>I175-I176</f>
        <v>1632.9950000000006</v>
      </c>
      <c r="J177" s="173">
        <f>J175-J176</f>
        <v>1632.9950000000006</v>
      </c>
    </row>
    <row r="178" spans="2:10">
      <c r="B178" s="90" t="s">
        <v>116</v>
      </c>
      <c r="F178" s="94">
        <v>0</v>
      </c>
      <c r="G178" s="94">
        <v>0</v>
      </c>
      <c r="H178" s="94">
        <v>0</v>
      </c>
      <c r="I178" s="94">
        <v>0</v>
      </c>
      <c r="J178" s="94">
        <v>0</v>
      </c>
    </row>
    <row r="179" spans="2:10">
      <c r="B179" s="90"/>
      <c r="F179" s="94"/>
      <c r="G179" s="94"/>
      <c r="H179" s="94"/>
      <c r="I179" s="94"/>
      <c r="J179" s="94"/>
    </row>
    <row r="180" spans="2:10">
      <c r="B180" s="31" t="s">
        <v>89</v>
      </c>
      <c r="F180" s="43"/>
    </row>
    <row r="181" spans="2:10">
      <c r="B181" s="32" t="s">
        <v>97</v>
      </c>
      <c r="F181" s="224">
        <f>D32</f>
        <v>0</v>
      </c>
      <c r="G181" s="82">
        <f>F184</f>
        <v>0</v>
      </c>
      <c r="H181" s="82">
        <f t="shared" ref="H181:J181" si="33">G184</f>
        <v>0</v>
      </c>
      <c r="I181" s="82">
        <f t="shared" si="33"/>
        <v>0</v>
      </c>
      <c r="J181" s="82">
        <f t="shared" si="33"/>
        <v>0</v>
      </c>
    </row>
    <row r="182" spans="2:10">
      <c r="B182" s="32" t="s">
        <v>85</v>
      </c>
      <c r="D182" s="76"/>
      <c r="F182" s="176">
        <f>F185*$F$181</f>
        <v>0</v>
      </c>
      <c r="G182" s="176">
        <f>G185*$F$181</f>
        <v>0</v>
      </c>
      <c r="H182" s="176">
        <f>H185*$F$181</f>
        <v>0</v>
      </c>
      <c r="I182" s="176">
        <f>I185*$F$181</f>
        <v>0</v>
      </c>
      <c r="J182" s="176">
        <f>J185*$F$181</f>
        <v>0</v>
      </c>
    </row>
    <row r="183" spans="2:10">
      <c r="B183" s="93" t="s">
        <v>144</v>
      </c>
      <c r="F183" s="176">
        <f>$E$209*F181</f>
        <v>0</v>
      </c>
      <c r="G183" s="176">
        <f>$E$209*G181</f>
        <v>0</v>
      </c>
      <c r="H183" s="176">
        <f>$E$209*H181</f>
        <v>0</v>
      </c>
      <c r="I183" s="176">
        <f>$E$209*I181</f>
        <v>0</v>
      </c>
      <c r="J183" s="176">
        <f>$E$209*J181</f>
        <v>0</v>
      </c>
    </row>
    <row r="184" spans="2:10">
      <c r="B184" s="60" t="s">
        <v>96</v>
      </c>
      <c r="C184" s="30"/>
      <c r="D184" s="55"/>
      <c r="E184" s="30"/>
      <c r="F184" s="173">
        <f>F181-F182+F183</f>
        <v>0</v>
      </c>
      <c r="G184" s="173">
        <f t="shared" ref="G184:J184" si="34">G181-G182+G183</f>
        <v>0</v>
      </c>
      <c r="H184" s="173">
        <f t="shared" si="34"/>
        <v>0</v>
      </c>
      <c r="I184" s="173">
        <f t="shared" si="34"/>
        <v>0</v>
      </c>
      <c r="J184" s="173">
        <f t="shared" si="34"/>
        <v>0</v>
      </c>
    </row>
    <row r="185" spans="2:10">
      <c r="B185" s="90" t="s">
        <v>116</v>
      </c>
      <c r="F185" s="94">
        <v>0</v>
      </c>
      <c r="G185" s="94">
        <v>0</v>
      </c>
      <c r="H185" s="94">
        <v>0</v>
      </c>
      <c r="I185" s="94">
        <v>0</v>
      </c>
      <c r="J185" s="94">
        <v>0</v>
      </c>
    </row>
    <row r="186" spans="2:10">
      <c r="B186" s="90"/>
      <c r="F186" s="94"/>
      <c r="G186" s="94"/>
      <c r="H186" s="94"/>
      <c r="I186" s="94"/>
      <c r="J186" s="94"/>
    </row>
    <row r="187" spans="2:10">
      <c r="B187" s="31" t="s">
        <v>114</v>
      </c>
      <c r="D187" s="107"/>
      <c r="E187" s="76"/>
      <c r="F187" s="94"/>
      <c r="G187" s="94"/>
      <c r="H187" s="94"/>
      <c r="I187" s="94"/>
      <c r="J187" s="94"/>
    </row>
    <row r="188" spans="2:10">
      <c r="B188" s="32" t="s">
        <v>115</v>
      </c>
      <c r="F188" s="233">
        <f>D33</f>
        <v>0</v>
      </c>
      <c r="G188" s="82">
        <f>F190</f>
        <v>0</v>
      </c>
      <c r="H188" s="82">
        <f t="shared" ref="H188:J188" si="35">G190</f>
        <v>0</v>
      </c>
      <c r="I188" s="82">
        <f t="shared" si="35"/>
        <v>0</v>
      </c>
      <c r="J188" s="82">
        <f t="shared" si="35"/>
        <v>0</v>
      </c>
    </row>
    <row r="189" spans="2:10">
      <c r="B189" s="93" t="s">
        <v>34</v>
      </c>
      <c r="F189" s="176">
        <f>$C$191*F188</f>
        <v>0</v>
      </c>
      <c r="G189" s="176">
        <f>$C$191*G188</f>
        <v>0</v>
      </c>
      <c r="H189" s="176">
        <f>$C$191*H188</f>
        <v>0</v>
      </c>
      <c r="I189" s="176">
        <f>$C$191*I188</f>
        <v>0</v>
      </c>
      <c r="J189" s="176">
        <f>$C$191*J188</f>
        <v>0</v>
      </c>
    </row>
    <row r="190" spans="2:10">
      <c r="B190" s="30" t="s">
        <v>117</v>
      </c>
      <c r="C190" s="76" t="s">
        <v>142</v>
      </c>
      <c r="D190" s="76" t="s">
        <v>143</v>
      </c>
      <c r="E190" s="30"/>
      <c r="F190" s="173">
        <f>F188+F189</f>
        <v>0</v>
      </c>
      <c r="G190" s="173">
        <f>G188+G189</f>
        <v>0</v>
      </c>
      <c r="H190" s="173">
        <f>H188+H189</f>
        <v>0</v>
      </c>
      <c r="I190" s="173">
        <f>I188+I189</f>
        <v>0</v>
      </c>
      <c r="J190" s="173">
        <f>J188+J189</f>
        <v>0</v>
      </c>
    </row>
    <row r="191" spans="2:10">
      <c r="B191" s="93" t="s">
        <v>149</v>
      </c>
      <c r="C191" s="92">
        <v>0.04</v>
      </c>
      <c r="D191" s="55">
        <v>0.08</v>
      </c>
      <c r="F191" s="82">
        <f>$D$191*F190</f>
        <v>0</v>
      </c>
      <c r="G191" s="82">
        <f>$D$191*G190</f>
        <v>0</v>
      </c>
      <c r="H191" s="82">
        <f>$D$191*H190</f>
        <v>0</v>
      </c>
      <c r="I191" s="82">
        <f>$D$191*I190</f>
        <v>0</v>
      </c>
      <c r="J191" s="82">
        <f>$D$191*J190</f>
        <v>0</v>
      </c>
    </row>
    <row r="192" spans="2:10">
      <c r="B192" s="93"/>
      <c r="F192" s="43"/>
    </row>
    <row r="193" spans="2:10">
      <c r="B193" s="337" t="s">
        <v>252</v>
      </c>
      <c r="F193" s="43"/>
    </row>
    <row r="194" spans="2:10">
      <c r="B194" s="338" t="s">
        <v>251</v>
      </c>
      <c r="C194" s="85"/>
      <c r="D194" s="247"/>
      <c r="E194" s="247"/>
      <c r="F194" s="224">
        <f>H33</f>
        <v>69.689165000000031</v>
      </c>
      <c r="G194" s="82">
        <f>F196</f>
        <v>60.02517625000003</v>
      </c>
      <c r="H194" s="82">
        <f t="shared" ref="H194:J194" si="36">G196</f>
        <v>50.361187500000028</v>
      </c>
      <c r="I194" s="82">
        <f t="shared" si="36"/>
        <v>40.697198750000027</v>
      </c>
      <c r="J194" s="82">
        <f t="shared" si="36"/>
        <v>31.033210000000025</v>
      </c>
    </row>
    <row r="195" spans="2:10">
      <c r="B195" s="338" t="s">
        <v>79</v>
      </c>
      <c r="C195" s="85"/>
      <c r="D195" s="85"/>
      <c r="E195" s="85"/>
      <c r="F195" s="82">
        <f>-(SUM($J$28:$J$32))</f>
        <v>-9.6639887500000032</v>
      </c>
      <c r="G195" s="82">
        <f>-(SUM($J$28:$J$32))</f>
        <v>-9.6639887500000032</v>
      </c>
      <c r="H195" s="82">
        <f>-(SUM($J$28:$J$32))</f>
        <v>-9.6639887500000032</v>
      </c>
      <c r="I195" s="82">
        <f>-(SUM($J$28:$J$32))</f>
        <v>-9.6639887500000032</v>
      </c>
      <c r="J195" s="82">
        <f>-(SUM($J$28:$J$32))</f>
        <v>-9.6639887500000032</v>
      </c>
    </row>
    <row r="196" spans="2:10">
      <c r="B196" s="339" t="s">
        <v>250</v>
      </c>
      <c r="C196" s="85"/>
      <c r="D196" s="85"/>
      <c r="E196" s="85"/>
      <c r="F196" s="175">
        <f>F194+F195</f>
        <v>60.02517625000003</v>
      </c>
      <c r="G196" s="175">
        <f t="shared" ref="G196:J196" si="37">G194+G195</f>
        <v>50.361187500000028</v>
      </c>
      <c r="H196" s="175">
        <f t="shared" si="37"/>
        <v>40.697198750000027</v>
      </c>
      <c r="I196" s="175">
        <f t="shared" si="37"/>
        <v>31.033210000000025</v>
      </c>
      <c r="J196" s="175">
        <f t="shared" si="37"/>
        <v>21.369221250000024</v>
      </c>
    </row>
    <row r="197" spans="2:10">
      <c r="B197" s="93"/>
      <c r="F197" s="43"/>
    </row>
    <row r="198" spans="2:10">
      <c r="B198" s="15" t="s">
        <v>189</v>
      </c>
      <c r="C198" s="17"/>
      <c r="D198" s="17"/>
      <c r="E198" s="17"/>
      <c r="F198" s="17"/>
      <c r="G198" s="17"/>
      <c r="H198" s="17"/>
      <c r="I198" s="17"/>
      <c r="J198" s="17"/>
    </row>
    <row r="199" spans="2:10">
      <c r="B199" s="13" t="s">
        <v>5</v>
      </c>
      <c r="C199" s="18">
        <f>C$39</f>
        <v>2011</v>
      </c>
      <c r="D199" s="18">
        <f>D$39</f>
        <v>2012</v>
      </c>
      <c r="E199" s="18">
        <f t="shared" ref="E199:J199" si="38">E$39</f>
        <v>2013</v>
      </c>
      <c r="F199" s="19">
        <f t="shared" si="38"/>
        <v>2014</v>
      </c>
      <c r="G199" s="19">
        <f t="shared" si="38"/>
        <v>2015</v>
      </c>
      <c r="H199" s="19">
        <f t="shared" si="38"/>
        <v>2016</v>
      </c>
      <c r="I199" s="19">
        <f t="shared" si="38"/>
        <v>2017</v>
      </c>
      <c r="J199" s="19">
        <f t="shared" si="38"/>
        <v>2018</v>
      </c>
    </row>
    <row r="200" spans="2:10">
      <c r="B200" s="20" t="s">
        <v>6</v>
      </c>
      <c r="C200" s="22">
        <f>C$40</f>
        <v>40633</v>
      </c>
      <c r="D200" s="22">
        <f>D$40</f>
        <v>40999</v>
      </c>
      <c r="E200" s="22">
        <f t="shared" ref="E200:J200" si="39">E$40</f>
        <v>41364</v>
      </c>
      <c r="F200" s="22">
        <f t="shared" si="39"/>
        <v>41729</v>
      </c>
      <c r="G200" s="22">
        <f t="shared" si="39"/>
        <v>42094</v>
      </c>
      <c r="H200" s="22">
        <f t="shared" si="39"/>
        <v>42460</v>
      </c>
      <c r="I200" s="22">
        <f t="shared" si="39"/>
        <v>42825</v>
      </c>
      <c r="J200" s="22">
        <f t="shared" si="39"/>
        <v>43190</v>
      </c>
    </row>
    <row r="201" spans="2:10">
      <c r="B201" s="26"/>
      <c r="C201" s="13"/>
      <c r="D201" s="13"/>
      <c r="E201" s="13"/>
      <c r="F201" s="13"/>
      <c r="G201" s="13"/>
      <c r="H201" s="13"/>
      <c r="I201" s="13"/>
      <c r="J201" s="13"/>
    </row>
    <row r="202" spans="2:10">
      <c r="B202" s="93" t="s">
        <v>185</v>
      </c>
      <c r="C202" s="182"/>
      <c r="D202" s="23"/>
      <c r="E202" s="13"/>
      <c r="F202" s="183">
        <v>49.08</v>
      </c>
      <c r="G202" s="183">
        <v>82.86</v>
      </c>
      <c r="H202" s="183">
        <v>134.82</v>
      </c>
      <c r="I202" s="183">
        <v>184.42</v>
      </c>
      <c r="J202" s="183">
        <v>221.26</v>
      </c>
    </row>
    <row r="203" spans="2:10">
      <c r="B203" s="32"/>
      <c r="C203" s="76" t="s">
        <v>186</v>
      </c>
      <c r="D203" s="76" t="s">
        <v>187</v>
      </c>
      <c r="E203" s="76" t="s">
        <v>188</v>
      </c>
      <c r="F203" s="180"/>
      <c r="G203" s="180"/>
      <c r="H203" s="180"/>
      <c r="I203" s="180"/>
      <c r="J203" s="180"/>
    </row>
    <row r="204" spans="2:10">
      <c r="B204" s="37" t="s">
        <v>29</v>
      </c>
      <c r="C204" s="184">
        <v>0.04</v>
      </c>
      <c r="D204" s="67">
        <v>0</v>
      </c>
      <c r="E204" s="138"/>
      <c r="F204" s="190">
        <f ca="1">IF($D$10="OFF",($C$204+MAX(F202/10000,$D$204))*AVERAGE(F152,F154),0)</f>
        <v>0</v>
      </c>
      <c r="G204" s="190">
        <f t="shared" ref="G204:J204" ca="1" si="40">IF($D$10="OFF",($C$204+MAX(G202/10000,$D$204))*AVERAGE(G152,G154),0)</f>
        <v>0</v>
      </c>
      <c r="H204" s="190">
        <f t="shared" ca="1" si="40"/>
        <v>0</v>
      </c>
      <c r="I204" s="190">
        <f t="shared" ca="1" si="40"/>
        <v>0</v>
      </c>
      <c r="J204" s="190">
        <f t="shared" ca="1" si="40"/>
        <v>0</v>
      </c>
    </row>
    <row r="205" spans="2:10">
      <c r="B205" s="32" t="s">
        <v>86</v>
      </c>
      <c r="C205" s="184">
        <v>0.04</v>
      </c>
      <c r="D205" s="67">
        <v>0.01</v>
      </c>
      <c r="E205" s="138"/>
      <c r="F205" s="190">
        <f ca="1">IF($D$10="OFF",($C$205+MAX(F202/10000,$D$205))*AVERAGE(F159,F162),0)</f>
        <v>134.8869609708801</v>
      </c>
      <c r="G205" s="190">
        <f t="shared" ref="G205:J205" ca="1" si="41">IF($D$10="OFF",($C$205+MAX(G202/10000,$D$205))*AVERAGE(G159,G162),0)</f>
        <v>113.3107384790558</v>
      </c>
      <c r="H205" s="190">
        <f t="shared" ca="1" si="41"/>
        <v>92.833089808594195</v>
      </c>
      <c r="I205" s="190">
        <f t="shared" ca="1" si="41"/>
        <v>65.9448466388273</v>
      </c>
      <c r="J205" s="190">
        <f t="shared" ca="1" si="41"/>
        <v>27.525455257177022</v>
      </c>
    </row>
    <row r="206" spans="2:10">
      <c r="B206" s="32" t="s">
        <v>87</v>
      </c>
      <c r="C206" s="184">
        <v>0.04</v>
      </c>
      <c r="D206" s="67">
        <v>0</v>
      </c>
      <c r="E206" s="138"/>
      <c r="F206" s="190">
        <f ca="1">IF($D$10="OFF",($C$206+MAX(F202/10000,$D$206))*AVERAGE(F167,F170),0)</f>
        <v>29.373456075600011</v>
      </c>
      <c r="G206" s="190">
        <f t="shared" ref="G206:J206" ca="1" si="42">IF($D$10="OFF",($C$206+MAX(G202/10000,$D$206))*AVERAGE(G167,G170),0)</f>
        <v>29.96330269660001</v>
      </c>
      <c r="H206" s="190">
        <f t="shared" ca="1" si="42"/>
        <v>31.393693331000012</v>
      </c>
      <c r="I206" s="190">
        <f t="shared" ca="1" si="42"/>
        <v>32.34489438180001</v>
      </c>
      <c r="J206" s="190">
        <f t="shared" ca="1" si="42"/>
        <v>32.299947297800017</v>
      </c>
    </row>
    <row r="207" spans="2:10">
      <c r="B207" s="32" t="s">
        <v>88</v>
      </c>
      <c r="C207" s="138"/>
      <c r="D207" s="138"/>
      <c r="E207" s="187">
        <v>8.1250000000000003E-2</v>
      </c>
      <c r="F207" s="82">
        <f>$E$207*AVERAGE(F175,F177)</f>
        <v>132.68084375000007</v>
      </c>
      <c r="G207" s="82">
        <f t="shared" ref="G207:J207" si="43">$E$207*AVERAGE(G175,G177)</f>
        <v>132.68084375000007</v>
      </c>
      <c r="H207" s="82">
        <f t="shared" si="43"/>
        <v>132.68084375000007</v>
      </c>
      <c r="I207" s="82">
        <f t="shared" si="43"/>
        <v>132.68084375000007</v>
      </c>
      <c r="J207" s="82">
        <f t="shared" si="43"/>
        <v>132.68084375000007</v>
      </c>
    </row>
    <row r="208" spans="2:10">
      <c r="B208" s="32" t="s">
        <v>146</v>
      </c>
      <c r="C208" s="138"/>
      <c r="D208" s="138"/>
      <c r="E208" s="187">
        <v>0.08</v>
      </c>
      <c r="F208" s="82">
        <f>$E$208*(F181-F182)</f>
        <v>0</v>
      </c>
      <c r="G208" s="82">
        <f t="shared" ref="G208:J208" si="44">$E$208*(G181-G182)</f>
        <v>0</v>
      </c>
      <c r="H208" s="82">
        <f t="shared" si="44"/>
        <v>0</v>
      </c>
      <c r="I208" s="82">
        <f t="shared" si="44"/>
        <v>0</v>
      </c>
      <c r="J208" s="82">
        <f t="shared" si="44"/>
        <v>0</v>
      </c>
    </row>
    <row r="209" spans="2:10">
      <c r="B209" s="32" t="s">
        <v>145</v>
      </c>
      <c r="C209" s="177"/>
      <c r="D209" s="138"/>
      <c r="E209" s="188">
        <v>0.04</v>
      </c>
      <c r="F209" s="82">
        <f>F183</f>
        <v>0</v>
      </c>
      <c r="G209" s="82">
        <f t="shared" ref="G209:J209" si="45">G183</f>
        <v>0</v>
      </c>
      <c r="H209" s="82">
        <f t="shared" si="45"/>
        <v>0</v>
      </c>
      <c r="I209" s="82">
        <f t="shared" si="45"/>
        <v>0</v>
      </c>
      <c r="J209" s="82">
        <f t="shared" si="45"/>
        <v>0</v>
      </c>
    </row>
    <row r="210" spans="2:10">
      <c r="B210" s="32"/>
      <c r="C210" s="30"/>
      <c r="D210" s="30"/>
      <c r="E210" s="26"/>
      <c r="F210" s="101"/>
      <c r="G210" s="101"/>
      <c r="H210" s="101"/>
      <c r="I210" s="101"/>
      <c r="J210" s="59"/>
    </row>
    <row r="211" spans="2:10">
      <c r="B211" s="15" t="s">
        <v>126</v>
      </c>
      <c r="C211" s="17"/>
      <c r="D211" s="17"/>
      <c r="E211" s="17"/>
      <c r="F211" s="17"/>
      <c r="G211" s="17"/>
      <c r="H211" s="17"/>
      <c r="I211" s="17"/>
      <c r="J211" s="17"/>
    </row>
    <row r="213" spans="2:10">
      <c r="F213" s="303">
        <f>J200</f>
        <v>43190</v>
      </c>
      <c r="G213" s="303"/>
      <c r="H213" s="303"/>
      <c r="I213" s="303"/>
      <c r="J213" s="303"/>
    </row>
    <row r="215" spans="2:10">
      <c r="B215" s="4" t="s">
        <v>136</v>
      </c>
      <c r="C215" s="26"/>
      <c r="D215" s="13"/>
      <c r="E215" s="76" t="s">
        <v>135</v>
      </c>
      <c r="F215" s="134">
        <f>D17-1</f>
        <v>6.3</v>
      </c>
      <c r="G215" s="113">
        <f>F215+$E$216</f>
        <v>6.8</v>
      </c>
      <c r="H215" s="113">
        <f t="shared" ref="H215:J215" si="46">G215+$E$216</f>
        <v>7.3</v>
      </c>
      <c r="I215" s="113">
        <f t="shared" si="46"/>
        <v>7.8</v>
      </c>
      <c r="J215" s="113">
        <f t="shared" si="46"/>
        <v>8.3000000000000007</v>
      </c>
    </row>
    <row r="216" spans="2:10">
      <c r="B216" s="6" t="s">
        <v>69</v>
      </c>
      <c r="E216" s="186">
        <v>0.5</v>
      </c>
      <c r="F216" s="82">
        <f>$J$60</f>
        <v>1226.8741190024368</v>
      </c>
      <c r="G216" s="82">
        <f>F216</f>
        <v>1226.8741190024368</v>
      </c>
      <c r="H216" s="82">
        <f t="shared" ref="H216:J216" si="47">G216</f>
        <v>1226.8741190024368</v>
      </c>
      <c r="I216" s="82">
        <f t="shared" si="47"/>
        <v>1226.8741190024368</v>
      </c>
      <c r="J216" s="82">
        <f t="shared" si="47"/>
        <v>1226.8741190024368</v>
      </c>
    </row>
    <row r="217" spans="2:10">
      <c r="B217" s="30" t="s">
        <v>56</v>
      </c>
      <c r="F217" s="175">
        <f>F215*F216</f>
        <v>7729.3069497153519</v>
      </c>
      <c r="G217" s="175">
        <f>G215*G216</f>
        <v>8342.7440092165707</v>
      </c>
      <c r="H217" s="175">
        <f>H215*H216</f>
        <v>8956.1810687177895</v>
      </c>
      <c r="I217" s="175">
        <f>I215*I216</f>
        <v>9569.6181282190064</v>
      </c>
      <c r="J217" s="175">
        <f>J215*J216</f>
        <v>10183.055187720227</v>
      </c>
    </row>
    <row r="218" spans="2:10">
      <c r="B218" s="99" t="s">
        <v>118</v>
      </c>
      <c r="F218" s="43"/>
    </row>
    <row r="219" spans="2:10">
      <c r="B219" s="100" t="s">
        <v>29</v>
      </c>
      <c r="F219" s="82">
        <f ca="1">J154</f>
        <v>0</v>
      </c>
      <c r="G219" s="82">
        <f t="shared" ref="G219:J221" ca="1" si="48">F219</f>
        <v>0</v>
      </c>
      <c r="H219" s="82">
        <f t="shared" ca="1" si="48"/>
        <v>0</v>
      </c>
      <c r="I219" s="82">
        <f t="shared" ca="1" si="48"/>
        <v>0</v>
      </c>
      <c r="J219" s="82">
        <f t="shared" ca="1" si="48"/>
        <v>0</v>
      </c>
    </row>
    <row r="220" spans="2:10">
      <c r="B220" s="64" t="s">
        <v>86</v>
      </c>
      <c r="F220" s="82">
        <f ca="1">+J162</f>
        <v>77.538731091115665</v>
      </c>
      <c r="G220" s="82">
        <f t="shared" ca="1" si="48"/>
        <v>77.538731091115665</v>
      </c>
      <c r="H220" s="82">
        <f t="shared" ca="1" si="48"/>
        <v>77.538731091115665</v>
      </c>
      <c r="I220" s="82">
        <f t="shared" ca="1" si="48"/>
        <v>77.538731091115665</v>
      </c>
      <c r="J220" s="82">
        <f t="shared" ca="1" si="48"/>
        <v>77.538731091115665</v>
      </c>
    </row>
    <row r="221" spans="2:10">
      <c r="B221" s="64" t="s">
        <v>87</v>
      </c>
      <c r="E221" s="138"/>
      <c r="F221" s="82">
        <f ca="1">J170</f>
        <v>503.13900000000024</v>
      </c>
      <c r="G221" s="82">
        <f t="shared" ca="1" si="48"/>
        <v>503.13900000000024</v>
      </c>
      <c r="H221" s="82">
        <f t="shared" ca="1" si="48"/>
        <v>503.13900000000024</v>
      </c>
      <c r="I221" s="82">
        <f t="shared" ca="1" si="48"/>
        <v>503.13900000000024</v>
      </c>
      <c r="J221" s="82">
        <f t="shared" ca="1" si="48"/>
        <v>503.13900000000024</v>
      </c>
    </row>
    <row r="222" spans="2:10">
      <c r="B222" s="64" t="s">
        <v>88</v>
      </c>
      <c r="E222" s="270"/>
      <c r="F222" s="82">
        <f>J177</f>
        <v>1632.9950000000006</v>
      </c>
      <c r="G222" s="82">
        <f t="shared" ref="G222:J224" si="49">F222</f>
        <v>1632.9950000000006</v>
      </c>
      <c r="H222" s="82">
        <f t="shared" si="49"/>
        <v>1632.9950000000006</v>
      </c>
      <c r="I222" s="82">
        <f t="shared" si="49"/>
        <v>1632.9950000000006</v>
      </c>
      <c r="J222" s="82">
        <f t="shared" si="49"/>
        <v>1632.9950000000006</v>
      </c>
    </row>
    <row r="223" spans="2:10">
      <c r="B223" s="64" t="s">
        <v>89</v>
      </c>
      <c r="E223" s="271"/>
      <c r="F223" s="82">
        <f>J184</f>
        <v>0</v>
      </c>
      <c r="G223" s="82">
        <f t="shared" si="49"/>
        <v>0</v>
      </c>
      <c r="H223" s="82">
        <f t="shared" si="49"/>
        <v>0</v>
      </c>
      <c r="I223" s="82">
        <f t="shared" si="49"/>
        <v>0</v>
      </c>
      <c r="J223" s="82">
        <f t="shared" si="49"/>
        <v>0</v>
      </c>
    </row>
    <row r="224" spans="2:10">
      <c r="B224" s="64" t="s">
        <v>134</v>
      </c>
      <c r="E224" s="271"/>
      <c r="F224" s="82">
        <f>J190</f>
        <v>0</v>
      </c>
      <c r="G224" s="82">
        <f t="shared" si="49"/>
        <v>0</v>
      </c>
      <c r="H224" s="82">
        <f t="shared" si="49"/>
        <v>0</v>
      </c>
      <c r="I224" s="82">
        <f t="shared" si="49"/>
        <v>0</v>
      </c>
      <c r="J224" s="82">
        <f t="shared" si="49"/>
        <v>0</v>
      </c>
    </row>
    <row r="225" spans="2:20">
      <c r="B225" s="68" t="s">
        <v>47</v>
      </c>
      <c r="F225" s="82">
        <f ca="1">-(J141)</f>
        <v>-180</v>
      </c>
      <c r="G225" s="82">
        <f ca="1">F225</f>
        <v>-180</v>
      </c>
      <c r="H225" s="82">
        <f ca="1">G225</f>
        <v>-180</v>
      </c>
      <c r="I225" s="82">
        <f ca="1">H225</f>
        <v>-180</v>
      </c>
      <c r="J225" s="82">
        <f ca="1">I225</f>
        <v>-180</v>
      </c>
    </row>
    <row r="226" spans="2:20">
      <c r="B226" s="56" t="s">
        <v>49</v>
      </c>
      <c r="C226" s="126" t="s">
        <v>244</v>
      </c>
      <c r="D226" s="127" t="s">
        <v>156</v>
      </c>
      <c r="E226" s="128" t="s">
        <v>202</v>
      </c>
      <c r="F226" s="175">
        <f ca="1">F217-SUM(F219:F225)</f>
        <v>5695.6342186242355</v>
      </c>
      <c r="G226" s="175">
        <f ca="1">G217-SUM(G219:G225)</f>
        <v>6309.0712781254542</v>
      </c>
      <c r="H226" s="175">
        <f ca="1">H217-SUM(H219:H225)</f>
        <v>6922.508337626673</v>
      </c>
      <c r="I226" s="175">
        <f ca="1">I217-SUM(I219:I225)</f>
        <v>7535.9453971278899</v>
      </c>
      <c r="J226" s="175">
        <f ca="1">J217-SUM(J219:J225)</f>
        <v>8149.3824566291105</v>
      </c>
    </row>
    <row r="227" spans="2:20">
      <c r="B227" s="32" t="s">
        <v>74</v>
      </c>
      <c r="C227" s="129">
        <f>D35</f>
        <v>1977.2939399999968</v>
      </c>
      <c r="D227" s="125">
        <f>C227/SUM($C$227:$C$230)</f>
        <v>1</v>
      </c>
      <c r="E227" s="130">
        <f>(1-$E$230-$E$229)*(D227/SUM($D$227:$D$228))</f>
        <v>0.97</v>
      </c>
      <c r="F227" s="82">
        <f t="shared" ref="F227:J230" ca="1" si="50">F$226*$E227</f>
        <v>5524.765192065508</v>
      </c>
      <c r="G227" s="82">
        <f t="shared" ca="1" si="50"/>
        <v>6119.7991397816904</v>
      </c>
      <c r="H227" s="82">
        <f t="shared" ca="1" si="50"/>
        <v>6714.8330874978728</v>
      </c>
      <c r="I227" s="82">
        <f t="shared" ca="1" si="50"/>
        <v>7309.8670352140534</v>
      </c>
      <c r="J227" s="82">
        <f t="shared" ca="1" si="50"/>
        <v>7904.9009829302368</v>
      </c>
    </row>
    <row r="228" spans="2:20">
      <c r="B228" s="35" t="s">
        <v>141</v>
      </c>
      <c r="C228" s="129">
        <f>D34</f>
        <v>0</v>
      </c>
      <c r="D228" s="125">
        <f>C228/SUM($C$227:$C$230)</f>
        <v>0</v>
      </c>
      <c r="E228" s="130">
        <f>(1-$E$230-$E$229)*(D228/SUM($D$227:$D$228))</f>
        <v>0</v>
      </c>
      <c r="F228" s="82">
        <f t="shared" ca="1" si="50"/>
        <v>0</v>
      </c>
      <c r="G228" s="82">
        <f t="shared" ca="1" si="50"/>
        <v>0</v>
      </c>
      <c r="H228" s="82">
        <f t="shared" ca="1" si="50"/>
        <v>0</v>
      </c>
      <c r="I228" s="82">
        <f t="shared" ca="1" si="50"/>
        <v>0</v>
      </c>
      <c r="J228" s="82">
        <f t="shared" ca="1" si="50"/>
        <v>0</v>
      </c>
    </row>
    <row r="229" spans="2:20">
      <c r="B229" s="35" t="s">
        <v>134</v>
      </c>
      <c r="C229" s="131"/>
      <c r="D229" s="125">
        <f>C229/SUM($C$227:$C$230)</f>
        <v>0</v>
      </c>
      <c r="E229" s="272">
        <v>0.02</v>
      </c>
      <c r="F229" s="82">
        <f t="shared" ca="1" si="50"/>
        <v>113.9126843724847</v>
      </c>
      <c r="G229" s="82">
        <f t="shared" ca="1" si="50"/>
        <v>126.18142556250909</v>
      </c>
      <c r="H229" s="82">
        <f t="shared" ca="1" si="50"/>
        <v>138.45016675253348</v>
      </c>
      <c r="I229" s="82">
        <f t="shared" ca="1" si="50"/>
        <v>150.71890794255779</v>
      </c>
      <c r="J229" s="82">
        <f t="shared" ca="1" si="50"/>
        <v>162.98764913258222</v>
      </c>
    </row>
    <row r="230" spans="2:20">
      <c r="B230" s="35" t="s">
        <v>140</v>
      </c>
      <c r="C230" s="132"/>
      <c r="D230" s="133">
        <f>C230/SUM($C$227:$C$230)</f>
        <v>0</v>
      </c>
      <c r="E230" s="273">
        <v>0.01</v>
      </c>
      <c r="F230" s="82">
        <f t="shared" ca="1" si="50"/>
        <v>56.956342186242352</v>
      </c>
      <c r="G230" s="82">
        <f t="shared" ca="1" si="50"/>
        <v>63.090712781254545</v>
      </c>
      <c r="H230" s="82">
        <f t="shared" ca="1" si="50"/>
        <v>69.225083376266738</v>
      </c>
      <c r="I230" s="82">
        <f t="shared" ca="1" si="50"/>
        <v>75.359453971278896</v>
      </c>
      <c r="J230" s="82">
        <f t="shared" ca="1" si="50"/>
        <v>81.49382456629111</v>
      </c>
    </row>
    <row r="231" spans="2:20">
      <c r="B231" s="56"/>
      <c r="C231" s="56"/>
      <c r="D231" s="56"/>
      <c r="E231" s="56"/>
      <c r="F231" s="58"/>
      <c r="G231" s="58"/>
      <c r="H231" s="58"/>
      <c r="I231" s="58"/>
      <c r="J231" s="13"/>
    </row>
    <row r="232" spans="2:20">
      <c r="B232" s="260" t="s">
        <v>112</v>
      </c>
      <c r="C232" s="56"/>
      <c r="D232" s="56"/>
      <c r="E232" s="56"/>
      <c r="F232" s="58"/>
      <c r="G232" s="58"/>
      <c r="H232" s="58"/>
      <c r="I232" s="58"/>
      <c r="J232" s="13"/>
    </row>
    <row r="233" spans="2:20">
      <c r="B233" s="13"/>
      <c r="C233" s="262" t="s">
        <v>151</v>
      </c>
      <c r="D233" s="262" t="s">
        <v>113</v>
      </c>
      <c r="E233" s="263" t="s">
        <v>129</v>
      </c>
      <c r="F233" s="264">
        <f>F39</f>
        <v>2014</v>
      </c>
      <c r="G233" s="264">
        <f>G39</f>
        <v>2015</v>
      </c>
      <c r="H233" s="264">
        <f>H39</f>
        <v>2016</v>
      </c>
      <c r="I233" s="264">
        <f>I39</f>
        <v>2017</v>
      </c>
      <c r="J233" s="264">
        <f>J39</f>
        <v>2018</v>
      </c>
    </row>
    <row r="234" spans="2:20">
      <c r="B234" s="6" t="s">
        <v>29</v>
      </c>
      <c r="C234" s="122" t="str">
        <f ca="1">IFERROR(SUM(F234:J234)/-E234, "NM")</f>
        <v>NM</v>
      </c>
      <c r="D234" s="110">
        <f ca="1">IFERROR(IRR(E234:J234),0)</f>
        <v>0</v>
      </c>
      <c r="E234" s="85">
        <f>-D28</f>
        <v>0</v>
      </c>
      <c r="F234" s="85">
        <f ca="1">-F153+F204</f>
        <v>0</v>
      </c>
      <c r="G234" s="85">
        <f ca="1">-G153+G204</f>
        <v>0</v>
      </c>
      <c r="H234" s="85">
        <f ca="1">-H153+H204</f>
        <v>0</v>
      </c>
      <c r="I234" s="85">
        <f ca="1">-I153+I204</f>
        <v>0</v>
      </c>
      <c r="J234" s="234">
        <f ca="1">-J153+J204+F219</f>
        <v>0</v>
      </c>
    </row>
    <row r="235" spans="2:20">
      <c r="B235" s="13" t="s">
        <v>86</v>
      </c>
      <c r="C235" s="122">
        <f ca="1">IFERROR(SUM(F235:J235)/-E235, "NM")</f>
        <v>1.1505324022016596</v>
      </c>
      <c r="D235" s="110">
        <f ca="1">IFERROR(IRR(E235:J235),0)</f>
        <v>4.5029244587740713E-2</v>
      </c>
      <c r="E235" s="85">
        <f>-D29</f>
        <v>-2886.429000000001</v>
      </c>
      <c r="F235" s="85">
        <f ca="1">F160+F161+F205</f>
        <v>512.26652213567775</v>
      </c>
      <c r="G235" s="85">
        <f ca="1">G160+G161+G205</f>
        <v>598.98007698723029</v>
      </c>
      <c r="H235" s="85">
        <f ca="1">H160+H161+H205</f>
        <v>668.02940696561745</v>
      </c>
      <c r="I235" s="85">
        <f ca="1">I160+I161+I205</f>
        <v>705.55026798628842</v>
      </c>
      <c r="J235" s="234">
        <f ca="1">J160+J161+J205+F220</f>
        <v>836.10381707972135</v>
      </c>
    </row>
    <row r="236" spans="2:20">
      <c r="B236" s="13" t="s">
        <v>87</v>
      </c>
      <c r="C236" s="122">
        <f ca="1">IFERROR(SUM(F236:J236)/-E236, "NM")</f>
        <v>1.2316089000000003</v>
      </c>
      <c r="D236" s="110">
        <f ca="1">IFERROR(IRR(E236:J236),0)</f>
        <v>5.1050158059545714E-2</v>
      </c>
      <c r="E236" s="85">
        <f>-D30</f>
        <v>-670.8520000000002</v>
      </c>
      <c r="F236" s="85">
        <f ca="1">F168+F169+F206</f>
        <v>62.916056075600025</v>
      </c>
      <c r="G236" s="85">
        <f ca="1">G168+G169+G206</f>
        <v>63.505902696600025</v>
      </c>
      <c r="H236" s="85">
        <f ca="1">H168+H169+H206</f>
        <v>64.93629333100003</v>
      </c>
      <c r="I236" s="85">
        <f ca="1">I168+I169+I206</f>
        <v>65.887494381800025</v>
      </c>
      <c r="J236" s="234">
        <f ca="1">J168+J169+J206+F221</f>
        <v>568.98154729780026</v>
      </c>
    </row>
    <row r="237" spans="2:20">
      <c r="B237" s="13" t="s">
        <v>88</v>
      </c>
      <c r="C237" s="122">
        <f>IFERROR(SUM(F237:J237)/-E237, "NM")</f>
        <v>1.40625</v>
      </c>
      <c r="D237" s="110">
        <f>IFERROR(IRR(E237:J237),0)</f>
        <v>8.1249999999138733E-2</v>
      </c>
      <c r="E237" s="85">
        <f>-D31</f>
        <v>-1632.9950000000006</v>
      </c>
      <c r="F237" s="85">
        <f>F176+F207</f>
        <v>132.68084375000007</v>
      </c>
      <c r="G237" s="85">
        <f>G176+G207</f>
        <v>132.68084375000007</v>
      </c>
      <c r="H237" s="85">
        <f>H176+H207</f>
        <v>132.68084375000007</v>
      </c>
      <c r="I237" s="85">
        <f>I176+I207</f>
        <v>132.68084375000007</v>
      </c>
      <c r="J237" s="234">
        <f>J176+J207+F222</f>
        <v>1765.6758437500007</v>
      </c>
    </row>
    <row r="238" spans="2:20">
      <c r="B238" s="48" t="s">
        <v>152</v>
      </c>
      <c r="C238" s="114"/>
      <c r="D238" s="110"/>
      <c r="E238" s="28"/>
      <c r="F238" s="28"/>
      <c r="G238" s="28"/>
      <c r="H238" s="28"/>
      <c r="I238" s="28"/>
      <c r="J238" s="106"/>
    </row>
    <row r="239" spans="2:20">
      <c r="B239" s="123">
        <f>$F$215</f>
        <v>6.3</v>
      </c>
      <c r="C239" s="122" t="str">
        <f ca="1">IFERROR(SUM(F239:J239)/-E239, "NM")</f>
        <v>NM</v>
      </c>
      <c r="D239" s="110">
        <f ca="1">IFERROR(IRR(E239:J239),0)</f>
        <v>0</v>
      </c>
      <c r="E239" s="85">
        <f>-D32</f>
        <v>0</v>
      </c>
      <c r="F239" s="85">
        <f>F182+F208</f>
        <v>0</v>
      </c>
      <c r="G239" s="85">
        <f>G182+G208</f>
        <v>0</v>
      </c>
      <c r="H239" s="85">
        <f>H182+H208</f>
        <v>0</v>
      </c>
      <c r="I239" s="85">
        <f>I182+I208</f>
        <v>0</v>
      </c>
      <c r="J239" s="234">
        <f ca="1">J182+J208+F223+F230</f>
        <v>56.956342186242352</v>
      </c>
      <c r="M239" s="82"/>
      <c r="R239" s="82"/>
      <c r="S239" s="82"/>
      <c r="T239" s="82"/>
    </row>
    <row r="240" spans="2:20">
      <c r="B240" s="123">
        <f>$G$215</f>
        <v>6.8</v>
      </c>
      <c r="C240" s="122" t="str">
        <f ca="1">IFERROR(SUM(F240:J240)/-E240, "NM")</f>
        <v>NM</v>
      </c>
      <c r="D240" s="110">
        <f ca="1">IFERROR(IRR(E240:J240),0)</f>
        <v>0</v>
      </c>
      <c r="E240" s="85">
        <f>E239</f>
        <v>0</v>
      </c>
      <c r="F240" s="85">
        <f t="shared" ref="F240:I243" si="51">F239</f>
        <v>0</v>
      </c>
      <c r="G240" s="85">
        <f t="shared" si="51"/>
        <v>0</v>
      </c>
      <c r="H240" s="85">
        <f t="shared" si="51"/>
        <v>0</v>
      </c>
      <c r="I240" s="85">
        <f t="shared" si="51"/>
        <v>0</v>
      </c>
      <c r="J240" s="234">
        <f ca="1">J182+J208+G223+G230</f>
        <v>63.090712781254545</v>
      </c>
    </row>
    <row r="241" spans="2:10">
      <c r="B241" s="123">
        <f>$H$215</f>
        <v>7.3</v>
      </c>
      <c r="C241" s="122" t="str">
        <f ca="1">IFERROR(SUM(F241:J241)/-E241, "NM")</f>
        <v>NM</v>
      </c>
      <c r="D241" s="110">
        <f ca="1">IFERROR(IRR(E241:J241),0)</f>
        <v>0</v>
      </c>
      <c r="E241" s="85">
        <f t="shared" ref="E241:E243" si="52">E240</f>
        <v>0</v>
      </c>
      <c r="F241" s="85">
        <f t="shared" si="51"/>
        <v>0</v>
      </c>
      <c r="G241" s="85">
        <f t="shared" si="51"/>
        <v>0</v>
      </c>
      <c r="H241" s="85">
        <f t="shared" si="51"/>
        <v>0</v>
      </c>
      <c r="I241" s="85">
        <f t="shared" si="51"/>
        <v>0</v>
      </c>
      <c r="J241" s="234">
        <f ca="1">J182+J208+H223+H230</f>
        <v>69.225083376266738</v>
      </c>
    </row>
    <row r="242" spans="2:10">
      <c r="B242" s="123">
        <f>$I$215</f>
        <v>7.8</v>
      </c>
      <c r="C242" s="122" t="str">
        <f ca="1">IFERROR(SUM(F242:J242)/-E242, "NM")</f>
        <v>NM</v>
      </c>
      <c r="D242" s="110">
        <f ca="1">IFERROR(IRR(E242:J242),0)</f>
        <v>0</v>
      </c>
      <c r="E242" s="85">
        <f t="shared" si="52"/>
        <v>0</v>
      </c>
      <c r="F242" s="85">
        <f t="shared" si="51"/>
        <v>0</v>
      </c>
      <c r="G242" s="85">
        <f t="shared" si="51"/>
        <v>0</v>
      </c>
      <c r="H242" s="85">
        <f t="shared" si="51"/>
        <v>0</v>
      </c>
      <c r="I242" s="85">
        <f t="shared" si="51"/>
        <v>0</v>
      </c>
      <c r="J242" s="234">
        <f ca="1">J182+J208+I223+I230</f>
        <v>75.359453971278896</v>
      </c>
    </row>
    <row r="243" spans="2:10">
      <c r="B243" s="123">
        <f>$J$215</f>
        <v>8.3000000000000007</v>
      </c>
      <c r="C243" s="122" t="str">
        <f ca="1">IFERROR(SUM(F243:J243)/-E243, "NM")</f>
        <v>NM</v>
      </c>
      <c r="D243" s="110">
        <f ca="1">IFERROR(IRR(E243:J243),0)</f>
        <v>0</v>
      </c>
      <c r="E243" s="85">
        <f t="shared" si="52"/>
        <v>0</v>
      </c>
      <c r="F243" s="85">
        <f t="shared" si="51"/>
        <v>0</v>
      </c>
      <c r="G243" s="85">
        <f t="shared" si="51"/>
        <v>0</v>
      </c>
      <c r="H243" s="85">
        <f t="shared" si="51"/>
        <v>0</v>
      </c>
      <c r="I243" s="85">
        <f t="shared" si="51"/>
        <v>0</v>
      </c>
      <c r="J243" s="234">
        <f ca="1">J182+J208+J223+J230</f>
        <v>81.49382456629111</v>
      </c>
    </row>
    <row r="244" spans="2:10">
      <c r="B244" s="48" t="s">
        <v>153</v>
      </c>
      <c r="C244" s="114"/>
      <c r="D244" s="110"/>
      <c r="E244" s="28"/>
      <c r="F244" s="28"/>
      <c r="G244" s="28"/>
      <c r="H244" s="28"/>
      <c r="I244" s="28"/>
      <c r="J244" s="106"/>
    </row>
    <row r="245" spans="2:10">
      <c r="B245" s="123">
        <f>$F$215</f>
        <v>6.3</v>
      </c>
      <c r="C245" s="122" t="str">
        <f ca="1">IFERROR(SUM(F245:J245)/-E245, "NM")</f>
        <v>NM</v>
      </c>
      <c r="D245" s="110">
        <f ca="1">IFERROR(IRR(E245:J245),0)</f>
        <v>0</v>
      </c>
      <c r="E245" s="85">
        <f>-D33</f>
        <v>0</v>
      </c>
      <c r="F245" s="170">
        <f>F191</f>
        <v>0</v>
      </c>
      <c r="G245" s="170">
        <f>G191</f>
        <v>0</v>
      </c>
      <c r="H245" s="170">
        <f>H191</f>
        <v>0</v>
      </c>
      <c r="I245" s="170">
        <f>I191</f>
        <v>0</v>
      </c>
      <c r="J245" s="234">
        <f ca="1">J190+J191+F229</f>
        <v>113.9126843724847</v>
      </c>
    </row>
    <row r="246" spans="2:10">
      <c r="B246" s="123">
        <f>$G$215</f>
        <v>6.8</v>
      </c>
      <c r="C246" s="122" t="str">
        <f ca="1">IFERROR(SUM(F246:J246)/-E246, "NM")</f>
        <v>NM</v>
      </c>
      <c r="D246" s="110">
        <f ca="1">IFERROR(IRR(E246:J246),0)</f>
        <v>0</v>
      </c>
      <c r="E246" s="85">
        <f>E245</f>
        <v>0</v>
      </c>
      <c r="F246" s="85">
        <f t="shared" ref="F246:I246" si="53">F245</f>
        <v>0</v>
      </c>
      <c r="G246" s="85">
        <f t="shared" si="53"/>
        <v>0</v>
      </c>
      <c r="H246" s="85">
        <f t="shared" si="53"/>
        <v>0</v>
      </c>
      <c r="I246" s="85">
        <f t="shared" si="53"/>
        <v>0</v>
      </c>
      <c r="J246" s="234">
        <f ca="1">J190+J191+G229</f>
        <v>126.18142556250909</v>
      </c>
    </row>
    <row r="247" spans="2:10">
      <c r="B247" s="123">
        <f>$H$215</f>
        <v>7.3</v>
      </c>
      <c r="C247" s="122" t="str">
        <f ca="1">IFERROR(SUM(F247:J247)/-E247, "NM")</f>
        <v>NM</v>
      </c>
      <c r="D247" s="110">
        <f ca="1">IFERROR(IRR(E247:J247),0)</f>
        <v>0</v>
      </c>
      <c r="E247" s="85">
        <f t="shared" ref="E247:E249" si="54">E246</f>
        <v>0</v>
      </c>
      <c r="F247" s="85">
        <f t="shared" ref="F247:F249" si="55">F246</f>
        <v>0</v>
      </c>
      <c r="G247" s="85">
        <f t="shared" ref="G247:G249" si="56">G246</f>
        <v>0</v>
      </c>
      <c r="H247" s="85">
        <f t="shared" ref="H247:H249" si="57">H246</f>
        <v>0</v>
      </c>
      <c r="I247" s="85">
        <f t="shared" ref="I247:I249" si="58">I246</f>
        <v>0</v>
      </c>
      <c r="J247" s="234">
        <f ca="1">J190+J191+H229</f>
        <v>138.45016675253348</v>
      </c>
    </row>
    <row r="248" spans="2:10">
      <c r="B248" s="123">
        <f>$I$215</f>
        <v>7.8</v>
      </c>
      <c r="C248" s="122" t="str">
        <f ca="1">IFERROR(SUM(F248:J248)/-E248, "NM")</f>
        <v>NM</v>
      </c>
      <c r="D248" s="110">
        <f ca="1">IFERROR(IRR(E248:J248),0)</f>
        <v>0</v>
      </c>
      <c r="E248" s="85">
        <f t="shared" si="54"/>
        <v>0</v>
      </c>
      <c r="F248" s="85">
        <f t="shared" si="55"/>
        <v>0</v>
      </c>
      <c r="G248" s="85">
        <f t="shared" si="56"/>
        <v>0</v>
      </c>
      <c r="H248" s="85">
        <f t="shared" si="57"/>
        <v>0</v>
      </c>
      <c r="I248" s="85">
        <f t="shared" si="58"/>
        <v>0</v>
      </c>
      <c r="J248" s="234">
        <f ca="1">J190+J191+I229</f>
        <v>150.71890794255779</v>
      </c>
    </row>
    <row r="249" spans="2:10">
      <c r="B249" s="123">
        <f>$J$215</f>
        <v>8.3000000000000007</v>
      </c>
      <c r="C249" s="122" t="str">
        <f ca="1">IFERROR(SUM(F249:J249)/-E249, "NM")</f>
        <v>NM</v>
      </c>
      <c r="D249" s="110">
        <f ca="1">IFERROR(IRR(E249:J249),0)</f>
        <v>0</v>
      </c>
      <c r="E249" s="85">
        <f t="shared" si="54"/>
        <v>0</v>
      </c>
      <c r="F249" s="85">
        <f t="shared" si="55"/>
        <v>0</v>
      </c>
      <c r="G249" s="85">
        <f t="shared" si="56"/>
        <v>0</v>
      </c>
      <c r="H249" s="85">
        <f t="shared" si="57"/>
        <v>0</v>
      </c>
      <c r="I249" s="85">
        <f t="shared" si="58"/>
        <v>0</v>
      </c>
      <c r="J249" s="234">
        <f ca="1">J190+J191+J229</f>
        <v>162.98764913258222</v>
      </c>
    </row>
    <row r="250" spans="2:10">
      <c r="B250" s="48" t="s">
        <v>154</v>
      </c>
      <c r="C250" s="115"/>
      <c r="D250" s="110"/>
      <c r="E250" s="28"/>
      <c r="F250" s="28"/>
      <c r="G250" s="28"/>
      <c r="H250" s="28"/>
      <c r="I250" s="28"/>
      <c r="J250" s="106"/>
    </row>
    <row r="251" spans="2:10">
      <c r="B251" s="123">
        <f>$F$215</f>
        <v>6.3</v>
      </c>
      <c r="C251" s="122" t="str">
        <f ca="1">IFERROR(SUM(F251:J251)/-E251, "NM")</f>
        <v>NM</v>
      </c>
      <c r="D251" s="110">
        <f ca="1">IFERROR(IRR(E251:J251),0)</f>
        <v>0</v>
      </c>
      <c r="E251" s="85">
        <f>-(D34)</f>
        <v>0</v>
      </c>
      <c r="F251" s="205">
        <v>0</v>
      </c>
      <c r="G251" s="205">
        <v>0</v>
      </c>
      <c r="H251" s="205">
        <v>0</v>
      </c>
      <c r="I251" s="205">
        <v>0</v>
      </c>
      <c r="J251" s="192">
        <f ca="1">F228</f>
        <v>0</v>
      </c>
    </row>
    <row r="252" spans="2:10">
      <c r="B252" s="123">
        <f>$G$215</f>
        <v>6.8</v>
      </c>
      <c r="C252" s="122" t="str">
        <f ca="1">IFERROR(SUM(F252:J252)/-E252, "NM")</f>
        <v>NM</v>
      </c>
      <c r="D252" s="110">
        <f ca="1">IFERROR(IRR(E252:J252),0)</f>
        <v>0</v>
      </c>
      <c r="E252" s="85">
        <f>E251</f>
        <v>0</v>
      </c>
      <c r="F252" s="85">
        <f t="shared" ref="F252:F255" si="59">F251</f>
        <v>0</v>
      </c>
      <c r="G252" s="85">
        <f t="shared" ref="G252:G255" si="60">G251</f>
        <v>0</v>
      </c>
      <c r="H252" s="85">
        <f t="shared" ref="H252:H255" si="61">H251</f>
        <v>0</v>
      </c>
      <c r="I252" s="85">
        <f t="shared" ref="I252:I255" si="62">I251</f>
        <v>0</v>
      </c>
      <c r="J252" s="192">
        <f ca="1">G228</f>
        <v>0</v>
      </c>
    </row>
    <row r="253" spans="2:10">
      <c r="B253" s="123">
        <f>$H$215</f>
        <v>7.3</v>
      </c>
      <c r="C253" s="122" t="str">
        <f ca="1">IFERROR(SUM(F253:J253)/-E253, "NM")</f>
        <v>NM</v>
      </c>
      <c r="D253" s="110">
        <f ca="1">IFERROR(IRR(E253:J253),0)</f>
        <v>0</v>
      </c>
      <c r="E253" s="85">
        <f t="shared" ref="E253:E255" si="63">E252</f>
        <v>0</v>
      </c>
      <c r="F253" s="85">
        <f t="shared" si="59"/>
        <v>0</v>
      </c>
      <c r="G253" s="85">
        <f t="shared" si="60"/>
        <v>0</v>
      </c>
      <c r="H253" s="85">
        <f t="shared" si="61"/>
        <v>0</v>
      </c>
      <c r="I253" s="85">
        <f t="shared" si="62"/>
        <v>0</v>
      </c>
      <c r="J253" s="192">
        <f ca="1">H228</f>
        <v>0</v>
      </c>
    </row>
    <row r="254" spans="2:10">
      <c r="B254" s="123">
        <f>$I$215</f>
        <v>7.8</v>
      </c>
      <c r="C254" s="122" t="str">
        <f ca="1">IFERROR(SUM(F254:J254)/-E254, "NM")</f>
        <v>NM</v>
      </c>
      <c r="D254" s="110">
        <f ca="1">IFERROR(IRR(E254:J254),0)</f>
        <v>0</v>
      </c>
      <c r="E254" s="85">
        <f t="shared" si="63"/>
        <v>0</v>
      </c>
      <c r="F254" s="85">
        <f t="shared" si="59"/>
        <v>0</v>
      </c>
      <c r="G254" s="85">
        <f t="shared" si="60"/>
        <v>0</v>
      </c>
      <c r="H254" s="85">
        <f t="shared" si="61"/>
        <v>0</v>
      </c>
      <c r="I254" s="85">
        <f t="shared" si="62"/>
        <v>0</v>
      </c>
      <c r="J254" s="192">
        <f ca="1">I228</f>
        <v>0</v>
      </c>
    </row>
    <row r="255" spans="2:10">
      <c r="B255" s="123">
        <f>$J$215</f>
        <v>8.3000000000000007</v>
      </c>
      <c r="C255" s="122" t="str">
        <f ca="1">IFERROR(SUM(F255:J255)/-E255, "NM")</f>
        <v>NM</v>
      </c>
      <c r="D255" s="110">
        <f ca="1">IFERROR(IRR(E255:J255),0)</f>
        <v>0</v>
      </c>
      <c r="E255" s="85">
        <f t="shared" si="63"/>
        <v>0</v>
      </c>
      <c r="F255" s="85">
        <f t="shared" si="59"/>
        <v>0</v>
      </c>
      <c r="G255" s="85">
        <f t="shared" si="60"/>
        <v>0</v>
      </c>
      <c r="H255" s="85">
        <f t="shared" si="61"/>
        <v>0</v>
      </c>
      <c r="I255" s="85">
        <f t="shared" si="62"/>
        <v>0</v>
      </c>
      <c r="J255" s="192">
        <f ca="1">J228</f>
        <v>0</v>
      </c>
    </row>
    <row r="256" spans="2:10">
      <c r="B256" s="48" t="s">
        <v>155</v>
      </c>
      <c r="C256" s="109"/>
      <c r="D256" s="111"/>
      <c r="E256" s="28"/>
      <c r="F256" s="29"/>
      <c r="G256" s="29"/>
      <c r="H256" s="29"/>
      <c r="I256" s="29"/>
      <c r="J256" s="112"/>
    </row>
    <row r="257" spans="2:11">
      <c r="B257" s="123">
        <f>$F$215</f>
        <v>6.3</v>
      </c>
      <c r="C257" s="122">
        <f ca="1">IFERROR(SUM(F257:J257)/-E257, "NM")</f>
        <v>2.7941041442050425</v>
      </c>
      <c r="D257" s="110">
        <f ca="1">IRR(E257:J257)</f>
        <v>0.22814181412760748</v>
      </c>
      <c r="E257" s="85">
        <f>-D35</f>
        <v>-1977.2939399999968</v>
      </c>
      <c r="F257" s="205">
        <v>0</v>
      </c>
      <c r="G257" s="205">
        <v>0</v>
      </c>
      <c r="H257" s="205">
        <v>0</v>
      </c>
      <c r="I257" s="205">
        <v>0</v>
      </c>
      <c r="J257" s="192">
        <f ca="1">F227</f>
        <v>5524.765192065508</v>
      </c>
    </row>
    <row r="258" spans="2:11">
      <c r="B258" s="123">
        <f>$G$215</f>
        <v>6.8</v>
      </c>
      <c r="C258" s="122">
        <f ca="1">IFERROR(SUM(F258:J258)/-E258, "NM")</f>
        <v>3.0950376248974396</v>
      </c>
      <c r="D258" s="110">
        <f ca="1">IRR(E258:J258)</f>
        <v>0.25352553898204788</v>
      </c>
      <c r="E258" s="85">
        <f>E257</f>
        <v>-1977.2939399999968</v>
      </c>
      <c r="F258" s="85">
        <f t="shared" ref="F258:F261" si="64">F257</f>
        <v>0</v>
      </c>
      <c r="G258" s="85">
        <f t="shared" ref="G258:G261" si="65">G257</f>
        <v>0</v>
      </c>
      <c r="H258" s="85">
        <f t="shared" ref="H258:H261" si="66">H257</f>
        <v>0</v>
      </c>
      <c r="I258" s="85">
        <f t="shared" ref="I258:I261" si="67">I257</f>
        <v>0</v>
      </c>
      <c r="J258" s="192">
        <f ca="1">G227</f>
        <v>6119.7991397816904</v>
      </c>
    </row>
    <row r="259" spans="2:11">
      <c r="B259" s="123">
        <f>$H$215</f>
        <v>7.3</v>
      </c>
      <c r="C259" s="122">
        <f ca="1">IFERROR(SUM(F259:J259)/-E259, "NM")</f>
        <v>3.3959711055898363</v>
      </c>
      <c r="D259" s="110">
        <f ca="1">IRR(E259:J259)</f>
        <v>0.27700558683385634</v>
      </c>
      <c r="E259" s="85">
        <f t="shared" ref="E259:E261" si="68">E258</f>
        <v>-1977.2939399999968</v>
      </c>
      <c r="F259" s="85">
        <f t="shared" si="64"/>
        <v>0</v>
      </c>
      <c r="G259" s="85">
        <f t="shared" si="65"/>
        <v>0</v>
      </c>
      <c r="H259" s="85">
        <f t="shared" si="66"/>
        <v>0</v>
      </c>
      <c r="I259" s="85">
        <f t="shared" si="67"/>
        <v>0</v>
      </c>
      <c r="J259" s="192">
        <f ca="1">H227</f>
        <v>6714.8330874978728</v>
      </c>
    </row>
    <row r="260" spans="2:11">
      <c r="B260" s="123">
        <f>$I$215</f>
        <v>7.8</v>
      </c>
      <c r="C260" s="122">
        <f ca="1">IFERROR(SUM(F260:J260)/-E260, "NM")</f>
        <v>3.6969045862822325</v>
      </c>
      <c r="D260" s="110">
        <f ca="1">IRR(E260:J260)</f>
        <v>0.29887586900495666</v>
      </c>
      <c r="E260" s="85">
        <f t="shared" si="68"/>
        <v>-1977.2939399999968</v>
      </c>
      <c r="F260" s="85">
        <f t="shared" si="64"/>
        <v>0</v>
      </c>
      <c r="G260" s="85">
        <f t="shared" si="65"/>
        <v>0</v>
      </c>
      <c r="H260" s="85">
        <f t="shared" si="66"/>
        <v>0</v>
      </c>
      <c r="I260" s="85">
        <f t="shared" si="67"/>
        <v>0</v>
      </c>
      <c r="J260" s="192">
        <f ca="1">I227</f>
        <v>7309.8670352140534</v>
      </c>
    </row>
    <row r="261" spans="2:11">
      <c r="B261" s="123">
        <f>$J$215</f>
        <v>8.3000000000000007</v>
      </c>
      <c r="C261" s="122">
        <f ca="1">IFERROR(SUM(F261:J261)/-E261, "NM")</f>
        <v>3.9978380669746296</v>
      </c>
      <c r="D261" s="110">
        <f ca="1">IRR(E261:J261)</f>
        <v>0.31936524553981438</v>
      </c>
      <c r="E261" s="85">
        <f t="shared" si="68"/>
        <v>-1977.2939399999968</v>
      </c>
      <c r="F261" s="85">
        <f t="shared" si="64"/>
        <v>0</v>
      </c>
      <c r="G261" s="85">
        <f t="shared" si="65"/>
        <v>0</v>
      </c>
      <c r="H261" s="85">
        <f t="shared" si="66"/>
        <v>0</v>
      </c>
      <c r="I261" s="85">
        <f t="shared" si="67"/>
        <v>0</v>
      </c>
      <c r="J261" s="192">
        <f ca="1">J227</f>
        <v>7904.9009829302368</v>
      </c>
    </row>
    <row r="263" spans="2:11">
      <c r="B263" s="265" t="str">
        <f>"SUMMARY AT "&amp;TEXT(H215,"0.0x")&amp;" EXIT EBITDA MULTIPLE"</f>
        <v>SUMMARY AT 7.3x EXIT EBITDA MULTIPLE</v>
      </c>
      <c r="C263" s="17"/>
      <c r="D263" s="17"/>
      <c r="E263" s="17"/>
      <c r="F263" s="13"/>
      <c r="G263" s="13"/>
      <c r="H263" s="13"/>
      <c r="I263" s="13"/>
      <c r="J263" s="13"/>
    </row>
    <row r="264" spans="2:11">
      <c r="B264" s="54"/>
      <c r="C264" s="13"/>
      <c r="D264" s="13"/>
      <c r="E264" s="13"/>
      <c r="F264" s="262" t="s">
        <v>137</v>
      </c>
      <c r="G264" s="262" t="s">
        <v>138</v>
      </c>
      <c r="H264" s="262" t="s">
        <v>157</v>
      </c>
      <c r="I264" s="262" t="s">
        <v>151</v>
      </c>
      <c r="J264" s="262" t="s">
        <v>139</v>
      </c>
    </row>
    <row r="265" spans="2:11">
      <c r="B265" s="10" t="str">
        <f t="shared" ref="B265:B272" si="69">B28</f>
        <v>Revolver</v>
      </c>
      <c r="F265" s="213">
        <f t="shared" ref="F265:F272" si="70">D28</f>
        <v>0</v>
      </c>
      <c r="G265" s="119">
        <f t="shared" ref="G265:G273" si="71">F265/SUM($F$265:$F$272)</f>
        <v>0</v>
      </c>
      <c r="H265" s="118"/>
      <c r="I265" s="124" t="str">
        <f t="shared" ref="I265:J268" ca="1" si="72">C234</f>
        <v>NM</v>
      </c>
      <c r="J265" s="117">
        <f t="shared" ca="1" si="72"/>
        <v>0</v>
      </c>
    </row>
    <row r="266" spans="2:11">
      <c r="B266" s="10" t="str">
        <f t="shared" si="69"/>
        <v>Term Loan A</v>
      </c>
      <c r="F266" s="213">
        <f t="shared" si="70"/>
        <v>2886.429000000001</v>
      </c>
      <c r="G266" s="119">
        <f t="shared" si="71"/>
        <v>0.40270677847058461</v>
      </c>
      <c r="H266" s="118"/>
      <c r="I266" s="124">
        <f t="shared" ca="1" si="72"/>
        <v>1.1505324022016596</v>
      </c>
      <c r="J266" s="117">
        <f t="shared" ca="1" si="72"/>
        <v>4.5029244587740713E-2</v>
      </c>
    </row>
    <row r="267" spans="2:11">
      <c r="B267" s="10" t="str">
        <f t="shared" si="69"/>
        <v>Term Loan B</v>
      </c>
      <c r="F267" s="213">
        <f t="shared" si="70"/>
        <v>670.8520000000002</v>
      </c>
      <c r="G267" s="119">
        <f t="shared" si="71"/>
        <v>9.3595459216404983E-2</v>
      </c>
      <c r="H267" s="118"/>
      <c r="I267" s="124">
        <f t="shared" ca="1" si="72"/>
        <v>1.2316089000000003</v>
      </c>
      <c r="J267" s="117">
        <f t="shared" ca="1" si="72"/>
        <v>5.1050158059545714E-2</v>
      </c>
    </row>
    <row r="268" spans="2:11">
      <c r="B268" s="10" t="str">
        <f t="shared" si="69"/>
        <v>Senior Note</v>
      </c>
      <c r="F268" s="213">
        <f t="shared" si="70"/>
        <v>1632.9950000000006</v>
      </c>
      <c r="G268" s="119">
        <f t="shared" si="71"/>
        <v>0.2278310520399332</v>
      </c>
      <c r="H268" s="118"/>
      <c r="I268" s="124">
        <f t="shared" si="72"/>
        <v>1.40625</v>
      </c>
      <c r="J268" s="117">
        <f t="shared" si="72"/>
        <v>8.1249999999138733E-2</v>
      </c>
    </row>
    <row r="269" spans="2:11">
      <c r="B269" s="10" t="str">
        <f t="shared" si="69"/>
        <v>Sub Note</v>
      </c>
      <c r="F269" s="213">
        <f t="shared" si="70"/>
        <v>0</v>
      </c>
      <c r="G269" s="119">
        <f t="shared" si="71"/>
        <v>0</v>
      </c>
      <c r="H269" s="119">
        <f>E230</f>
        <v>0.01</v>
      </c>
      <c r="I269" s="124" t="str">
        <f ca="1">C241</f>
        <v>NM</v>
      </c>
      <c r="J269" s="117">
        <f ca="1">D241</f>
        <v>0</v>
      </c>
      <c r="K269" s="43"/>
    </row>
    <row r="270" spans="2:11">
      <c r="B270" s="10" t="str">
        <f t="shared" si="69"/>
        <v>Preferred stock</v>
      </c>
      <c r="F270" s="213">
        <f t="shared" si="70"/>
        <v>0</v>
      </c>
      <c r="G270" s="119">
        <f t="shared" si="71"/>
        <v>0</v>
      </c>
      <c r="H270" s="119">
        <f>E229</f>
        <v>0.02</v>
      </c>
      <c r="I270" s="124" t="str">
        <f ca="1">C247</f>
        <v>NM</v>
      </c>
      <c r="J270" s="117">
        <f ca="1">D247</f>
        <v>0</v>
      </c>
    </row>
    <row r="271" spans="2:11">
      <c r="B271" s="10" t="str">
        <f t="shared" si="69"/>
        <v>Mgmt rollover</v>
      </c>
      <c r="F271" s="213">
        <f t="shared" si="70"/>
        <v>0</v>
      </c>
      <c r="G271" s="119">
        <f t="shared" si="71"/>
        <v>0</v>
      </c>
      <c r="H271" s="119">
        <f>E228</f>
        <v>0</v>
      </c>
      <c r="I271" s="124" t="str">
        <f ca="1">C253</f>
        <v>NM</v>
      </c>
      <c r="J271" s="117">
        <f ca="1">D253</f>
        <v>0</v>
      </c>
    </row>
    <row r="272" spans="2:11">
      <c r="B272" s="10" t="str">
        <f t="shared" si="69"/>
        <v>Sponsor equity</v>
      </c>
      <c r="F272" s="213">
        <f t="shared" si="70"/>
        <v>1977.2939399999968</v>
      </c>
      <c r="G272" s="119">
        <f t="shared" si="71"/>
        <v>0.27586671027307719</v>
      </c>
      <c r="H272" s="119">
        <f>E227</f>
        <v>0.97</v>
      </c>
      <c r="I272" s="124">
        <f ca="1">C259</f>
        <v>3.3959711055898363</v>
      </c>
      <c r="J272" s="117">
        <f ca="1">D259</f>
        <v>0.27700558683385634</v>
      </c>
    </row>
    <row r="273" spans="2:11">
      <c r="B273" s="38" t="s">
        <v>28</v>
      </c>
      <c r="F273" s="235">
        <f>SUM(F265:F272)</f>
        <v>7167.5699399999985</v>
      </c>
      <c r="G273" s="121">
        <f t="shared" si="71"/>
        <v>1</v>
      </c>
      <c r="H273" s="121">
        <f>SUM(H265:H272)</f>
        <v>1</v>
      </c>
    </row>
    <row r="274" spans="2:11">
      <c r="B274" s="38"/>
      <c r="E274" s="120"/>
      <c r="G274" s="121"/>
      <c r="H274" s="121"/>
    </row>
    <row r="275" spans="2:11">
      <c r="B275" s="15" t="s">
        <v>246</v>
      </c>
      <c r="C275" s="17"/>
      <c r="D275" s="155"/>
      <c r="E275" s="268"/>
      <c r="F275" s="155"/>
      <c r="G275" s="155"/>
      <c r="H275" s="155"/>
      <c r="I275" s="17"/>
      <c r="J275" s="17"/>
      <c r="K275" s="13"/>
    </row>
    <row r="276" spans="2:11">
      <c r="B276" s="157"/>
      <c r="C276" s="156"/>
      <c r="D276" s="156"/>
      <c r="E276" s="266"/>
      <c r="F276" s="156"/>
      <c r="G276" s="156"/>
      <c r="H276" s="156"/>
      <c r="I276" s="13"/>
      <c r="J276" s="13"/>
      <c r="K276" s="13"/>
    </row>
    <row r="277" spans="2:11">
      <c r="B277" s="47"/>
      <c r="C277" s="310" t="s">
        <v>245</v>
      </c>
      <c r="E277" s="312" t="s">
        <v>232</v>
      </c>
      <c r="F277" s="313"/>
      <c r="G277" s="313"/>
      <c r="H277" s="313"/>
      <c r="I277" s="313"/>
      <c r="J277" s="314"/>
      <c r="K277" s="13"/>
    </row>
    <row r="278" spans="2:11">
      <c r="B278" s="10" t="s">
        <v>230</v>
      </c>
      <c r="C278" s="304">
        <f ca="1">J272</f>
        <v>0.27700558683385634</v>
      </c>
      <c r="E278" s="315">
        <v>0.15</v>
      </c>
      <c r="F278" s="316">
        <f>E278+0.05</f>
        <v>0.2</v>
      </c>
      <c r="G278" s="316">
        <f t="shared" ref="G278:I278" si="73">F278+0.05</f>
        <v>0.25</v>
      </c>
      <c r="H278" s="316">
        <f t="shared" si="73"/>
        <v>0.3</v>
      </c>
      <c r="I278" s="316">
        <f t="shared" si="73"/>
        <v>0.35</v>
      </c>
      <c r="J278" s="317">
        <f t="shared" ref="J278" si="74">I278+0.05</f>
        <v>0.39999999999999997</v>
      </c>
      <c r="K278" s="13"/>
    </row>
    <row r="279" spans="2:11">
      <c r="B279" s="10" t="s">
        <v>70</v>
      </c>
      <c r="C279" s="291">
        <f>H17</f>
        <v>7052.7262499999997</v>
      </c>
      <c r="E279" s="286">
        <f ca="1">-(PV(E278,5,0,LBO!$H$227))+SUM(LBO!$D$27:$D$34)-LBO!$D$21-LBO!$D$22</f>
        <v>8413.8911025151319</v>
      </c>
      <c r="F279" s="58">
        <f ca="1">-(PV(F278,5,0,LBO!$H$227))+SUM(LBO!$D$27:$D$34)-LBO!$D$21-LBO!$D$22</f>
        <v>7773.9731276994435</v>
      </c>
      <c r="G279" s="58">
        <f ca="1">-(PV(G278,5,0,LBO!$H$227))+SUM(LBO!$D$27:$D$34)-LBO!$D$21-LBO!$D$22</f>
        <v>7275.748816111306</v>
      </c>
      <c r="H279" s="58">
        <f ca="1">-(PV(H278,5,0,LBO!$H$227))+SUM(LBO!$D$27:$D$34)-LBO!$D$21-LBO!$D$22</f>
        <v>6883.9320898229098</v>
      </c>
      <c r="I279" s="58">
        <f ca="1">-(PV(I278,5,0,LBO!$H$227))+SUM(LBO!$D$27:$D$34)-LBO!$D$21-LBO!$D$22</f>
        <v>6572.9307522153695</v>
      </c>
      <c r="J279" s="318">
        <f ca="1">-(PV(J278,5,0,LBO!$H$227))+SUM(LBO!$D$27:$D$34)-LBO!$D$21-LBO!$D$22</f>
        <v>6323.9509866484732</v>
      </c>
      <c r="K279" s="13"/>
    </row>
    <row r="280" spans="2:11">
      <c r="B280" s="10" t="str">
        <f>F18</f>
        <v>Diluted shares outstanding</v>
      </c>
      <c r="C280" s="305">
        <f>H18</f>
        <v>152.49137837837839</v>
      </c>
      <c r="E280" s="283">
        <f>$C$280</f>
        <v>152.49137837837839</v>
      </c>
      <c r="F280" s="28">
        <f>$C$280</f>
        <v>152.49137837837839</v>
      </c>
      <c r="G280" s="28">
        <f>$C$280</f>
        <v>152.49137837837839</v>
      </c>
      <c r="H280" s="28">
        <f>$C$280</f>
        <v>152.49137837837839</v>
      </c>
      <c r="I280" s="28">
        <f>$C$280</f>
        <v>152.49137837837839</v>
      </c>
      <c r="J280" s="319">
        <f t="shared" ref="J280" si="75">$C$280</f>
        <v>152.49137837837839</v>
      </c>
      <c r="K280" s="13"/>
    </row>
    <row r="281" spans="2:11">
      <c r="B281" s="10" t="str">
        <f>F20</f>
        <v>Offer value / per share</v>
      </c>
      <c r="C281" s="306">
        <f>C279/C280</f>
        <v>46.249999999999993</v>
      </c>
      <c r="E281" s="284">
        <f ca="1">E279/E280</f>
        <v>55.176175807380133</v>
      </c>
      <c r="F281" s="79">
        <f ca="1">F279/F280</f>
        <v>50.979755120383302</v>
      </c>
      <c r="G281" s="79">
        <f ca="1">G279/G280</f>
        <v>47.712525740687568</v>
      </c>
      <c r="H281" s="79">
        <f ca="1">H279/H280</f>
        <v>45.143090468641056</v>
      </c>
      <c r="I281" s="79">
        <f ca="1">I279/I280</f>
        <v>43.103622133350321</v>
      </c>
      <c r="J281" s="258">
        <f t="shared" ref="J281" ca="1" si="76">J279/J280</f>
        <v>41.470875625222497</v>
      </c>
      <c r="K281" s="13"/>
    </row>
    <row r="282" spans="2:11">
      <c r="B282" s="69" t="str">
        <f>F21</f>
        <v>% Premium / discount</v>
      </c>
      <c r="C282" s="307">
        <f>C281/$D$8-1</f>
        <v>1.8273888154997531E-2</v>
      </c>
      <c r="E282" s="285">
        <f ca="1">E281/$D$8-1</f>
        <v>0.21479911508983118</v>
      </c>
      <c r="F282" s="288">
        <f ca="1">F281/$D$8-1</f>
        <v>0.12240764245669977</v>
      </c>
      <c r="G282" s="288">
        <f ca="1">G281/$D$8-1</f>
        <v>5.0473926479250641E-2</v>
      </c>
      <c r="H282" s="288">
        <f ca="1">H281/$D$8-1</f>
        <v>-6.0966431386821895E-3</v>
      </c>
      <c r="I282" s="288">
        <f ca="1">I281/$D$8-1</f>
        <v>-5.0999072361287534E-2</v>
      </c>
      <c r="J282" s="320">
        <f t="shared" ref="J282" ca="1" si="77">J281/$D$8-1</f>
        <v>-8.6946815825132195E-2</v>
      </c>
      <c r="K282" s="13"/>
    </row>
    <row r="283" spans="2:11">
      <c r="B283" s="69"/>
      <c r="C283" s="308"/>
      <c r="E283" s="285"/>
      <c r="F283" s="288"/>
      <c r="G283" s="288"/>
      <c r="H283" s="288"/>
      <c r="I283" s="288"/>
      <c r="J283" s="320"/>
      <c r="K283" s="13"/>
    </row>
    <row r="284" spans="2:11">
      <c r="B284" s="91" t="s">
        <v>56</v>
      </c>
      <c r="C284" s="309">
        <f>C279-$D$14-$D$15</f>
        <v>6776.8262500000001</v>
      </c>
      <c r="E284" s="286">
        <f ca="1">E279-$D$14-$D$15</f>
        <v>8137.9911025151323</v>
      </c>
      <c r="F284" s="58">
        <f ca="1">F279-$D$14-$D$15</f>
        <v>7498.0731276994429</v>
      </c>
      <c r="G284" s="58">
        <f ca="1">G279-$D$14-$D$15</f>
        <v>6999.8488161113073</v>
      </c>
      <c r="H284" s="58">
        <f ca="1">H279-$D$14-$D$15</f>
        <v>6608.0320898229093</v>
      </c>
      <c r="I284" s="58">
        <f ca="1">I279-$D$14-$D$15</f>
        <v>6297.0307522153689</v>
      </c>
      <c r="J284" s="318">
        <f t="shared" ref="J284" ca="1" si="78">J279-$D$14-$D$15</f>
        <v>6048.0509866484736</v>
      </c>
    </row>
    <row r="285" spans="2:11">
      <c r="B285" s="69" t="s">
        <v>231</v>
      </c>
      <c r="C285" s="311">
        <f>C284/$D$13</f>
        <v>7.6773833125637223</v>
      </c>
      <c r="E285" s="287">
        <f ca="1">E284/$D$13</f>
        <v>9.219430273609527</v>
      </c>
      <c r="F285" s="321">
        <f ca="1">F284/$D$13</f>
        <v>8.4944750512058924</v>
      </c>
      <c r="G285" s="321">
        <f ca="1">G284/$D$13</f>
        <v>7.9300428414085253</v>
      </c>
      <c r="H285" s="321">
        <f ca="1">H284/$D$13</f>
        <v>7.4861584794640388</v>
      </c>
      <c r="I285" s="321">
        <f ca="1">I284/$D$13</f>
        <v>7.1338288798180205</v>
      </c>
      <c r="J285" s="322">
        <f t="shared" ref="J285" ca="1" si="79">J284/$D$13</f>
        <v>6.8517627581833827</v>
      </c>
      <c r="K285" s="13"/>
    </row>
    <row r="286" spans="2:11">
      <c r="B286" s="48"/>
      <c r="E286" s="164"/>
      <c r="G286" s="13"/>
      <c r="H286" s="13"/>
      <c r="I286" s="13"/>
      <c r="J286" s="13"/>
      <c r="K286" s="13"/>
    </row>
    <row r="287" spans="2:11">
      <c r="D287" s="267" t="s">
        <v>233</v>
      </c>
      <c r="E287" s="155"/>
      <c r="F287" s="155"/>
      <c r="G287" s="268"/>
      <c r="H287" s="155"/>
      <c r="I287" s="155"/>
      <c r="J287" s="155"/>
    </row>
    <row r="288" spans="2:11">
      <c r="B288" s="323" t="s">
        <v>247</v>
      </c>
      <c r="D288" s="241" t="s">
        <v>223</v>
      </c>
      <c r="E288" s="242"/>
      <c r="F288" s="242"/>
      <c r="G288" s="242"/>
      <c r="H288" s="242"/>
      <c r="I288" s="242"/>
      <c r="J288" s="242"/>
    </row>
    <row r="289" spans="2:14">
      <c r="B289" s="324">
        <v>0.3</v>
      </c>
      <c r="F289" s="157" t="str">
        <f>"Term A / EBITDA ratio (other cumulative leverage of "&amp;TEXT(SUM(C30:C32,C28),"0.0x")&amp;")"</f>
        <v>Term A / EBITDA ratio (other cumulative leverage of 2.6x)</v>
      </c>
      <c r="G289" s="158"/>
      <c r="H289" s="158"/>
      <c r="I289" s="158"/>
      <c r="J289" s="159"/>
      <c r="L289" s="13"/>
      <c r="M289" s="63"/>
      <c r="N289" s="63"/>
    </row>
    <row r="290" spans="2:14">
      <c r="D290" s="13"/>
      <c r="E290" s="160">
        <f ca="1">J272</f>
        <v>0.27700558683385634</v>
      </c>
      <c r="F290" s="243">
        <v>2</v>
      </c>
      <c r="G290" s="236">
        <f>F290+0.25</f>
        <v>2.25</v>
      </c>
      <c r="H290" s="236">
        <f>G290+0.25</f>
        <v>2.5</v>
      </c>
      <c r="I290" s="236">
        <f>H290+0.25</f>
        <v>2.75</v>
      </c>
      <c r="J290" s="236">
        <f>I290+0.25</f>
        <v>3</v>
      </c>
    </row>
    <row r="291" spans="2:14" ht="15" customHeight="1">
      <c r="D291" s="238"/>
      <c r="E291" s="243">
        <v>7</v>
      </c>
      <c r="F291" s="34">
        <f t="dataTable" ref="F291:J295" dt2D="1" dtr="1" r1="C29" r2="I11" ca="1"/>
        <v>0.21139806010826589</v>
      </c>
      <c r="G291" s="34">
        <v>0.22125124680604524</v>
      </c>
      <c r="H291" s="34">
        <v>0.23233612743245868</v>
      </c>
      <c r="I291" s="34">
        <v>0.24490160532271443</v>
      </c>
      <c r="J291" s="52">
        <v>0.25910075533767585</v>
      </c>
    </row>
    <row r="292" spans="2:14">
      <c r="D292" s="238" t="s">
        <v>129</v>
      </c>
      <c r="E292" s="239">
        <f>E291+0.25</f>
        <v>7.25</v>
      </c>
      <c r="F292" s="34">
        <v>0.21139805851053461</v>
      </c>
      <c r="G292" s="34">
        <v>0.22125124680604524</v>
      </c>
      <c r="H292" s="34">
        <v>0.23233612743245868</v>
      </c>
      <c r="I292" s="34">
        <v>0.24490160532271443</v>
      </c>
      <c r="J292" s="52">
        <v>0.25910075533767585</v>
      </c>
    </row>
    <row r="293" spans="2:14">
      <c r="D293" s="238" t="s">
        <v>27</v>
      </c>
      <c r="E293" s="239">
        <f>E292+0.25</f>
        <v>7.5</v>
      </c>
      <c r="F293" s="34">
        <v>0.21139805851053461</v>
      </c>
      <c r="G293" s="34">
        <v>0.22125124680604524</v>
      </c>
      <c r="H293" s="34">
        <v>0.23233612743245868</v>
      </c>
      <c r="I293" s="34">
        <v>0.24490160532271443</v>
      </c>
      <c r="J293" s="52">
        <v>0.25910075533767585</v>
      </c>
    </row>
    <row r="294" spans="2:14">
      <c r="D294" s="238" t="s">
        <v>166</v>
      </c>
      <c r="E294" s="239">
        <f>E293+0.25</f>
        <v>7.75</v>
      </c>
      <c r="F294" s="34">
        <v>0.21139805851053461</v>
      </c>
      <c r="G294" s="34">
        <v>0.22125124680604524</v>
      </c>
      <c r="H294" s="34">
        <v>0.23233612743245868</v>
      </c>
      <c r="I294" s="34">
        <v>0.24490160532271443</v>
      </c>
      <c r="J294" s="52">
        <v>0.25910075533767585</v>
      </c>
    </row>
    <row r="295" spans="2:14">
      <c r="D295" s="238"/>
      <c r="E295" s="239">
        <f>E294+0.25</f>
        <v>8</v>
      </c>
      <c r="F295" s="34">
        <v>0.21139805851053461</v>
      </c>
      <c r="G295" s="34">
        <v>0.22125124680604524</v>
      </c>
      <c r="H295" s="34">
        <v>0.23233612743245868</v>
      </c>
      <c r="I295" s="34">
        <v>0.24490160532271443</v>
      </c>
      <c r="J295" s="52">
        <v>0.25910075533767585</v>
      </c>
    </row>
    <row r="297" spans="2:14">
      <c r="D297" s="267" t="s">
        <v>234</v>
      </c>
      <c r="E297" s="155"/>
      <c r="F297" s="155"/>
      <c r="G297" s="268"/>
      <c r="H297" s="155"/>
      <c r="I297" s="155"/>
      <c r="J297" s="155"/>
    </row>
    <row r="298" spans="2:14">
      <c r="D298" s="241" t="s">
        <v>227</v>
      </c>
      <c r="E298" s="242"/>
      <c r="F298" s="242"/>
      <c r="G298" s="242"/>
      <c r="H298" s="242"/>
      <c r="I298" s="242"/>
      <c r="J298" s="242"/>
    </row>
    <row r="299" spans="2:14">
      <c r="D299" s="13"/>
      <c r="E299" s="13"/>
      <c r="F299" s="157" t="str">
        <f>"Term A / EBITDA ratio (other cumulative leverage of "&amp;TEXT(SUM(C30:C32,C28),"0.0x")&amp;")"</f>
        <v>Term A / EBITDA ratio (other cumulative leverage of 2.6x)</v>
      </c>
      <c r="G299" s="158"/>
      <c r="H299" s="158"/>
      <c r="I299" s="158"/>
      <c r="J299" s="158"/>
    </row>
    <row r="300" spans="2:14">
      <c r="D300" s="13"/>
      <c r="E300" s="160">
        <f ca="1">J272</f>
        <v>0.27700558683385634</v>
      </c>
      <c r="F300" s="243">
        <v>2</v>
      </c>
      <c r="G300" s="236">
        <f>F300+0.25</f>
        <v>2.25</v>
      </c>
      <c r="H300" s="236">
        <f>G300+0.25</f>
        <v>2.5</v>
      </c>
      <c r="I300" s="236">
        <f>H300+0.25</f>
        <v>2.75</v>
      </c>
      <c r="J300" s="236">
        <f>I300+0.25</f>
        <v>3</v>
      </c>
    </row>
    <row r="301" spans="2:14">
      <c r="D301" s="238"/>
      <c r="E301" s="244">
        <v>45</v>
      </c>
      <c r="F301" s="34">
        <f t="dataTable" ref="F301:J305" dt2D="1" dtr="1" r1="C29" r2="J20" ca="1"/>
        <v>0.22729149939651072</v>
      </c>
      <c r="G301" s="34">
        <v>0.23854255063148777</v>
      </c>
      <c r="H301" s="34">
        <v>0.25128471921687301</v>
      </c>
      <c r="I301" s="34">
        <v>0.26584437771409597</v>
      </c>
      <c r="J301" s="52">
        <v>0.28248252057610701</v>
      </c>
    </row>
    <row r="302" spans="2:14">
      <c r="D302" s="238" t="s">
        <v>129</v>
      </c>
      <c r="E302" s="237">
        <f>E301+0.25</f>
        <v>45.25</v>
      </c>
      <c r="F302" s="34">
        <v>0.22401194289442738</v>
      </c>
      <c r="G302" s="34">
        <v>0.23496579170164877</v>
      </c>
      <c r="H302" s="34">
        <v>0.247353880200472</v>
      </c>
      <c r="I302" s="34">
        <v>0.26148503420639679</v>
      </c>
      <c r="J302" s="52">
        <v>0.27759547238176552</v>
      </c>
    </row>
    <row r="303" spans="2:14">
      <c r="D303" s="238" t="s">
        <v>221</v>
      </c>
      <c r="E303" s="237">
        <f>E302+0.25</f>
        <v>45.5</v>
      </c>
      <c r="F303" s="34">
        <v>0.22078427687967839</v>
      </c>
      <c r="G303" s="34">
        <v>0.23145012689300448</v>
      </c>
      <c r="H303" s="34">
        <v>0.24349598760912361</v>
      </c>
      <c r="I303" s="34">
        <v>0.25721424443732332</v>
      </c>
      <c r="J303" s="52">
        <v>0.27281807361122423</v>
      </c>
    </row>
    <row r="304" spans="2:14">
      <c r="D304" s="238" t="s">
        <v>222</v>
      </c>
      <c r="E304" s="237">
        <f>E303+0.25</f>
        <v>45.75</v>
      </c>
      <c r="F304" s="34">
        <v>0.21760701417043693</v>
      </c>
      <c r="G304" s="34">
        <v>0.22799366987359004</v>
      </c>
      <c r="H304" s="34">
        <v>0.23970859741500194</v>
      </c>
      <c r="I304" s="34">
        <v>0.25302876536931818</v>
      </c>
      <c r="J304" s="52">
        <v>0.2681458966263619</v>
      </c>
    </row>
    <row r="305" spans="2:11">
      <c r="D305" s="238"/>
      <c r="E305" s="237">
        <f>E304+0.25</f>
        <v>46</v>
      </c>
      <c r="F305" s="34">
        <v>0.21447873027314079</v>
      </c>
      <c r="G305" s="34">
        <v>0.22459461785576584</v>
      </c>
      <c r="H305" s="34">
        <v>0.23598938291187377</v>
      </c>
      <c r="I305" s="34">
        <v>0.24892552389172695</v>
      </c>
      <c r="J305" s="52">
        <v>0.26357476916239131</v>
      </c>
    </row>
    <row r="307" spans="2:11">
      <c r="D307" s="267" t="s">
        <v>235</v>
      </c>
      <c r="E307" s="155"/>
      <c r="F307" s="155"/>
      <c r="G307" s="268"/>
      <c r="H307" s="155"/>
      <c r="I307" s="155"/>
      <c r="J307" s="155"/>
    </row>
    <row r="308" spans="2:11">
      <c r="F308" s="157" t="s">
        <v>167</v>
      </c>
      <c r="G308" s="158"/>
      <c r="H308" s="158"/>
      <c r="I308" s="158"/>
      <c r="J308" s="159"/>
    </row>
    <row r="309" spans="2:11">
      <c r="E309" s="160">
        <f ca="1">J272</f>
        <v>0.27700558683385634</v>
      </c>
      <c r="F309" s="245">
        <v>0</v>
      </c>
      <c r="G309" s="161">
        <f>F309+0.02</f>
        <v>0.02</v>
      </c>
      <c r="H309" s="161">
        <f>G309+0.02</f>
        <v>0.04</v>
      </c>
      <c r="I309" s="161">
        <f>H309+0.02</f>
        <v>0.06</v>
      </c>
      <c r="J309" s="161">
        <f>I309+0.02</f>
        <v>0.08</v>
      </c>
    </row>
    <row r="310" spans="2:11">
      <c r="D310" s="238"/>
      <c r="E310" s="245">
        <v>0</v>
      </c>
      <c r="F310" s="9">
        <f t="dataTable" ref="F310:J314" dt2D="1" dtr="1" r1="E230" r2="E229" ca="1"/>
        <v>0.28480864582638521</v>
      </c>
      <c r="G310" s="9">
        <v>0.27962779698692675</v>
      </c>
      <c r="H310" s="9">
        <v>0.27436166023742414</v>
      </c>
      <c r="I310" s="9">
        <v>0.26900701001360794</v>
      </c>
      <c r="J310" s="8">
        <v>0.26356042690749293</v>
      </c>
    </row>
    <row r="311" spans="2:11">
      <c r="D311" s="238" t="s">
        <v>168</v>
      </c>
      <c r="E311" s="240">
        <f>E310+0.02</f>
        <v>0.02</v>
      </c>
      <c r="F311" s="9">
        <v>0.27962779698692675</v>
      </c>
      <c r="G311" s="9">
        <v>0.27436166023742414</v>
      </c>
      <c r="H311" s="9">
        <v>0.26900701001360794</v>
      </c>
      <c r="I311" s="9">
        <v>0.26356042690749293</v>
      </c>
      <c r="J311" s="8">
        <v>0.25801828151016104</v>
      </c>
    </row>
    <row r="312" spans="2:11">
      <c r="D312" s="238" t="s">
        <v>169</v>
      </c>
      <c r="E312" s="240">
        <f>E311+0.02</f>
        <v>0.04</v>
      </c>
      <c r="F312" s="9">
        <v>0.27436166023742414</v>
      </c>
      <c r="G312" s="9">
        <v>0.26900701001360794</v>
      </c>
      <c r="H312" s="9">
        <v>0.26356042690749293</v>
      </c>
      <c r="I312" s="9">
        <v>0.25801828151016126</v>
      </c>
      <c r="J312" s="8">
        <v>0.25237671651517291</v>
      </c>
      <c r="K312" s="13"/>
    </row>
    <row r="313" spans="2:11">
      <c r="D313" s="238" t="s">
        <v>170</v>
      </c>
      <c r="E313" s="240">
        <f>E312+0.02</f>
        <v>0.06</v>
      </c>
      <c r="F313" s="9">
        <v>0.26900701001360794</v>
      </c>
      <c r="G313" s="9">
        <v>0.26356042690749293</v>
      </c>
      <c r="H313" s="9">
        <v>0.25801828151016126</v>
      </c>
      <c r="I313" s="9">
        <v>0.25237671651517291</v>
      </c>
      <c r="J313" s="8">
        <v>0.24663162685113238</v>
      </c>
      <c r="K313" s="13"/>
    </row>
    <row r="314" spans="2:11">
      <c r="D314" s="238"/>
      <c r="E314" s="240">
        <f>E313+0.02</f>
        <v>0.08</v>
      </c>
      <c r="F314" s="9">
        <v>0.26356042690749293</v>
      </c>
      <c r="G314" s="9">
        <v>0.25801828151016104</v>
      </c>
      <c r="H314" s="9">
        <v>0.25237671651517291</v>
      </c>
      <c r="I314" s="9">
        <v>0.2466316268511326</v>
      </c>
      <c r="J314" s="8">
        <v>0.24077863757499118</v>
      </c>
      <c r="K314" s="13"/>
    </row>
    <row r="315" spans="2:11">
      <c r="K315" s="13"/>
    </row>
    <row r="316" spans="2:11">
      <c r="B316" s="15" t="s">
        <v>216</v>
      </c>
      <c r="C316" s="17"/>
      <c r="D316" s="17"/>
      <c r="E316" s="17"/>
      <c r="F316" s="17"/>
      <c r="G316" s="17"/>
      <c r="H316" s="17"/>
      <c r="I316" s="17"/>
      <c r="J316" s="17"/>
      <c r="K316" s="13"/>
    </row>
    <row r="317" spans="2:11">
      <c r="G317" s="13"/>
      <c r="H317" s="218"/>
      <c r="I317" s="13"/>
      <c r="J317" s="219" t="s">
        <v>212</v>
      </c>
      <c r="K317" s="13"/>
    </row>
    <row r="318" spans="2:11">
      <c r="E318" s="221">
        <f>D39</f>
        <v>2012</v>
      </c>
      <c r="F318" s="221">
        <f>E39</f>
        <v>2013</v>
      </c>
      <c r="G318" s="63" t="s">
        <v>215</v>
      </c>
      <c r="H318" s="211"/>
      <c r="I318" s="63"/>
      <c r="J318" s="209">
        <f>F318</f>
        <v>2013</v>
      </c>
    </row>
    <row r="319" spans="2:11">
      <c r="B319" s="17"/>
      <c r="C319" s="17"/>
      <c r="D319" s="17"/>
      <c r="E319" s="210">
        <f>D40</f>
        <v>40999</v>
      </c>
      <c r="F319" s="210">
        <f>E40</f>
        <v>41364</v>
      </c>
      <c r="G319" s="212" t="s">
        <v>207</v>
      </c>
      <c r="H319" s="212" t="s">
        <v>208</v>
      </c>
      <c r="I319" s="212" t="s">
        <v>211</v>
      </c>
      <c r="J319" s="210">
        <f>F319</f>
        <v>41364</v>
      </c>
    </row>
    <row r="320" spans="2:11">
      <c r="B320" s="37" t="s">
        <v>47</v>
      </c>
      <c r="E320" s="82">
        <f>D141</f>
        <v>1635.6</v>
      </c>
      <c r="F320" s="82">
        <f>E141</f>
        <v>1581.9</v>
      </c>
      <c r="G320" s="213">
        <f>G332+G336-G325</f>
        <v>-8569.469939999999</v>
      </c>
      <c r="H320" s="213">
        <f>H332+H335+H336</f>
        <v>7167.5699399999985</v>
      </c>
      <c r="I320" s="213"/>
      <c r="J320" s="82">
        <f t="shared" ref="J320:J326" si="80">SUM(F320:I320)</f>
        <v>179.99999999999909</v>
      </c>
    </row>
    <row r="321" spans="2:11">
      <c r="B321" s="37" t="str">
        <f>B74</f>
        <v>Accounts receivable, EOP</v>
      </c>
      <c r="E321" s="82">
        <f>D74</f>
        <v>484.79999999999995</v>
      </c>
      <c r="F321" s="82">
        <f>E74</f>
        <v>443.7</v>
      </c>
      <c r="G321" s="118"/>
      <c r="H321" s="213"/>
      <c r="I321" s="213"/>
      <c r="J321" s="82">
        <f t="shared" si="80"/>
        <v>443.7</v>
      </c>
    </row>
    <row r="322" spans="2:11">
      <c r="B322" s="37" t="str">
        <f>B76</f>
        <v>Other current assets, EOP</v>
      </c>
      <c r="E322" s="82">
        <f>D76</f>
        <v>195.1</v>
      </c>
      <c r="F322" s="82">
        <f>E76</f>
        <v>213.1</v>
      </c>
      <c r="G322" s="118"/>
      <c r="H322" s="213"/>
      <c r="I322" s="213"/>
      <c r="J322" s="82">
        <f t="shared" si="80"/>
        <v>213.1</v>
      </c>
    </row>
    <row r="323" spans="2:11">
      <c r="B323" s="37" t="str">
        <f>B89</f>
        <v>PP&amp;E</v>
      </c>
      <c r="E323" s="82">
        <f>D89</f>
        <v>87.8</v>
      </c>
      <c r="F323" s="82">
        <f>E89</f>
        <v>85.2</v>
      </c>
      <c r="G323" s="118"/>
      <c r="H323" s="213"/>
      <c r="I323" s="213"/>
      <c r="J323" s="82">
        <f t="shared" si="80"/>
        <v>85.2</v>
      </c>
    </row>
    <row r="324" spans="2:11">
      <c r="B324" s="37" t="str">
        <f>B95</f>
        <v>Software development costs</v>
      </c>
      <c r="E324" s="82">
        <f>D95</f>
        <v>244.7</v>
      </c>
      <c r="F324" s="82">
        <f>E95</f>
        <v>271.39999999999998</v>
      </c>
      <c r="G324" s="118"/>
      <c r="H324" s="213"/>
      <c r="I324" s="213"/>
      <c r="J324" s="82">
        <f t="shared" si="80"/>
        <v>271.39999999999998</v>
      </c>
    </row>
    <row r="325" spans="2:11">
      <c r="B325" s="37" t="str">
        <f>B101</f>
        <v>Intangible assets</v>
      </c>
      <c r="E325" s="82">
        <f>D101</f>
        <v>257.5</v>
      </c>
      <c r="F325" s="82">
        <f>E101</f>
        <v>189.8</v>
      </c>
      <c r="G325" s="336"/>
      <c r="H325" s="213"/>
      <c r="I325" s="213"/>
      <c r="J325" s="82">
        <f t="shared" si="80"/>
        <v>189.8</v>
      </c>
      <c r="K325" s="118" t="s">
        <v>219</v>
      </c>
    </row>
    <row r="326" spans="2:11">
      <c r="B326" s="37" t="str">
        <f>B105</f>
        <v>Goodwill and other assets</v>
      </c>
      <c r="E326" s="193">
        <f>D105</f>
        <v>1940.3</v>
      </c>
      <c r="F326" s="193">
        <f>E105</f>
        <v>1935.2</v>
      </c>
      <c r="G326" s="214"/>
      <c r="H326" s="215"/>
      <c r="I326" s="216">
        <f>IF(K326="LBO",H17-F336,0)</f>
        <v>6234.2262499999997</v>
      </c>
      <c r="J326" s="193">
        <f t="shared" si="80"/>
        <v>8169.4262499999995</v>
      </c>
      <c r="K326" s="222" t="s">
        <v>220</v>
      </c>
    </row>
    <row r="327" spans="2:11">
      <c r="B327" s="30" t="s">
        <v>203</v>
      </c>
      <c r="E327" s="175">
        <f>SUM(E320:E326)</f>
        <v>4845.7999999999993</v>
      </c>
      <c r="F327" s="175">
        <f t="shared" ref="F327" si="81">SUM(F320:F326)</f>
        <v>4720.3</v>
      </c>
      <c r="G327" s="118"/>
      <c r="H327" s="118"/>
      <c r="I327" s="118"/>
      <c r="J327" s="175">
        <f t="shared" ref="J327" si="82">SUM(J320:J326)</f>
        <v>9552.6262499999993</v>
      </c>
    </row>
    <row r="328" spans="2:11">
      <c r="E328" s="43"/>
      <c r="F328" s="43"/>
      <c r="G328" s="118"/>
      <c r="H328" s="118"/>
      <c r="I328" s="118"/>
    </row>
    <row r="329" spans="2:11">
      <c r="B329" s="37" t="str">
        <f>B78</f>
        <v>Accounts payable, EOP</v>
      </c>
      <c r="E329" s="82">
        <f>D78</f>
        <v>32.700000000000003</v>
      </c>
      <c r="F329" s="82">
        <f>E78</f>
        <v>42.1</v>
      </c>
      <c r="G329" s="118"/>
      <c r="H329" s="213"/>
      <c r="I329" s="213"/>
      <c r="J329" s="82">
        <f>SUM(F329:I329)</f>
        <v>42.1</v>
      </c>
    </row>
    <row r="330" spans="2:11">
      <c r="B330" s="37" t="str">
        <f>B80</f>
        <v>Accrued expenses &amp; def revenues, EOP</v>
      </c>
      <c r="E330" s="82">
        <f>D80</f>
        <v>2313.3000000000002</v>
      </c>
      <c r="F330" s="82">
        <f>E80</f>
        <v>2301.6999999999998</v>
      </c>
      <c r="G330" s="118"/>
      <c r="H330" s="213"/>
      <c r="I330" s="213"/>
      <c r="J330" s="82">
        <f>SUM(F330:I330)</f>
        <v>2301.6999999999998</v>
      </c>
    </row>
    <row r="331" spans="2:11">
      <c r="B331" s="37" t="str">
        <f>B107</f>
        <v>Other liabilities</v>
      </c>
      <c r="E331" s="85">
        <f>D107</f>
        <v>232.4</v>
      </c>
      <c r="F331" s="85">
        <f>E107</f>
        <v>252</v>
      </c>
      <c r="G331" s="118"/>
      <c r="H331" s="217"/>
      <c r="I331" s="217"/>
      <c r="J331" s="82">
        <f>SUM(F331:I331)</f>
        <v>252</v>
      </c>
    </row>
    <row r="332" spans="2:11">
      <c r="B332" s="37" t="s">
        <v>209</v>
      </c>
      <c r="E332" s="152">
        <v>821.6</v>
      </c>
      <c r="F332" s="205">
        <v>1306</v>
      </c>
      <c r="G332" s="336">
        <f>-D21-F194</f>
        <v>-1375.689165</v>
      </c>
      <c r="H332" s="116">
        <f>SUM(D28:D32)</f>
        <v>5190.2760000000017</v>
      </c>
      <c r="I332" s="118"/>
      <c r="J332" s="82">
        <f>SUM(F332:I332)</f>
        <v>5120.5868350000019</v>
      </c>
    </row>
    <row r="333" spans="2:11">
      <c r="B333" s="30" t="s">
        <v>204</v>
      </c>
      <c r="E333" s="175">
        <f>SUM(E329:E332)</f>
        <v>3400</v>
      </c>
      <c r="F333" s="175">
        <f>SUM(F329:F332)</f>
        <v>3901.7999999999997</v>
      </c>
      <c r="G333" s="118"/>
      <c r="H333" s="118"/>
      <c r="I333" s="118"/>
      <c r="J333" s="175">
        <f>SUM(J329:J332)</f>
        <v>7716.3868350000012</v>
      </c>
    </row>
    <row r="334" spans="2:11">
      <c r="E334" s="43"/>
      <c r="F334" s="43"/>
      <c r="G334" s="118"/>
      <c r="H334" s="118"/>
      <c r="I334" s="118"/>
    </row>
    <row r="335" spans="2:11">
      <c r="B335" s="37" t="s">
        <v>210</v>
      </c>
      <c r="E335" s="207" t="s">
        <v>214</v>
      </c>
      <c r="F335" s="207" t="s">
        <v>214</v>
      </c>
      <c r="G335" s="118"/>
      <c r="H335" s="116">
        <f>D33</f>
        <v>0</v>
      </c>
      <c r="I335" s="118"/>
      <c r="J335" s="82">
        <f>SUM(F335:I335)</f>
        <v>0</v>
      </c>
    </row>
    <row r="336" spans="2:11">
      <c r="B336" s="37" t="s">
        <v>169</v>
      </c>
      <c r="E336" s="172">
        <v>1445.8</v>
      </c>
      <c r="F336" s="172">
        <v>818.5</v>
      </c>
      <c r="G336" s="213">
        <f>-D20-H36+D34</f>
        <v>-7193.7807749999993</v>
      </c>
      <c r="H336" s="116">
        <f>D35</f>
        <v>1977.2939399999968</v>
      </c>
      <c r="I336" s="213">
        <f>I326</f>
        <v>6234.2262499999997</v>
      </c>
      <c r="J336" s="82">
        <f>SUM(F336:I336)</f>
        <v>1836.2394149999973</v>
      </c>
    </row>
    <row r="337" spans="2:11">
      <c r="B337" s="30" t="s">
        <v>213</v>
      </c>
      <c r="E337" s="59">
        <f>SUM(E335:E336)</f>
        <v>1445.8</v>
      </c>
      <c r="F337" s="59">
        <f t="shared" ref="F337" si="83">SUM(F335:F336)</f>
        <v>818.5</v>
      </c>
      <c r="J337" s="175">
        <f t="shared" ref="J337" si="84">SUM(J335:J336)</f>
        <v>1836.2394149999973</v>
      </c>
    </row>
    <row r="338" spans="2:11">
      <c r="B338" s="69" t="s">
        <v>205</v>
      </c>
      <c r="E338" s="206">
        <f>E327-E333-E337</f>
        <v>0</v>
      </c>
      <c r="F338" s="206">
        <f>F327-F333-F337</f>
        <v>0</v>
      </c>
      <c r="G338" s="82"/>
      <c r="H338" s="43"/>
      <c r="J338" s="206">
        <f>J327-J333-J337</f>
        <v>0</v>
      </c>
    </row>
    <row r="339" spans="2:11">
      <c r="B339" s="66"/>
      <c r="D339" s="66"/>
      <c r="E339" s="206"/>
      <c r="F339" s="206"/>
      <c r="G339" s="82"/>
      <c r="H339" s="43"/>
      <c r="J339" s="206"/>
    </row>
    <row r="340" spans="2:11">
      <c r="B340" s="15" t="s">
        <v>217</v>
      </c>
      <c r="D340" s="20"/>
      <c r="E340" s="220"/>
      <c r="F340" s="261"/>
      <c r="G340" s="193"/>
      <c r="H340" s="86"/>
      <c r="I340" s="17"/>
      <c r="J340" s="220"/>
      <c r="K340" s="17"/>
    </row>
    <row r="341" spans="2:11">
      <c r="B341" s="45" t="str">
        <f>B39</f>
        <v xml:space="preserve">Fiscal year  </v>
      </c>
      <c r="C341" s="136"/>
      <c r="D341" s="40">
        <f t="shared" ref="D341:K342" si="85">C39</f>
        <v>2011</v>
      </c>
      <c r="E341" s="40">
        <f t="shared" si="85"/>
        <v>2012</v>
      </c>
      <c r="F341" s="329">
        <f t="shared" si="85"/>
        <v>2013</v>
      </c>
      <c r="G341" s="327">
        <f t="shared" si="85"/>
        <v>2014</v>
      </c>
      <c r="H341" s="41">
        <f t="shared" si="85"/>
        <v>2015</v>
      </c>
      <c r="I341" s="41">
        <f t="shared" si="85"/>
        <v>2016</v>
      </c>
      <c r="J341" s="41">
        <f t="shared" si="85"/>
        <v>2017</v>
      </c>
      <c r="K341" s="41">
        <f t="shared" si="85"/>
        <v>2018</v>
      </c>
    </row>
    <row r="342" spans="2:11">
      <c r="B342" s="17" t="str">
        <f>B40</f>
        <v>Fiscal year end date</v>
      </c>
      <c r="C342" s="17"/>
      <c r="D342" s="42">
        <f t="shared" si="85"/>
        <v>40633</v>
      </c>
      <c r="E342" s="42">
        <f t="shared" si="85"/>
        <v>40999</v>
      </c>
      <c r="F342" s="330">
        <f t="shared" si="85"/>
        <v>41364</v>
      </c>
      <c r="G342" s="42">
        <f t="shared" si="85"/>
        <v>41729</v>
      </c>
      <c r="H342" s="42">
        <f t="shared" si="85"/>
        <v>42094</v>
      </c>
      <c r="I342" s="42">
        <f t="shared" si="85"/>
        <v>42460</v>
      </c>
      <c r="J342" s="42">
        <f t="shared" si="85"/>
        <v>42825</v>
      </c>
      <c r="K342" s="42">
        <f t="shared" si="85"/>
        <v>43190</v>
      </c>
    </row>
    <row r="343" spans="2:11">
      <c r="B343" s="37" t="str">
        <f>B320</f>
        <v>Cash</v>
      </c>
      <c r="D343" s="82">
        <f t="shared" ref="D343:E350" si="86">E320</f>
        <v>1635.6</v>
      </c>
      <c r="E343" s="82">
        <f t="shared" si="86"/>
        <v>1581.9</v>
      </c>
      <c r="F343" s="331">
        <f t="shared" ref="F343:F349" si="87">J320</f>
        <v>179.99999999999909</v>
      </c>
      <c r="G343" s="51">
        <f ca="1">F141</f>
        <v>180</v>
      </c>
      <c r="H343" s="190">
        <f ca="1">G141</f>
        <v>180</v>
      </c>
      <c r="I343" s="190">
        <f ca="1">H141</f>
        <v>180</v>
      </c>
      <c r="J343" s="190">
        <f ca="1">I141</f>
        <v>180</v>
      </c>
      <c r="K343" s="190">
        <f ca="1">J141</f>
        <v>180</v>
      </c>
    </row>
    <row r="344" spans="2:11">
      <c r="B344" s="37" t="str">
        <f t="shared" ref="B344:B361" si="88">B321</f>
        <v>Accounts receivable, EOP</v>
      </c>
      <c r="D344" s="82">
        <f t="shared" si="86"/>
        <v>484.79999999999995</v>
      </c>
      <c r="E344" s="82">
        <f t="shared" si="86"/>
        <v>443.7</v>
      </c>
      <c r="F344" s="331">
        <f t="shared" si="87"/>
        <v>443.7</v>
      </c>
      <c r="G344" s="51">
        <f>F74</f>
        <v>459.22949999999997</v>
      </c>
      <c r="H344" s="190">
        <f>G74</f>
        <v>484.4871225</v>
      </c>
      <c r="I344" s="190">
        <f>H74</f>
        <v>513.55634985000006</v>
      </c>
      <c r="J344" s="190">
        <f>I74</f>
        <v>539.23416734250009</v>
      </c>
      <c r="K344" s="190">
        <f>J74</f>
        <v>565.11740737494006</v>
      </c>
    </row>
    <row r="345" spans="2:11">
      <c r="B345" s="37" t="str">
        <f t="shared" si="88"/>
        <v>Other current assets, EOP</v>
      </c>
      <c r="D345" s="82">
        <f t="shared" si="86"/>
        <v>195.1</v>
      </c>
      <c r="E345" s="82">
        <f t="shared" si="86"/>
        <v>213.1</v>
      </c>
      <c r="F345" s="331">
        <f t="shared" si="87"/>
        <v>213.1</v>
      </c>
      <c r="G345" s="51">
        <f>F76</f>
        <v>220.55850000000001</v>
      </c>
      <c r="H345" s="190">
        <f>G76</f>
        <v>232.68921750000001</v>
      </c>
      <c r="I345" s="190">
        <f>H76</f>
        <v>246.65057055000003</v>
      </c>
      <c r="J345" s="190">
        <f>I76</f>
        <v>258.98309907750001</v>
      </c>
      <c r="K345" s="190">
        <f>J76</f>
        <v>271.41428783322004</v>
      </c>
    </row>
    <row r="346" spans="2:11">
      <c r="B346" s="37" t="str">
        <f t="shared" si="88"/>
        <v>PP&amp;E</v>
      </c>
      <c r="D346" s="82">
        <f t="shared" si="86"/>
        <v>87.8</v>
      </c>
      <c r="E346" s="82">
        <f t="shared" si="86"/>
        <v>85.2</v>
      </c>
      <c r="F346" s="331">
        <f t="shared" si="87"/>
        <v>85.2</v>
      </c>
      <c r="G346" s="51">
        <f>F89</f>
        <v>73.144489795918361</v>
      </c>
      <c r="H346" s="190">
        <f>G89</f>
        <v>63.407346938775504</v>
      </c>
      <c r="I346" s="190">
        <f>H89</f>
        <v>56.452244897959183</v>
      </c>
      <c r="J346" s="190">
        <f>I89</f>
        <v>53.090612244897962</v>
      </c>
      <c r="K346" s="190">
        <f>J89</f>
        <v>53.090612244897962</v>
      </c>
    </row>
    <row r="347" spans="2:11">
      <c r="B347" s="37" t="str">
        <f t="shared" si="88"/>
        <v>Software development costs</v>
      </c>
      <c r="D347" s="82">
        <f t="shared" si="86"/>
        <v>244.7</v>
      </c>
      <c r="E347" s="82">
        <f t="shared" si="86"/>
        <v>271.39999999999998</v>
      </c>
      <c r="F347" s="331">
        <f t="shared" si="87"/>
        <v>271.39999999999998</v>
      </c>
      <c r="G347" s="51">
        <f>F95</f>
        <v>286.50864197530859</v>
      </c>
      <c r="H347" s="190">
        <f>G95</f>
        <v>297.64475308641971</v>
      </c>
      <c r="I347" s="190">
        <f>H95</f>
        <v>305.19907407407402</v>
      </c>
      <c r="J347" s="190">
        <f>I95</f>
        <v>309.36697530864188</v>
      </c>
      <c r="K347" s="190">
        <f>J95</f>
        <v>309.36697530864188</v>
      </c>
    </row>
    <row r="348" spans="2:11">
      <c r="B348" s="37" t="str">
        <f t="shared" si="88"/>
        <v>Intangible assets</v>
      </c>
      <c r="D348" s="82">
        <f t="shared" si="86"/>
        <v>257.5</v>
      </c>
      <c r="E348" s="82">
        <f t="shared" si="86"/>
        <v>189.8</v>
      </c>
      <c r="F348" s="331">
        <f t="shared" si="87"/>
        <v>189.8</v>
      </c>
      <c r="G348" s="334">
        <f>F101</f>
        <v>189.8</v>
      </c>
      <c r="H348" s="335">
        <f t="shared" ref="H348:K348" si="89">G101</f>
        <v>189.8</v>
      </c>
      <c r="I348" s="335">
        <f t="shared" si="89"/>
        <v>189.8</v>
      </c>
      <c r="J348" s="335">
        <f t="shared" si="89"/>
        <v>189.8</v>
      </c>
      <c r="K348" s="335">
        <f t="shared" si="89"/>
        <v>189.8</v>
      </c>
    </row>
    <row r="349" spans="2:11">
      <c r="B349" s="37" t="str">
        <f t="shared" si="88"/>
        <v>Goodwill and other assets</v>
      </c>
      <c r="D349" s="193">
        <f t="shared" si="86"/>
        <v>1940.3</v>
      </c>
      <c r="E349" s="193">
        <f t="shared" si="86"/>
        <v>1935.2</v>
      </c>
      <c r="F349" s="332">
        <f t="shared" si="87"/>
        <v>8169.4262499999995</v>
      </c>
      <c r="G349" s="75">
        <f>F105+$I$326</f>
        <v>8169.4262499999995</v>
      </c>
      <c r="H349" s="75">
        <f>G105+$I$326</f>
        <v>8169.4262499999995</v>
      </c>
      <c r="I349" s="75">
        <f>H105+$I$326</f>
        <v>8169.4262499999995</v>
      </c>
      <c r="J349" s="75">
        <f>I105+$I$326</f>
        <v>8169.4262499999995</v>
      </c>
      <c r="K349" s="75">
        <f>J105+$I$326</f>
        <v>8169.4262499999995</v>
      </c>
    </row>
    <row r="350" spans="2:11">
      <c r="B350" s="38" t="str">
        <f t="shared" si="88"/>
        <v>Total Assets</v>
      </c>
      <c r="D350" s="175">
        <f t="shared" si="86"/>
        <v>4845.7999999999993</v>
      </c>
      <c r="E350" s="175">
        <f t="shared" si="86"/>
        <v>4720.3</v>
      </c>
      <c r="F350" s="333">
        <f t="shared" ref="F350:K350" si="90">SUM(F343:F349)</f>
        <v>9552.6262499999993</v>
      </c>
      <c r="G350" s="328">
        <f t="shared" ca="1" si="90"/>
        <v>9578.6673817712272</v>
      </c>
      <c r="H350" s="208">
        <f t="shared" ca="1" si="90"/>
        <v>9617.4546900251953</v>
      </c>
      <c r="I350" s="208">
        <f t="shared" ca="1" si="90"/>
        <v>9661.0844893720332</v>
      </c>
      <c r="J350" s="208">
        <f t="shared" ca="1" si="90"/>
        <v>9699.9011039735396</v>
      </c>
      <c r="K350" s="208">
        <f t="shared" ca="1" si="90"/>
        <v>9738.2155327617002</v>
      </c>
    </row>
    <row r="351" spans="2:11">
      <c r="B351" s="37"/>
      <c r="D351" s="82"/>
      <c r="E351" s="82"/>
      <c r="F351" s="331"/>
      <c r="G351" s="51"/>
      <c r="H351" s="190"/>
      <c r="I351" s="190"/>
      <c r="J351" s="190"/>
      <c r="K351" s="190"/>
    </row>
    <row r="352" spans="2:11">
      <c r="B352" s="37" t="str">
        <f t="shared" si="88"/>
        <v>Accounts payable, EOP</v>
      </c>
      <c r="D352" s="82">
        <f t="shared" ref="D352:E355" si="91">E329</f>
        <v>32.700000000000003</v>
      </c>
      <c r="E352" s="82">
        <f t="shared" si="91"/>
        <v>42.1</v>
      </c>
      <c r="F352" s="331">
        <f>J329</f>
        <v>42.1</v>
      </c>
      <c r="G352" s="51">
        <f>F78</f>
        <v>41.35985068829212</v>
      </c>
      <c r="H352" s="190">
        <f>G78</f>
        <v>42.77992582446322</v>
      </c>
      <c r="I352" s="190">
        <f>H78</f>
        <v>44.440721723144954</v>
      </c>
      <c r="J352" s="190">
        <f>I78</f>
        <v>45.711458175976823</v>
      </c>
      <c r="K352" s="190">
        <f>J78</f>
        <v>46.908646152698736</v>
      </c>
    </row>
    <row r="353" spans="2:11">
      <c r="B353" s="37" t="str">
        <f t="shared" si="88"/>
        <v>Accrued expenses &amp; def revenues, EOP</v>
      </c>
      <c r="D353" s="82">
        <f t="shared" si="91"/>
        <v>2313.3000000000002</v>
      </c>
      <c r="E353" s="82">
        <f t="shared" si="91"/>
        <v>2301.6999999999998</v>
      </c>
      <c r="F353" s="331">
        <f>J330</f>
        <v>2301.6999999999998</v>
      </c>
      <c r="G353" s="51">
        <f>F80</f>
        <v>2382.2594999999997</v>
      </c>
      <c r="H353" s="190">
        <f>G80</f>
        <v>2513.2837724999995</v>
      </c>
      <c r="I353" s="190">
        <f>H80</f>
        <v>2664.0807988500001</v>
      </c>
      <c r="J353" s="190">
        <f>I80</f>
        <v>2797.2848387925001</v>
      </c>
      <c r="K353" s="190">
        <f>J80</f>
        <v>2931.5545110545399</v>
      </c>
    </row>
    <row r="354" spans="2:11">
      <c r="B354" s="37" t="str">
        <f t="shared" si="88"/>
        <v>Other liabilities</v>
      </c>
      <c r="D354" s="82">
        <f t="shared" si="91"/>
        <v>232.4</v>
      </c>
      <c r="E354" s="82">
        <f t="shared" si="91"/>
        <v>252</v>
      </c>
      <c r="F354" s="331">
        <f>J331</f>
        <v>252</v>
      </c>
      <c r="G354" s="51">
        <f>F107</f>
        <v>252</v>
      </c>
      <c r="H354" s="51">
        <f>G107</f>
        <v>252</v>
      </c>
      <c r="I354" s="51">
        <f>H107</f>
        <v>252</v>
      </c>
      <c r="J354" s="51">
        <f>I107</f>
        <v>252</v>
      </c>
      <c r="K354" s="51">
        <f>J107</f>
        <v>252</v>
      </c>
    </row>
    <row r="355" spans="2:11">
      <c r="B355" s="37" t="str">
        <f t="shared" si="88"/>
        <v xml:space="preserve">Debt </v>
      </c>
      <c r="D355" s="82">
        <f t="shared" si="91"/>
        <v>821.6</v>
      </c>
      <c r="E355" s="82">
        <f t="shared" si="91"/>
        <v>1306</v>
      </c>
      <c r="F355" s="331">
        <f>J332</f>
        <v>5120.5868350000019</v>
      </c>
      <c r="G355" s="334">
        <f ca="1">F154+F162+F170+F177+F184-F196</f>
        <v>4719.3286625852033</v>
      </c>
      <c r="H355" s="334">
        <f t="shared" ref="H355:K355" ca="1" si="92">G154+G162+G170+G177+G184-G196</f>
        <v>4209.7807128270297</v>
      </c>
      <c r="I355" s="334">
        <f t="shared" ca="1" si="92"/>
        <v>3610.7057844200062</v>
      </c>
      <c r="J355" s="334">
        <f t="shared" ca="1" si="92"/>
        <v>2947.2217518225448</v>
      </c>
      <c r="K355" s="334">
        <f t="shared" ca="1" si="92"/>
        <v>2192.3035098411165</v>
      </c>
    </row>
    <row r="356" spans="2:11">
      <c r="B356" s="37" t="str">
        <f t="shared" si="88"/>
        <v>Total Liabilities</v>
      </c>
      <c r="D356" s="175">
        <f t="shared" ref="D356:F356" si="93">SUM(D352:D355)</f>
        <v>3400</v>
      </c>
      <c r="E356" s="175">
        <f t="shared" si="93"/>
        <v>3901.7999999999997</v>
      </c>
      <c r="F356" s="333">
        <f t="shared" si="93"/>
        <v>7716.3868350000012</v>
      </c>
      <c r="G356" s="328">
        <f ca="1">SUM(G352:G355)</f>
        <v>7394.9480132734952</v>
      </c>
      <c r="H356" s="208">
        <f ca="1">SUM(H352:H355)</f>
        <v>7017.8444111514927</v>
      </c>
      <c r="I356" s="208">
        <f ca="1">SUM(I352:I355)</f>
        <v>6571.2273049931518</v>
      </c>
      <c r="J356" s="208">
        <f ca="1">SUM(J352:J355)</f>
        <v>6042.2180487910218</v>
      </c>
      <c r="K356" s="208">
        <f ca="1">SUM(K352:K355)</f>
        <v>5422.766667048355</v>
      </c>
    </row>
    <row r="357" spans="2:11">
      <c r="B357" s="37"/>
      <c r="D357" s="82"/>
      <c r="E357" s="82"/>
      <c r="F357" s="331"/>
      <c r="G357" s="51"/>
      <c r="H357" s="190"/>
      <c r="I357" s="190"/>
      <c r="J357" s="190"/>
      <c r="K357" s="190"/>
    </row>
    <row r="358" spans="2:11">
      <c r="B358" s="37" t="str">
        <f t="shared" si="88"/>
        <v>LBO Preferred stock</v>
      </c>
      <c r="D358" s="194" t="str">
        <f>E335</f>
        <v>NM</v>
      </c>
      <c r="E358" s="194" t="str">
        <f>F335</f>
        <v>NM</v>
      </c>
      <c r="F358" s="331">
        <f>J335</f>
        <v>0</v>
      </c>
      <c r="G358" s="51">
        <f>F190</f>
        <v>0</v>
      </c>
      <c r="H358" s="190">
        <f>G190</f>
        <v>0</v>
      </c>
      <c r="I358" s="190">
        <f>H190</f>
        <v>0</v>
      </c>
      <c r="J358" s="190">
        <f>I190</f>
        <v>0</v>
      </c>
      <c r="K358" s="190">
        <f>J190</f>
        <v>0</v>
      </c>
    </row>
    <row r="359" spans="2:11">
      <c r="B359" s="37" t="str">
        <f t="shared" si="88"/>
        <v>Equity</v>
      </c>
      <c r="D359" s="82">
        <f>E336</f>
        <v>1445.8</v>
      </c>
      <c r="E359" s="82">
        <f>F336</f>
        <v>818.5</v>
      </c>
      <c r="F359" s="331">
        <f>J336</f>
        <v>1836.2394149999973</v>
      </c>
      <c r="G359" s="334">
        <f ca="1">F359+F53-F191-F189+F58</f>
        <v>2183.7193684977301</v>
      </c>
      <c r="H359" s="335">
        <f t="shared" ref="H359:K359" ca="1" si="94">G359+G53-G191-G189+G58</f>
        <v>2599.6102788737021</v>
      </c>
      <c r="I359" s="335">
        <f t="shared" ca="1" si="94"/>
        <v>3089.8571843788809</v>
      </c>
      <c r="J359" s="335">
        <f t="shared" ca="1" si="94"/>
        <v>3657.6830551825165</v>
      </c>
      <c r="K359" s="335">
        <f t="shared" ca="1" si="94"/>
        <v>4315.4488657133434</v>
      </c>
    </row>
    <row r="360" spans="2:11">
      <c r="B360" s="37" t="str">
        <f t="shared" si="88"/>
        <v>Total equity</v>
      </c>
      <c r="D360" s="175">
        <f t="shared" ref="D360:E360" si="95">SUM(D358:D359)</f>
        <v>1445.8</v>
      </c>
      <c r="E360" s="175">
        <f t="shared" si="95"/>
        <v>818.5</v>
      </c>
      <c r="F360" s="333">
        <f t="shared" ref="F360:K360" si="96">SUM(F358:F359)</f>
        <v>1836.2394149999973</v>
      </c>
      <c r="G360" s="328">
        <f t="shared" ca="1" si="96"/>
        <v>2183.7193684977301</v>
      </c>
      <c r="H360" s="208">
        <f t="shared" ca="1" si="96"/>
        <v>2599.6102788737021</v>
      </c>
      <c r="I360" s="208">
        <f t="shared" ca="1" si="96"/>
        <v>3089.8571843788809</v>
      </c>
      <c r="J360" s="208">
        <f t="shared" ca="1" si="96"/>
        <v>3657.6830551825165</v>
      </c>
      <c r="K360" s="208">
        <f t="shared" ca="1" si="96"/>
        <v>4315.4488657133434</v>
      </c>
    </row>
    <row r="361" spans="2:11">
      <c r="B361" s="37" t="str">
        <f t="shared" si="88"/>
        <v>Balance check</v>
      </c>
      <c r="D361" s="82">
        <f>D350-D356-D360</f>
        <v>0</v>
      </c>
      <c r="E361" s="82">
        <f t="shared" ref="E361:F361" si="97">E350-E356-E360</f>
        <v>0</v>
      </c>
      <c r="F361" s="331">
        <f t="shared" si="97"/>
        <v>0</v>
      </c>
      <c r="G361" s="85">
        <f ca="1">G350-G356-G360</f>
        <v>0</v>
      </c>
      <c r="H361" s="82">
        <f ca="1">H350-H356-H360</f>
        <v>0</v>
      </c>
      <c r="I361" s="82">
        <f ca="1">I350-I356-I360</f>
        <v>0</v>
      </c>
      <c r="J361" s="82">
        <f ca="1">J350-J356-J360</f>
        <v>0</v>
      </c>
      <c r="K361" s="82">
        <f ca="1">K350-K356-K360</f>
        <v>0</v>
      </c>
    </row>
    <row r="362" spans="2:11">
      <c r="G362" s="82"/>
      <c r="H362" s="82"/>
      <c r="I362" s="82"/>
      <c r="J362" s="82"/>
    </row>
  </sheetData>
  <conditionalFormatting sqref="D299:J305">
    <cfRule type="expression" dxfId="4" priority="51" stopIfTrue="1">
      <formula>$H$7=1</formula>
    </cfRule>
  </conditionalFormatting>
  <conditionalFormatting sqref="D289:J295">
    <cfRule type="expression" dxfId="3" priority="52" stopIfTrue="1">
      <formula>$H$7=2</formula>
    </cfRule>
  </conditionalFormatting>
  <conditionalFormatting sqref="D288:J288">
    <cfRule type="expression" dxfId="2" priority="53">
      <formula>$H$7=1</formula>
    </cfRule>
  </conditionalFormatting>
  <conditionalFormatting sqref="D298:J298">
    <cfRule type="expression" dxfId="1" priority="54">
      <formula>$H$7=2</formula>
    </cfRule>
  </conditionalFormatting>
  <conditionalFormatting sqref="F291:J295 F310:J314 F301:J305">
    <cfRule type="cellIs" dxfId="0" priority="64" operator="greaterThan">
      <formula>$B$289</formula>
    </cfRule>
  </conditionalFormatting>
  <dataValidations count="6">
    <dataValidation type="list" allowBlank="1" showInputMessage="1" showErrorMessage="1" sqref="B3" xr:uid="{00000000-0002-0000-0000-000000000000}">
      <formula1>"$ bns except per share, $ mm except per share,$ in thousands except per share"</formula1>
    </dataValidation>
    <dataValidation type="list" allowBlank="1" showInputMessage="1" showErrorMessage="1" sqref="D10" xr:uid="{00000000-0002-0000-0000-000001000000}">
      <formula1>"ON,OFF"</formula1>
    </dataValidation>
    <dataValidation type="list" allowBlank="1" showInputMessage="1" showErrorMessage="1" sqref="K92 K98" xr:uid="{00000000-0002-0000-0000-000002000000}">
      <formula1>"Yes,No"</formula1>
    </dataValidation>
    <dataValidation type="list" allowBlank="1" showInputMessage="1" showErrorMessage="1" sqref="H7" xr:uid="{00000000-0002-0000-0000-000003000000}">
      <formula1>$I$7:$J$7</formula1>
    </dataValidation>
    <dataValidation type="list" allowBlank="1" showInputMessage="1" showErrorMessage="1" sqref="K326" xr:uid="{00000000-0002-0000-0000-000004000000}">
      <formula1>"LBO,Lev. Recap"</formula1>
    </dataValidation>
    <dataValidation allowBlank="1" showInputMessage="1" showErrorMessage="1" promptTitle="Input transaction fee assumption" prompt="Includes legal, accounting and advisory related fees.  Input as a % of the offer value." sqref="G36 C18" xr:uid="{00000000-0002-0000-0000-000005000000}"/>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28"/>
  <sheetViews>
    <sheetView zoomScaleNormal="100" workbookViewId="0">
      <selection activeCell="H24" sqref="H24"/>
    </sheetView>
  </sheetViews>
  <sheetFormatPr defaultRowHeight="15"/>
  <cols>
    <col min="1" max="1" width="1.7109375" customWidth="1"/>
    <col min="2" max="2" width="36.5703125" bestFit="1" customWidth="1"/>
    <col min="3" max="5" width="15.85546875" customWidth="1"/>
  </cols>
  <sheetData>
    <row r="1" spans="2:5" ht="15.75" thickBot="1"/>
    <row r="2" spans="2:5" ht="27" thickBot="1">
      <c r="B2" s="1" t="str">
        <f>"Diluted shares for "&amp;LBO!D6</f>
        <v>Diluted shares for BMC</v>
      </c>
      <c r="C2" s="11"/>
      <c r="D2" s="11"/>
      <c r="E2" s="257"/>
    </row>
    <row r="3" spans="2:5">
      <c r="B3" s="254" t="str">
        <f>LBO!B3</f>
        <v>$ mm except per share</v>
      </c>
      <c r="C3" s="10"/>
    </row>
    <row r="4" spans="2:5">
      <c r="B4" s="37"/>
      <c r="C4" s="10"/>
    </row>
    <row r="5" spans="2:5">
      <c r="B5" s="37" t="s">
        <v>190</v>
      </c>
      <c r="C5" s="10"/>
      <c r="E5" s="191">
        <v>46.25</v>
      </c>
    </row>
    <row r="6" spans="2:5">
      <c r="B6" s="256" t="str">
        <f>IF(E6&lt;&gt;E5,"Please ensure offer price matches offer price in model.","")</f>
        <v/>
      </c>
      <c r="C6" s="10"/>
      <c r="E6" s="255">
        <f>LBO!H20</f>
        <v>46.249999999999993</v>
      </c>
    </row>
    <row r="7" spans="2:5">
      <c r="B7" s="83" t="s">
        <v>194</v>
      </c>
      <c r="E7" s="77">
        <f>143.973</f>
        <v>143.97300000000001</v>
      </c>
    </row>
    <row r="8" spans="2:5">
      <c r="B8" s="37" t="s">
        <v>58</v>
      </c>
      <c r="C8" s="10"/>
      <c r="E8" s="154">
        <f>E28</f>
        <v>3.3</v>
      </c>
    </row>
    <row r="9" spans="2:5">
      <c r="B9" s="32" t="s">
        <v>50</v>
      </c>
      <c r="C9" s="10"/>
      <c r="E9" s="190">
        <f>SUMPRODUCT(D18:D27,E18:E27)</f>
        <v>100.9</v>
      </c>
    </row>
    <row r="10" spans="2:5">
      <c r="B10" s="32" t="s">
        <v>51</v>
      </c>
      <c r="C10" s="10"/>
      <c r="E10" s="190">
        <f>E9/E5</f>
        <v>2.1816216216216215</v>
      </c>
    </row>
    <row r="11" spans="2:5">
      <c r="B11" s="32" t="s">
        <v>52</v>
      </c>
      <c r="C11" s="10"/>
      <c r="E11" s="190">
        <f>E8-E10</f>
        <v>1.1183783783783783</v>
      </c>
    </row>
    <row r="12" spans="2:5">
      <c r="B12" s="32" t="s">
        <v>53</v>
      </c>
      <c r="C12" s="10"/>
      <c r="E12" s="250">
        <v>7.4</v>
      </c>
    </row>
    <row r="13" spans="2:5">
      <c r="B13" s="32"/>
      <c r="C13" s="10"/>
      <c r="E13" s="77"/>
    </row>
    <row r="14" spans="2:5">
      <c r="B14" s="47" t="s">
        <v>54</v>
      </c>
      <c r="C14" s="10"/>
      <c r="D14" s="82"/>
      <c r="E14" s="190">
        <f>E7+E11+E12</f>
        <v>152.49137837837839</v>
      </c>
    </row>
    <row r="15" spans="2:5">
      <c r="B15" s="47"/>
      <c r="C15" s="10"/>
      <c r="D15" s="82"/>
      <c r="E15" s="190"/>
    </row>
    <row r="16" spans="2:5">
      <c r="B16" s="95" t="s">
        <v>229</v>
      </c>
      <c r="C16" s="17"/>
      <c r="D16" s="193"/>
      <c r="E16" s="75"/>
    </row>
    <row r="17" spans="2:5">
      <c r="C17" s="99" t="s">
        <v>191</v>
      </c>
      <c r="D17" s="99" t="s">
        <v>57</v>
      </c>
      <c r="E17" s="189" t="s">
        <v>192</v>
      </c>
    </row>
    <row r="18" spans="2:5">
      <c r="B18" s="249">
        <v>1</v>
      </c>
      <c r="C18" s="250">
        <v>0.2</v>
      </c>
      <c r="D18" s="250">
        <v>15</v>
      </c>
      <c r="E18" s="251">
        <f t="shared" ref="E18:E27" si="0">IF(D18&lt;$E$5,C18,0)</f>
        <v>0.2</v>
      </c>
    </row>
    <row r="19" spans="2:5">
      <c r="B19" s="249">
        <f>B18+1</f>
        <v>2</v>
      </c>
      <c r="C19" s="250">
        <v>0.7</v>
      </c>
      <c r="D19" s="250">
        <v>18</v>
      </c>
      <c r="E19" s="251">
        <f t="shared" si="0"/>
        <v>0.7</v>
      </c>
    </row>
    <row r="20" spans="2:5">
      <c r="B20" s="249">
        <f t="shared" ref="B20:B24" si="1">B19+1</f>
        <v>3</v>
      </c>
      <c r="C20" s="250">
        <v>0.1</v>
      </c>
      <c r="D20" s="250">
        <v>22</v>
      </c>
      <c r="E20" s="251">
        <f t="shared" si="0"/>
        <v>0.1</v>
      </c>
    </row>
    <row r="21" spans="2:5">
      <c r="B21" s="249">
        <f t="shared" si="1"/>
        <v>4</v>
      </c>
      <c r="C21" s="250">
        <v>0.3</v>
      </c>
      <c r="D21" s="250">
        <v>28</v>
      </c>
      <c r="E21" s="251">
        <f t="shared" si="0"/>
        <v>0.3</v>
      </c>
    </row>
    <row r="22" spans="2:5">
      <c r="B22" s="249">
        <f t="shared" si="1"/>
        <v>5</v>
      </c>
      <c r="C22" s="250">
        <v>0.3</v>
      </c>
      <c r="D22" s="250">
        <v>32</v>
      </c>
      <c r="E22" s="251">
        <f t="shared" si="0"/>
        <v>0.3</v>
      </c>
    </row>
    <row r="23" spans="2:5">
      <c r="B23" s="249">
        <f t="shared" si="1"/>
        <v>6</v>
      </c>
      <c r="C23" s="250">
        <v>0.4</v>
      </c>
      <c r="D23" s="250">
        <v>36</v>
      </c>
      <c r="E23" s="251">
        <f t="shared" si="0"/>
        <v>0.4</v>
      </c>
    </row>
    <row r="24" spans="2:5">
      <c r="B24" s="249">
        <f t="shared" si="1"/>
        <v>7</v>
      </c>
      <c r="C24" s="250">
        <v>1.3</v>
      </c>
      <c r="D24" s="250">
        <v>39</v>
      </c>
      <c r="E24" s="251">
        <f t="shared" si="0"/>
        <v>1.3</v>
      </c>
    </row>
    <row r="25" spans="2:5">
      <c r="B25" s="249">
        <f t="shared" ref="B25:B26" si="2">B24+1</f>
        <v>8</v>
      </c>
      <c r="E25" s="251">
        <f t="shared" si="0"/>
        <v>0</v>
      </c>
    </row>
    <row r="26" spans="2:5">
      <c r="B26" s="249">
        <f t="shared" si="2"/>
        <v>9</v>
      </c>
      <c r="C26" s="250"/>
      <c r="D26" s="250"/>
      <c r="E26" s="251">
        <f t="shared" si="0"/>
        <v>0</v>
      </c>
    </row>
    <row r="27" spans="2:5">
      <c r="B27" s="249">
        <f t="shared" ref="B27" si="3">B26+1</f>
        <v>10</v>
      </c>
      <c r="C27" s="250"/>
      <c r="D27" s="250"/>
      <c r="E27" s="252">
        <f t="shared" si="0"/>
        <v>0</v>
      </c>
    </row>
    <row r="28" spans="2:5">
      <c r="E28" s="253">
        <f>SUM(E18:E27)</f>
        <v>3.3</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F268"/>
  <sheetViews>
    <sheetView zoomScaleNormal="100" workbookViewId="0"/>
  </sheetViews>
  <sheetFormatPr defaultRowHeight="15"/>
  <cols>
    <col min="1" max="1" width="19.42578125" bestFit="1" customWidth="1"/>
    <col min="2" max="5" width="9.28515625" bestFit="1" customWidth="1"/>
    <col min="6" max="6" width="10" bestFit="1" customWidth="1"/>
    <col min="9" max="9" width="9.28515625" bestFit="1" customWidth="1"/>
  </cols>
  <sheetData>
    <row r="2" spans="1:6" ht="18" thickBot="1">
      <c r="A2" s="74" t="s">
        <v>61</v>
      </c>
      <c r="B2" s="72"/>
      <c r="C2" s="72"/>
      <c r="D2" s="72"/>
      <c r="E2" s="72"/>
      <c r="F2" s="72"/>
    </row>
    <row r="4" spans="1:6">
      <c r="A4" t="s">
        <v>62</v>
      </c>
      <c r="E4" s="30">
        <f>MAX(E8:E268)</f>
        <v>46.33</v>
      </c>
    </row>
    <row r="5" spans="1:6">
      <c r="A5" t="s">
        <v>63</v>
      </c>
      <c r="E5" s="30">
        <f>MIN(E8:E268)</f>
        <v>37.51</v>
      </c>
    </row>
    <row r="7" spans="1:6">
      <c r="A7" t="s">
        <v>64</v>
      </c>
      <c r="B7" t="s">
        <v>65</v>
      </c>
      <c r="C7" t="s">
        <v>59</v>
      </c>
      <c r="D7" t="s">
        <v>60</v>
      </c>
      <c r="E7" s="30" t="s">
        <v>66</v>
      </c>
      <c r="F7" t="s">
        <v>67</v>
      </c>
    </row>
    <row r="8" spans="1:6">
      <c r="A8" s="70">
        <v>41400</v>
      </c>
      <c r="B8">
        <v>45.5</v>
      </c>
      <c r="C8">
        <v>45.71</v>
      </c>
      <c r="D8">
        <v>45.07</v>
      </c>
      <c r="E8" s="30">
        <v>45.42</v>
      </c>
      <c r="F8">
        <v>34229100</v>
      </c>
    </row>
    <row r="9" spans="1:6">
      <c r="A9" s="70">
        <v>41397</v>
      </c>
      <c r="B9">
        <v>45.67</v>
      </c>
      <c r="C9">
        <v>45.77</v>
      </c>
      <c r="D9">
        <v>45.35</v>
      </c>
      <c r="E9" s="30">
        <v>45.42</v>
      </c>
      <c r="F9">
        <v>2058200</v>
      </c>
    </row>
    <row r="10" spans="1:6">
      <c r="A10" s="70">
        <v>41396</v>
      </c>
      <c r="B10">
        <v>45.45</v>
      </c>
      <c r="C10">
        <v>45.49</v>
      </c>
      <c r="D10">
        <v>44.97</v>
      </c>
      <c r="E10" s="30">
        <v>45.24</v>
      </c>
      <c r="F10">
        <v>3022300</v>
      </c>
    </row>
    <row r="11" spans="1:6">
      <c r="A11" s="70">
        <v>41395</v>
      </c>
      <c r="B11">
        <v>45.84</v>
      </c>
      <c r="C11">
        <v>45.96</v>
      </c>
      <c r="D11">
        <v>45.25</v>
      </c>
      <c r="E11" s="30">
        <v>45.39</v>
      </c>
      <c r="F11">
        <v>2306800</v>
      </c>
    </row>
    <row r="12" spans="1:6">
      <c r="A12" s="70">
        <v>41394</v>
      </c>
      <c r="B12">
        <v>45.34</v>
      </c>
      <c r="C12">
        <v>45.52</v>
      </c>
      <c r="D12">
        <v>45.17</v>
      </c>
      <c r="E12" s="30">
        <v>45.48</v>
      </c>
      <c r="F12">
        <v>2096700</v>
      </c>
    </row>
    <row r="13" spans="1:6">
      <c r="A13" s="70">
        <v>41393</v>
      </c>
      <c r="B13">
        <v>45.5</v>
      </c>
      <c r="C13">
        <v>45.7</v>
      </c>
      <c r="D13">
        <v>45.28</v>
      </c>
      <c r="E13" s="30">
        <v>45.43</v>
      </c>
      <c r="F13">
        <v>2294400</v>
      </c>
    </row>
    <row r="14" spans="1:6">
      <c r="A14" s="70">
        <v>41390</v>
      </c>
      <c r="B14">
        <v>45.68</v>
      </c>
      <c r="C14">
        <v>45.86</v>
      </c>
      <c r="D14">
        <v>45.53</v>
      </c>
      <c r="E14" s="30">
        <v>45.6</v>
      </c>
      <c r="F14">
        <v>1694700</v>
      </c>
    </row>
    <row r="15" spans="1:6">
      <c r="A15" s="70">
        <v>41389</v>
      </c>
      <c r="B15">
        <v>45.07</v>
      </c>
      <c r="C15">
        <v>45.83</v>
      </c>
      <c r="D15">
        <v>44.87</v>
      </c>
      <c r="E15" s="30">
        <v>45.69</v>
      </c>
      <c r="F15">
        <v>2360900</v>
      </c>
    </row>
    <row r="16" spans="1:6">
      <c r="A16" s="70">
        <v>41388</v>
      </c>
      <c r="B16">
        <v>45</v>
      </c>
      <c r="C16">
        <v>45.62</v>
      </c>
      <c r="D16">
        <v>44.22</v>
      </c>
      <c r="E16" s="30">
        <v>44.9</v>
      </c>
      <c r="F16">
        <v>6814000</v>
      </c>
    </row>
    <row r="17" spans="1:6">
      <c r="A17" s="70">
        <v>41387</v>
      </c>
      <c r="B17">
        <v>44.05</v>
      </c>
      <c r="C17">
        <v>44.29</v>
      </c>
      <c r="D17">
        <v>43.66</v>
      </c>
      <c r="E17" s="30">
        <v>44.13</v>
      </c>
      <c r="F17">
        <v>2856300</v>
      </c>
    </row>
    <row r="18" spans="1:6">
      <c r="A18" s="70">
        <v>41386</v>
      </c>
      <c r="B18">
        <v>44.08</v>
      </c>
      <c r="C18">
        <v>44.09</v>
      </c>
      <c r="D18">
        <v>43.41</v>
      </c>
      <c r="E18" s="30">
        <v>43.88</v>
      </c>
      <c r="F18">
        <v>1078900</v>
      </c>
    </row>
    <row r="19" spans="1:6">
      <c r="A19" s="70">
        <v>41383</v>
      </c>
      <c r="B19">
        <v>43.56</v>
      </c>
      <c r="C19">
        <v>44.08</v>
      </c>
      <c r="D19">
        <v>43.3</v>
      </c>
      <c r="E19" s="30">
        <v>43.86</v>
      </c>
      <c r="F19">
        <v>1367800</v>
      </c>
    </row>
    <row r="20" spans="1:6">
      <c r="A20" s="70">
        <v>41382</v>
      </c>
      <c r="B20">
        <v>44.21</v>
      </c>
      <c r="C20">
        <v>44.25</v>
      </c>
      <c r="D20">
        <v>43.44</v>
      </c>
      <c r="E20" s="30">
        <v>43.75</v>
      </c>
      <c r="F20">
        <v>1451300</v>
      </c>
    </row>
    <row r="21" spans="1:6">
      <c r="A21" s="70">
        <v>41381</v>
      </c>
      <c r="B21">
        <v>44.51</v>
      </c>
      <c r="C21">
        <v>44.68</v>
      </c>
      <c r="D21">
        <v>43.54</v>
      </c>
      <c r="E21" s="30">
        <v>44.03</v>
      </c>
      <c r="F21">
        <v>2156400</v>
      </c>
    </row>
    <row r="22" spans="1:6">
      <c r="A22" s="70">
        <v>41380</v>
      </c>
      <c r="B22">
        <v>44.59</v>
      </c>
      <c r="C22">
        <v>45.03</v>
      </c>
      <c r="D22">
        <v>44.5</v>
      </c>
      <c r="E22" s="30">
        <v>44.88</v>
      </c>
      <c r="F22">
        <v>1223400</v>
      </c>
    </row>
    <row r="23" spans="1:6">
      <c r="A23" s="70">
        <v>41379</v>
      </c>
      <c r="B23">
        <v>44.9</v>
      </c>
      <c r="C23">
        <v>45</v>
      </c>
      <c r="D23">
        <v>44.32</v>
      </c>
      <c r="E23" s="30">
        <v>44.32</v>
      </c>
      <c r="F23">
        <v>1273900</v>
      </c>
    </row>
    <row r="24" spans="1:6">
      <c r="A24" s="70">
        <v>41376</v>
      </c>
      <c r="B24">
        <v>45.02</v>
      </c>
      <c r="C24">
        <v>45.02</v>
      </c>
      <c r="D24">
        <v>44.65</v>
      </c>
      <c r="E24" s="30">
        <v>44.93</v>
      </c>
      <c r="F24">
        <v>1566600</v>
      </c>
    </row>
    <row r="25" spans="1:6">
      <c r="A25" s="70">
        <v>41375</v>
      </c>
      <c r="B25">
        <v>44.72</v>
      </c>
      <c r="C25">
        <v>45.65</v>
      </c>
      <c r="D25">
        <v>44.53</v>
      </c>
      <c r="E25" s="30">
        <v>45.02</v>
      </c>
      <c r="F25">
        <v>4248900</v>
      </c>
    </row>
    <row r="26" spans="1:6">
      <c r="A26" s="70">
        <v>41374</v>
      </c>
      <c r="B26">
        <v>44.45</v>
      </c>
      <c r="C26">
        <v>44.93</v>
      </c>
      <c r="D26">
        <v>44.37</v>
      </c>
      <c r="E26" s="30">
        <v>44.75</v>
      </c>
      <c r="F26">
        <v>2023200</v>
      </c>
    </row>
    <row r="27" spans="1:6">
      <c r="A27" s="70">
        <v>41373</v>
      </c>
      <c r="B27">
        <v>44.5</v>
      </c>
      <c r="C27">
        <v>44.62</v>
      </c>
      <c r="D27">
        <v>43.98</v>
      </c>
      <c r="E27" s="30">
        <v>44.34</v>
      </c>
      <c r="F27">
        <v>1952800</v>
      </c>
    </row>
    <row r="28" spans="1:6">
      <c r="A28" s="70">
        <v>41372</v>
      </c>
      <c r="B28">
        <v>45.05</v>
      </c>
      <c r="C28">
        <v>45.1</v>
      </c>
      <c r="D28">
        <v>44.42</v>
      </c>
      <c r="E28" s="30">
        <v>44.45</v>
      </c>
      <c r="F28">
        <v>1625500</v>
      </c>
    </row>
    <row r="29" spans="1:6">
      <c r="A29" s="70">
        <v>41369</v>
      </c>
      <c r="B29">
        <v>44.55</v>
      </c>
      <c r="C29">
        <v>45.28</v>
      </c>
      <c r="D29">
        <v>44.03</v>
      </c>
      <c r="E29" s="30">
        <v>45.11</v>
      </c>
      <c r="F29">
        <v>1635700</v>
      </c>
    </row>
    <row r="30" spans="1:6">
      <c r="A30" s="70">
        <v>41368</v>
      </c>
      <c r="B30">
        <v>45.42</v>
      </c>
      <c r="C30">
        <v>45.59</v>
      </c>
      <c r="D30">
        <v>44.93</v>
      </c>
      <c r="E30" s="30">
        <v>45.14</v>
      </c>
      <c r="F30">
        <v>1004100</v>
      </c>
    </row>
    <row r="31" spans="1:6">
      <c r="A31" s="70">
        <v>41367</v>
      </c>
      <c r="B31">
        <v>46.09</v>
      </c>
      <c r="C31">
        <v>46.3</v>
      </c>
      <c r="D31">
        <v>45.07</v>
      </c>
      <c r="E31" s="30">
        <v>45.44</v>
      </c>
      <c r="F31">
        <v>1471300</v>
      </c>
    </row>
    <row r="32" spans="1:6">
      <c r="A32" s="70">
        <v>41366</v>
      </c>
      <c r="B32">
        <v>46.19</v>
      </c>
      <c r="C32">
        <v>46.49</v>
      </c>
      <c r="D32">
        <v>46.03</v>
      </c>
      <c r="E32" s="30">
        <v>46.06</v>
      </c>
      <c r="F32">
        <v>1169600</v>
      </c>
    </row>
    <row r="33" spans="1:6">
      <c r="A33" s="70">
        <v>41365</v>
      </c>
      <c r="B33">
        <v>46.29</v>
      </c>
      <c r="C33">
        <v>46.5</v>
      </c>
      <c r="D33">
        <v>45.87</v>
      </c>
      <c r="E33" s="30">
        <v>46.02</v>
      </c>
      <c r="F33">
        <v>1124600</v>
      </c>
    </row>
    <row r="34" spans="1:6">
      <c r="A34" s="70">
        <v>41362</v>
      </c>
      <c r="B34">
        <v>46.33</v>
      </c>
      <c r="C34">
        <v>46.33</v>
      </c>
      <c r="D34">
        <v>46.33</v>
      </c>
      <c r="E34" s="30">
        <v>46.33</v>
      </c>
      <c r="F34">
        <v>0</v>
      </c>
    </row>
    <row r="35" spans="1:6">
      <c r="A35" s="70">
        <v>41361</v>
      </c>
      <c r="B35">
        <v>45.61</v>
      </c>
      <c r="C35">
        <v>46.48</v>
      </c>
      <c r="D35">
        <v>45.61</v>
      </c>
      <c r="E35" s="30">
        <v>46.33</v>
      </c>
      <c r="F35">
        <v>1145800</v>
      </c>
    </row>
    <row r="36" spans="1:6">
      <c r="A36" s="70">
        <v>41360</v>
      </c>
      <c r="B36">
        <v>45.63</v>
      </c>
      <c r="C36">
        <v>45.92</v>
      </c>
      <c r="D36">
        <v>45.25</v>
      </c>
      <c r="E36" s="30">
        <v>45.73</v>
      </c>
      <c r="F36">
        <v>1127000</v>
      </c>
    </row>
    <row r="37" spans="1:6">
      <c r="A37" s="70">
        <v>41359</v>
      </c>
      <c r="B37">
        <v>45.86</v>
      </c>
      <c r="C37">
        <v>46.18</v>
      </c>
      <c r="D37">
        <v>45.66</v>
      </c>
      <c r="E37" s="30">
        <v>45.78</v>
      </c>
      <c r="F37">
        <v>1283100</v>
      </c>
    </row>
    <row r="38" spans="1:6">
      <c r="A38" s="70">
        <v>41358</v>
      </c>
      <c r="B38">
        <v>45.95</v>
      </c>
      <c r="C38">
        <v>46.05</v>
      </c>
      <c r="D38">
        <v>45.49</v>
      </c>
      <c r="E38" s="30">
        <v>45.7</v>
      </c>
      <c r="F38">
        <v>1757200</v>
      </c>
    </row>
    <row r="39" spans="1:6">
      <c r="A39" s="70">
        <v>41355</v>
      </c>
      <c r="B39">
        <v>45.49</v>
      </c>
      <c r="C39">
        <v>45.93</v>
      </c>
      <c r="D39">
        <v>45.39</v>
      </c>
      <c r="E39" s="30">
        <v>45.74</v>
      </c>
      <c r="F39">
        <v>2110000</v>
      </c>
    </row>
    <row r="40" spans="1:6">
      <c r="A40" s="70">
        <v>41354</v>
      </c>
      <c r="B40">
        <v>43.61</v>
      </c>
      <c r="C40">
        <v>47.98</v>
      </c>
      <c r="D40">
        <v>43.5</v>
      </c>
      <c r="E40" s="30">
        <v>45.48</v>
      </c>
      <c r="F40">
        <v>6592300</v>
      </c>
    </row>
    <row r="41" spans="1:6">
      <c r="A41" s="70">
        <v>41353</v>
      </c>
      <c r="B41">
        <v>44.03</v>
      </c>
      <c r="C41">
        <v>44.45</v>
      </c>
      <c r="D41">
        <v>43.83</v>
      </c>
      <c r="E41" s="30">
        <v>43.99</v>
      </c>
      <c r="F41">
        <v>914200</v>
      </c>
    </row>
    <row r="42" spans="1:6">
      <c r="A42" s="70">
        <v>41352</v>
      </c>
      <c r="B42">
        <v>44.09</v>
      </c>
      <c r="C42">
        <v>44.16</v>
      </c>
      <c r="D42">
        <v>43.4</v>
      </c>
      <c r="E42" s="30">
        <v>43.68</v>
      </c>
      <c r="F42">
        <v>1214500</v>
      </c>
    </row>
    <row r="43" spans="1:6">
      <c r="A43" s="70">
        <v>41351</v>
      </c>
      <c r="B43">
        <v>43.65</v>
      </c>
      <c r="C43">
        <v>44.4</v>
      </c>
      <c r="D43">
        <v>43.56</v>
      </c>
      <c r="E43" s="30">
        <v>43.98</v>
      </c>
      <c r="F43">
        <v>1173700</v>
      </c>
    </row>
    <row r="44" spans="1:6">
      <c r="A44" s="70">
        <v>41348</v>
      </c>
      <c r="B44">
        <v>44.12</v>
      </c>
      <c r="C44">
        <v>44.69</v>
      </c>
      <c r="D44">
        <v>44.09</v>
      </c>
      <c r="E44" s="30">
        <v>44.12</v>
      </c>
      <c r="F44">
        <v>2730000</v>
      </c>
    </row>
    <row r="45" spans="1:6">
      <c r="A45" s="70">
        <v>41347</v>
      </c>
      <c r="B45">
        <v>43.88</v>
      </c>
      <c r="C45">
        <v>44.5</v>
      </c>
      <c r="D45">
        <v>43.83</v>
      </c>
      <c r="E45" s="30">
        <v>44.29</v>
      </c>
      <c r="F45">
        <v>2030500</v>
      </c>
    </row>
    <row r="46" spans="1:6">
      <c r="A46" s="70">
        <v>41346</v>
      </c>
      <c r="B46">
        <v>43.72</v>
      </c>
      <c r="C46">
        <v>44.12</v>
      </c>
      <c r="D46">
        <v>43.62</v>
      </c>
      <c r="E46" s="30">
        <v>43.66</v>
      </c>
      <c r="F46">
        <v>1725200</v>
      </c>
    </row>
    <row r="47" spans="1:6">
      <c r="A47" s="70">
        <v>41345</v>
      </c>
      <c r="B47">
        <v>43</v>
      </c>
      <c r="C47">
        <v>43.77</v>
      </c>
      <c r="D47">
        <v>43</v>
      </c>
      <c r="E47" s="30">
        <v>43.72</v>
      </c>
      <c r="F47">
        <v>1969000</v>
      </c>
    </row>
    <row r="48" spans="1:6">
      <c r="A48" s="70">
        <v>41344</v>
      </c>
      <c r="B48">
        <v>42.88</v>
      </c>
      <c r="C48">
        <v>43.48</v>
      </c>
      <c r="D48">
        <v>42.81</v>
      </c>
      <c r="E48" s="30">
        <v>43.4</v>
      </c>
      <c r="F48">
        <v>1858400</v>
      </c>
    </row>
    <row r="49" spans="1:6">
      <c r="A49" s="70">
        <v>41341</v>
      </c>
      <c r="B49">
        <v>42.46</v>
      </c>
      <c r="C49">
        <v>43.13</v>
      </c>
      <c r="D49">
        <v>42.35</v>
      </c>
      <c r="E49" s="30">
        <v>42.91</v>
      </c>
      <c r="F49">
        <v>1595900</v>
      </c>
    </row>
    <row r="50" spans="1:6">
      <c r="A50" s="70">
        <v>41340</v>
      </c>
      <c r="B50">
        <v>42.2</v>
      </c>
      <c r="C50">
        <v>42.55</v>
      </c>
      <c r="D50">
        <v>42.18</v>
      </c>
      <c r="E50" s="30">
        <v>42.33</v>
      </c>
      <c r="F50">
        <v>844600</v>
      </c>
    </row>
    <row r="51" spans="1:6">
      <c r="A51" s="70">
        <v>41339</v>
      </c>
      <c r="B51">
        <v>42.34</v>
      </c>
      <c r="C51">
        <v>42.63</v>
      </c>
      <c r="D51">
        <v>42.18</v>
      </c>
      <c r="E51" s="30">
        <v>42.22</v>
      </c>
      <c r="F51">
        <v>1318300</v>
      </c>
    </row>
    <row r="52" spans="1:6">
      <c r="A52" s="70">
        <v>41338</v>
      </c>
      <c r="B52">
        <v>41.41</v>
      </c>
      <c r="C52">
        <v>42.77</v>
      </c>
      <c r="D52">
        <v>41.37</v>
      </c>
      <c r="E52" s="30">
        <v>42.32</v>
      </c>
      <c r="F52">
        <v>2841500</v>
      </c>
    </row>
    <row r="53" spans="1:6">
      <c r="A53" s="70">
        <v>41337</v>
      </c>
      <c r="B53">
        <v>40.35</v>
      </c>
      <c r="C53">
        <v>40.880000000000003</v>
      </c>
      <c r="D53">
        <v>40.35</v>
      </c>
      <c r="E53" s="30">
        <v>40.799999999999997</v>
      </c>
      <c r="F53">
        <v>1428200</v>
      </c>
    </row>
    <row r="54" spans="1:6">
      <c r="A54" s="70">
        <v>41334</v>
      </c>
      <c r="B54">
        <v>39.83</v>
      </c>
      <c r="C54">
        <v>40.69</v>
      </c>
      <c r="D54">
        <v>39.46</v>
      </c>
      <c r="E54" s="30">
        <v>40.43</v>
      </c>
      <c r="F54">
        <v>1672500</v>
      </c>
    </row>
    <row r="55" spans="1:6">
      <c r="A55" s="70">
        <v>41333</v>
      </c>
      <c r="B55">
        <v>40.17</v>
      </c>
      <c r="C55">
        <v>40.619999999999997</v>
      </c>
      <c r="D55">
        <v>40.049999999999997</v>
      </c>
      <c r="E55" s="30">
        <v>40.11</v>
      </c>
      <c r="F55">
        <v>2814900</v>
      </c>
    </row>
    <row r="56" spans="1:6">
      <c r="A56" s="70">
        <v>41332</v>
      </c>
      <c r="B56">
        <v>40.01</v>
      </c>
      <c r="C56">
        <v>40.53</v>
      </c>
      <c r="D56">
        <v>39.880000000000003</v>
      </c>
      <c r="E56" s="30">
        <v>40.06</v>
      </c>
      <c r="F56">
        <v>1715200</v>
      </c>
    </row>
    <row r="57" spans="1:6">
      <c r="A57" s="70">
        <v>41331</v>
      </c>
      <c r="B57">
        <v>40.200000000000003</v>
      </c>
      <c r="C57">
        <v>40.270000000000003</v>
      </c>
      <c r="D57">
        <v>39.549999999999997</v>
      </c>
      <c r="E57" s="30">
        <v>40.03</v>
      </c>
      <c r="F57">
        <v>1904600</v>
      </c>
    </row>
    <row r="58" spans="1:6">
      <c r="A58" s="70">
        <v>41330</v>
      </c>
      <c r="B58">
        <v>40.61</v>
      </c>
      <c r="C58">
        <v>40.9</v>
      </c>
      <c r="D58">
        <v>40.06</v>
      </c>
      <c r="E58" s="30">
        <v>40.1</v>
      </c>
      <c r="F58">
        <v>1926800</v>
      </c>
    </row>
    <row r="59" spans="1:6">
      <c r="A59" s="70">
        <v>41327</v>
      </c>
      <c r="B59">
        <v>40.619999999999997</v>
      </c>
      <c r="C59">
        <v>40.74</v>
      </c>
      <c r="D59">
        <v>40.4</v>
      </c>
      <c r="E59" s="30">
        <v>40.54</v>
      </c>
      <c r="F59">
        <v>1363200</v>
      </c>
    </row>
    <row r="60" spans="1:6">
      <c r="A60" s="70">
        <v>41326</v>
      </c>
      <c r="B60">
        <v>41.09</v>
      </c>
      <c r="C60">
        <v>41.2</v>
      </c>
      <c r="D60">
        <v>40.15</v>
      </c>
      <c r="E60" s="30">
        <v>40.46</v>
      </c>
      <c r="F60">
        <v>1580100</v>
      </c>
    </row>
    <row r="61" spans="1:6">
      <c r="A61" s="70">
        <v>41325</v>
      </c>
      <c r="B61">
        <v>41.62</v>
      </c>
      <c r="C61">
        <v>42.13</v>
      </c>
      <c r="D61">
        <v>41.1</v>
      </c>
      <c r="E61" s="30">
        <v>41.11</v>
      </c>
      <c r="F61">
        <v>1591200</v>
      </c>
    </row>
    <row r="62" spans="1:6">
      <c r="A62" s="70">
        <v>41324</v>
      </c>
      <c r="B62">
        <v>41.42</v>
      </c>
      <c r="C62">
        <v>41.79</v>
      </c>
      <c r="D62">
        <v>41.2</v>
      </c>
      <c r="E62" s="30">
        <v>41.59</v>
      </c>
      <c r="F62">
        <v>1148200</v>
      </c>
    </row>
    <row r="63" spans="1:6">
      <c r="A63" s="70">
        <v>41323</v>
      </c>
      <c r="B63">
        <v>41.37</v>
      </c>
      <c r="C63">
        <v>41.37</v>
      </c>
      <c r="D63">
        <v>41.37</v>
      </c>
      <c r="E63" s="30">
        <v>41.37</v>
      </c>
      <c r="F63">
        <v>0</v>
      </c>
    </row>
    <row r="64" spans="1:6">
      <c r="A64" s="70">
        <v>41320</v>
      </c>
      <c r="B64">
        <v>41.29</v>
      </c>
      <c r="C64">
        <v>41.82</v>
      </c>
      <c r="D64">
        <v>41.27</v>
      </c>
      <c r="E64" s="30">
        <v>41.37</v>
      </c>
      <c r="F64">
        <v>1437300</v>
      </c>
    </row>
    <row r="65" spans="1:6">
      <c r="A65" s="70">
        <v>41319</v>
      </c>
      <c r="B65">
        <v>41</v>
      </c>
      <c r="C65">
        <v>41.57</v>
      </c>
      <c r="D65">
        <v>40.92</v>
      </c>
      <c r="E65" s="30">
        <v>41.46</v>
      </c>
      <c r="F65">
        <v>1182500</v>
      </c>
    </row>
    <row r="66" spans="1:6">
      <c r="A66" s="70">
        <v>41318</v>
      </c>
      <c r="B66">
        <v>41.28</v>
      </c>
      <c r="C66">
        <v>41.43</v>
      </c>
      <c r="D66">
        <v>40.97</v>
      </c>
      <c r="E66" s="30">
        <v>41.09</v>
      </c>
      <c r="F66">
        <v>1813600</v>
      </c>
    </row>
    <row r="67" spans="1:6">
      <c r="A67" s="70">
        <v>41317</v>
      </c>
      <c r="B67">
        <v>41.4</v>
      </c>
      <c r="C67">
        <v>41.59</v>
      </c>
      <c r="D67">
        <v>41.17</v>
      </c>
      <c r="E67" s="30">
        <v>41.24</v>
      </c>
      <c r="F67">
        <v>1378100</v>
      </c>
    </row>
    <row r="68" spans="1:6">
      <c r="A68" s="70">
        <v>41316</v>
      </c>
      <c r="B68">
        <v>41.8</v>
      </c>
      <c r="C68">
        <v>41.86</v>
      </c>
      <c r="D68">
        <v>40.94</v>
      </c>
      <c r="E68" s="30">
        <v>41.4</v>
      </c>
      <c r="F68">
        <v>2472600</v>
      </c>
    </row>
    <row r="69" spans="1:6">
      <c r="A69" s="70">
        <v>41313</v>
      </c>
      <c r="B69">
        <v>42</v>
      </c>
      <c r="C69">
        <v>42.46</v>
      </c>
      <c r="D69">
        <v>41.56</v>
      </c>
      <c r="E69" s="30">
        <v>41.86</v>
      </c>
      <c r="F69">
        <v>1231600</v>
      </c>
    </row>
    <row r="70" spans="1:6">
      <c r="A70" s="70">
        <v>41312</v>
      </c>
      <c r="B70">
        <v>41.6</v>
      </c>
      <c r="C70">
        <v>41.98</v>
      </c>
      <c r="D70">
        <v>41.49</v>
      </c>
      <c r="E70" s="30">
        <v>41.95</v>
      </c>
      <c r="F70">
        <v>1919200</v>
      </c>
    </row>
    <row r="71" spans="1:6">
      <c r="A71" s="70">
        <v>41311</v>
      </c>
      <c r="B71">
        <v>41.91</v>
      </c>
      <c r="C71">
        <v>42.17</v>
      </c>
      <c r="D71">
        <v>41.6</v>
      </c>
      <c r="E71" s="30">
        <v>41.85</v>
      </c>
      <c r="F71">
        <v>2420600</v>
      </c>
    </row>
    <row r="72" spans="1:6">
      <c r="A72" s="70">
        <v>41310</v>
      </c>
      <c r="B72">
        <v>41.84</v>
      </c>
      <c r="C72">
        <v>42.25</v>
      </c>
      <c r="D72">
        <v>41.59</v>
      </c>
      <c r="E72" s="30">
        <v>42.1</v>
      </c>
      <c r="F72">
        <v>1671600</v>
      </c>
    </row>
    <row r="73" spans="1:6">
      <c r="A73" s="70">
        <v>41309</v>
      </c>
      <c r="B73">
        <v>41.81</v>
      </c>
      <c r="C73">
        <v>42.21</v>
      </c>
      <c r="D73">
        <v>41.55</v>
      </c>
      <c r="E73" s="30">
        <v>41.56</v>
      </c>
      <c r="F73">
        <v>1851700</v>
      </c>
    </row>
    <row r="74" spans="1:6">
      <c r="A74" s="70">
        <v>41306</v>
      </c>
      <c r="B74">
        <v>41.97</v>
      </c>
      <c r="C74">
        <v>42.44</v>
      </c>
      <c r="D74">
        <v>41.63</v>
      </c>
      <c r="E74" s="30">
        <v>42.17</v>
      </c>
      <c r="F74">
        <v>1643200</v>
      </c>
    </row>
    <row r="75" spans="1:6">
      <c r="A75" s="70">
        <v>41305</v>
      </c>
      <c r="B75">
        <v>41.34</v>
      </c>
      <c r="C75">
        <v>41.95</v>
      </c>
      <c r="D75">
        <v>41.34</v>
      </c>
      <c r="E75" s="30">
        <v>41.55</v>
      </c>
      <c r="F75">
        <v>1523700</v>
      </c>
    </row>
    <row r="76" spans="1:6">
      <c r="A76" s="70">
        <v>41304</v>
      </c>
      <c r="B76">
        <v>41.65</v>
      </c>
      <c r="C76">
        <v>41.85</v>
      </c>
      <c r="D76">
        <v>41.22</v>
      </c>
      <c r="E76" s="30">
        <v>41.47</v>
      </c>
      <c r="F76">
        <v>2894600</v>
      </c>
    </row>
    <row r="77" spans="1:6">
      <c r="A77" s="70">
        <v>41303</v>
      </c>
      <c r="B77">
        <v>40</v>
      </c>
      <c r="C77">
        <v>41.71</v>
      </c>
      <c r="D77">
        <v>40</v>
      </c>
      <c r="E77" s="30">
        <v>41.71</v>
      </c>
      <c r="F77">
        <v>4776700</v>
      </c>
    </row>
    <row r="78" spans="1:6">
      <c r="A78" s="70">
        <v>41302</v>
      </c>
      <c r="B78">
        <v>44.8</v>
      </c>
      <c r="C78">
        <v>44.99</v>
      </c>
      <c r="D78">
        <v>44.42</v>
      </c>
      <c r="E78" s="30">
        <v>44.48</v>
      </c>
      <c r="F78">
        <v>1739200</v>
      </c>
    </row>
    <row r="79" spans="1:6">
      <c r="A79" s="70">
        <v>41299</v>
      </c>
      <c r="B79">
        <v>44.25</v>
      </c>
      <c r="C79">
        <v>44.82</v>
      </c>
      <c r="D79">
        <v>44.1</v>
      </c>
      <c r="E79" s="30">
        <v>44.5</v>
      </c>
      <c r="F79">
        <v>1062100</v>
      </c>
    </row>
    <row r="80" spans="1:6">
      <c r="A80" s="70">
        <v>41298</v>
      </c>
      <c r="B80">
        <v>43.86</v>
      </c>
      <c r="C80">
        <v>44.53</v>
      </c>
      <c r="D80">
        <v>43.85</v>
      </c>
      <c r="E80" s="30">
        <v>44.05</v>
      </c>
      <c r="F80">
        <v>993700</v>
      </c>
    </row>
    <row r="81" spans="1:6">
      <c r="A81" s="70">
        <v>41297</v>
      </c>
      <c r="B81">
        <v>43.73</v>
      </c>
      <c r="C81">
        <v>44.22</v>
      </c>
      <c r="D81">
        <v>43.54</v>
      </c>
      <c r="E81" s="30">
        <v>43.91</v>
      </c>
      <c r="F81">
        <v>1443000</v>
      </c>
    </row>
    <row r="82" spans="1:6">
      <c r="A82" s="70">
        <v>41296</v>
      </c>
      <c r="B82">
        <v>43.7</v>
      </c>
      <c r="C82">
        <v>43.83</v>
      </c>
      <c r="D82">
        <v>43.22</v>
      </c>
      <c r="E82" s="30">
        <v>43.36</v>
      </c>
      <c r="F82">
        <v>1117200</v>
      </c>
    </row>
    <row r="83" spans="1:6">
      <c r="A83" s="70">
        <v>41295</v>
      </c>
      <c r="B83">
        <v>43.81</v>
      </c>
      <c r="C83">
        <v>43.81</v>
      </c>
      <c r="D83">
        <v>43.81</v>
      </c>
      <c r="E83" s="30">
        <v>43.81</v>
      </c>
      <c r="F83">
        <v>0</v>
      </c>
    </row>
    <row r="84" spans="1:6">
      <c r="A84" s="70">
        <v>41292</v>
      </c>
      <c r="B84">
        <v>42.87</v>
      </c>
      <c r="C84">
        <v>43.82</v>
      </c>
      <c r="D84">
        <v>42.87</v>
      </c>
      <c r="E84" s="30">
        <v>43.81</v>
      </c>
      <c r="F84">
        <v>2141600</v>
      </c>
    </row>
    <row r="85" spans="1:6">
      <c r="A85" s="70">
        <v>41291</v>
      </c>
      <c r="B85">
        <v>42.82</v>
      </c>
      <c r="C85">
        <v>42.95</v>
      </c>
      <c r="D85">
        <v>42.65</v>
      </c>
      <c r="E85" s="30">
        <v>42.76</v>
      </c>
      <c r="F85">
        <v>995600</v>
      </c>
    </row>
    <row r="86" spans="1:6">
      <c r="A86" s="70">
        <v>41290</v>
      </c>
      <c r="B86">
        <v>42.61</v>
      </c>
      <c r="C86">
        <v>42.83</v>
      </c>
      <c r="D86">
        <v>42.17</v>
      </c>
      <c r="E86" s="30">
        <v>42.62</v>
      </c>
      <c r="F86">
        <v>1140500</v>
      </c>
    </row>
    <row r="87" spans="1:6">
      <c r="A87" s="70">
        <v>41289</v>
      </c>
      <c r="B87">
        <v>42.25</v>
      </c>
      <c r="C87">
        <v>42.82</v>
      </c>
      <c r="D87">
        <v>42.2</v>
      </c>
      <c r="E87" s="30">
        <v>42.65</v>
      </c>
      <c r="F87">
        <v>1545100</v>
      </c>
    </row>
    <row r="88" spans="1:6">
      <c r="A88" s="70">
        <v>41288</v>
      </c>
      <c r="B88">
        <v>42.49</v>
      </c>
      <c r="C88">
        <v>42.86</v>
      </c>
      <c r="D88">
        <v>42.28</v>
      </c>
      <c r="E88" s="30">
        <v>42.64</v>
      </c>
      <c r="F88">
        <v>957400</v>
      </c>
    </row>
    <row r="89" spans="1:6">
      <c r="A89" s="70">
        <v>41285</v>
      </c>
      <c r="B89">
        <v>42.25</v>
      </c>
      <c r="C89">
        <v>42.76</v>
      </c>
      <c r="D89">
        <v>42.13</v>
      </c>
      <c r="E89" s="30">
        <v>42.68</v>
      </c>
      <c r="F89">
        <v>1276800</v>
      </c>
    </row>
    <row r="90" spans="1:6">
      <c r="A90" s="70">
        <v>41284</v>
      </c>
      <c r="B90">
        <v>42.02</v>
      </c>
      <c r="C90">
        <v>42.41</v>
      </c>
      <c r="D90">
        <v>41.88</v>
      </c>
      <c r="E90" s="30">
        <v>42.23</v>
      </c>
      <c r="F90">
        <v>1810400</v>
      </c>
    </row>
    <row r="91" spans="1:6">
      <c r="A91" s="70">
        <v>41283</v>
      </c>
      <c r="B91">
        <v>41.05</v>
      </c>
      <c r="C91">
        <v>41.95</v>
      </c>
      <c r="D91">
        <v>41.01</v>
      </c>
      <c r="E91" s="30">
        <v>41.82</v>
      </c>
      <c r="F91">
        <v>1743400</v>
      </c>
    </row>
    <row r="92" spans="1:6">
      <c r="A92" s="70">
        <v>41282</v>
      </c>
      <c r="B92">
        <v>40.24</v>
      </c>
      <c r="C92">
        <v>41.08</v>
      </c>
      <c r="D92">
        <v>40.17</v>
      </c>
      <c r="E92" s="30">
        <v>40.92</v>
      </c>
      <c r="F92">
        <v>1186000</v>
      </c>
    </row>
    <row r="93" spans="1:6">
      <c r="A93" s="70">
        <v>41281</v>
      </c>
      <c r="B93">
        <v>40.700000000000003</v>
      </c>
      <c r="C93">
        <v>40.9</v>
      </c>
      <c r="D93">
        <v>40.28</v>
      </c>
      <c r="E93" s="30">
        <v>40.42</v>
      </c>
      <c r="F93">
        <v>916100</v>
      </c>
    </row>
    <row r="94" spans="1:6">
      <c r="A94" s="70">
        <v>41278</v>
      </c>
      <c r="B94">
        <v>40.92</v>
      </c>
      <c r="C94">
        <v>41.17</v>
      </c>
      <c r="D94">
        <v>40.72</v>
      </c>
      <c r="E94" s="30">
        <v>40.93</v>
      </c>
      <c r="F94">
        <v>818000</v>
      </c>
    </row>
    <row r="95" spans="1:6">
      <c r="A95" s="70">
        <v>41277</v>
      </c>
      <c r="B95">
        <v>41.04</v>
      </c>
      <c r="C95">
        <v>41.23</v>
      </c>
      <c r="D95">
        <v>40.68</v>
      </c>
      <c r="E95" s="30">
        <v>40.76</v>
      </c>
      <c r="F95">
        <v>976000</v>
      </c>
    </row>
    <row r="96" spans="1:6">
      <c r="A96" s="70">
        <v>41276</v>
      </c>
      <c r="B96">
        <v>40.28</v>
      </c>
      <c r="C96">
        <v>41.09</v>
      </c>
      <c r="D96">
        <v>40.21</v>
      </c>
      <c r="E96" s="30">
        <v>41.09</v>
      </c>
      <c r="F96">
        <v>2498700</v>
      </c>
    </row>
    <row r="97" spans="1:6">
      <c r="A97" s="70">
        <v>41275</v>
      </c>
      <c r="B97">
        <v>39.619999999999997</v>
      </c>
      <c r="C97">
        <v>39.619999999999997</v>
      </c>
      <c r="D97">
        <v>39.619999999999997</v>
      </c>
      <c r="E97" s="30">
        <v>39.619999999999997</v>
      </c>
      <c r="F97">
        <v>0</v>
      </c>
    </row>
    <row r="98" spans="1:6">
      <c r="A98" s="70">
        <v>41274</v>
      </c>
      <c r="B98">
        <v>39.56</v>
      </c>
      <c r="C98">
        <v>39.75</v>
      </c>
      <c r="D98">
        <v>39.31</v>
      </c>
      <c r="E98" s="30">
        <v>39.619999999999997</v>
      </c>
      <c r="F98">
        <v>1433100</v>
      </c>
    </row>
    <row r="99" spans="1:6">
      <c r="A99" s="70">
        <v>41271</v>
      </c>
      <c r="B99">
        <v>39.72</v>
      </c>
      <c r="C99">
        <v>39.880000000000003</v>
      </c>
      <c r="D99">
        <v>39.450000000000003</v>
      </c>
      <c r="E99" s="30">
        <v>39.56</v>
      </c>
      <c r="F99">
        <v>799400</v>
      </c>
    </row>
    <row r="100" spans="1:6">
      <c r="A100" s="70">
        <v>41270</v>
      </c>
      <c r="B100">
        <v>40.35</v>
      </c>
      <c r="C100">
        <v>40.39</v>
      </c>
      <c r="D100">
        <v>39.409999999999997</v>
      </c>
      <c r="E100" s="30">
        <v>39.880000000000003</v>
      </c>
      <c r="F100">
        <v>1381500</v>
      </c>
    </row>
    <row r="101" spans="1:6">
      <c r="A101" s="70">
        <v>41269</v>
      </c>
      <c r="B101">
        <v>40.74</v>
      </c>
      <c r="C101">
        <v>40.97</v>
      </c>
      <c r="D101">
        <v>40.29</v>
      </c>
      <c r="E101" s="30">
        <v>40.39</v>
      </c>
      <c r="F101">
        <v>982900</v>
      </c>
    </row>
    <row r="102" spans="1:6">
      <c r="A102" s="70">
        <v>41268</v>
      </c>
      <c r="B102">
        <v>40.869999999999997</v>
      </c>
      <c r="C102">
        <v>40.869999999999997</v>
      </c>
      <c r="D102">
        <v>40.869999999999997</v>
      </c>
      <c r="E102" s="30">
        <v>40.869999999999997</v>
      </c>
      <c r="F102">
        <v>0</v>
      </c>
    </row>
    <row r="103" spans="1:6">
      <c r="A103" s="70">
        <v>41267</v>
      </c>
      <c r="B103">
        <v>40.83</v>
      </c>
      <c r="C103">
        <v>41.04</v>
      </c>
      <c r="D103">
        <v>40.450000000000003</v>
      </c>
      <c r="E103" s="30">
        <v>40.869999999999997</v>
      </c>
      <c r="F103">
        <v>446900</v>
      </c>
    </row>
    <row r="104" spans="1:6">
      <c r="A104" s="70">
        <v>41264</v>
      </c>
      <c r="B104">
        <v>40.86</v>
      </c>
      <c r="C104">
        <v>41.1</v>
      </c>
      <c r="D104">
        <v>40.29</v>
      </c>
      <c r="E104" s="30">
        <v>40.71</v>
      </c>
      <c r="F104">
        <v>2968100</v>
      </c>
    </row>
    <row r="105" spans="1:6">
      <c r="A105" s="70">
        <v>41263</v>
      </c>
      <c r="B105">
        <v>41.98</v>
      </c>
      <c r="C105">
        <v>42.04</v>
      </c>
      <c r="D105">
        <v>41.79</v>
      </c>
      <c r="E105" s="30">
        <v>41.94</v>
      </c>
      <c r="F105">
        <v>1632100</v>
      </c>
    </row>
    <row r="106" spans="1:6">
      <c r="A106" s="70">
        <v>41262</v>
      </c>
      <c r="B106">
        <v>41.79</v>
      </c>
      <c r="C106">
        <v>42.3</v>
      </c>
      <c r="D106">
        <v>41.69</v>
      </c>
      <c r="E106" s="30">
        <v>41.91</v>
      </c>
      <c r="F106">
        <v>2858900</v>
      </c>
    </row>
    <row r="107" spans="1:6">
      <c r="A107" s="70">
        <v>41261</v>
      </c>
      <c r="B107">
        <v>41.11</v>
      </c>
      <c r="C107">
        <v>41.69</v>
      </c>
      <c r="D107">
        <v>40.82</v>
      </c>
      <c r="E107" s="30">
        <v>41.67</v>
      </c>
      <c r="F107">
        <v>2153400</v>
      </c>
    </row>
    <row r="108" spans="1:6">
      <c r="A108" s="70">
        <v>41260</v>
      </c>
      <c r="B108">
        <v>40.159999999999997</v>
      </c>
      <c r="C108">
        <v>41.1</v>
      </c>
      <c r="D108">
        <v>39.99</v>
      </c>
      <c r="E108" s="30">
        <v>41.08</v>
      </c>
      <c r="F108">
        <v>2233600</v>
      </c>
    </row>
    <row r="109" spans="1:6">
      <c r="A109" s="70">
        <v>41257</v>
      </c>
      <c r="B109">
        <v>39.729999999999997</v>
      </c>
      <c r="C109">
        <v>40.32</v>
      </c>
      <c r="D109">
        <v>39.61</v>
      </c>
      <c r="E109" s="30">
        <v>40.18</v>
      </c>
      <c r="F109">
        <v>995400</v>
      </c>
    </row>
    <row r="110" spans="1:6">
      <c r="A110" s="70">
        <v>41256</v>
      </c>
      <c r="B110">
        <v>40.68</v>
      </c>
      <c r="C110">
        <v>40.98</v>
      </c>
      <c r="D110">
        <v>39.799999999999997</v>
      </c>
      <c r="E110" s="30">
        <v>39.89</v>
      </c>
      <c r="F110">
        <v>1573100</v>
      </c>
    </row>
    <row r="111" spans="1:6">
      <c r="A111" s="70">
        <v>41255</v>
      </c>
      <c r="B111">
        <v>41.59</v>
      </c>
      <c r="C111">
        <v>41.6</v>
      </c>
      <c r="D111">
        <v>40.67</v>
      </c>
      <c r="E111" s="30">
        <v>40.799999999999997</v>
      </c>
      <c r="F111">
        <v>2112200</v>
      </c>
    </row>
    <row r="112" spans="1:6">
      <c r="A112" s="70">
        <v>41254</v>
      </c>
      <c r="B112">
        <v>41.3</v>
      </c>
      <c r="C112">
        <v>41.59</v>
      </c>
      <c r="D112">
        <v>40.950000000000003</v>
      </c>
      <c r="E112" s="30">
        <v>41.53</v>
      </c>
      <c r="F112">
        <v>1884300</v>
      </c>
    </row>
    <row r="113" spans="1:6">
      <c r="A113" s="70">
        <v>41253</v>
      </c>
      <c r="B113">
        <v>40.51</v>
      </c>
      <c r="C113">
        <v>41.42</v>
      </c>
      <c r="D113">
        <v>40.51</v>
      </c>
      <c r="E113" s="30">
        <v>41.42</v>
      </c>
      <c r="F113">
        <v>1126200</v>
      </c>
    </row>
    <row r="114" spans="1:6">
      <c r="A114" s="70">
        <v>41250</v>
      </c>
      <c r="B114">
        <v>41.01</v>
      </c>
      <c r="C114">
        <v>41.05</v>
      </c>
      <c r="D114">
        <v>40.69</v>
      </c>
      <c r="E114" s="30">
        <v>40.81</v>
      </c>
      <c r="F114">
        <v>1099200</v>
      </c>
    </row>
    <row r="115" spans="1:6">
      <c r="A115" s="70">
        <v>41249</v>
      </c>
      <c r="B115">
        <v>40.22</v>
      </c>
      <c r="C115">
        <v>40.74</v>
      </c>
      <c r="D115">
        <v>40.03</v>
      </c>
      <c r="E115" s="30">
        <v>40.729999999999997</v>
      </c>
      <c r="F115">
        <v>732200</v>
      </c>
    </row>
    <row r="116" spans="1:6">
      <c r="A116" s="70">
        <v>41248</v>
      </c>
      <c r="B116">
        <v>40.28</v>
      </c>
      <c r="C116">
        <v>40.380000000000003</v>
      </c>
      <c r="D116">
        <v>39.869999999999997</v>
      </c>
      <c r="E116" s="30">
        <v>40.200000000000003</v>
      </c>
      <c r="F116">
        <v>1217500</v>
      </c>
    </row>
    <row r="117" spans="1:6">
      <c r="A117" s="70">
        <v>41247</v>
      </c>
      <c r="B117">
        <v>40.6</v>
      </c>
      <c r="C117">
        <v>40.74</v>
      </c>
      <c r="D117">
        <v>40.22</v>
      </c>
      <c r="E117" s="30">
        <v>40.42</v>
      </c>
      <c r="F117">
        <v>937400</v>
      </c>
    </row>
    <row r="118" spans="1:6">
      <c r="A118" s="70">
        <v>41246</v>
      </c>
      <c r="B118">
        <v>41.08</v>
      </c>
      <c r="C118">
        <v>41.1</v>
      </c>
      <c r="D118">
        <v>40.54</v>
      </c>
      <c r="E118" s="30">
        <v>40.54</v>
      </c>
      <c r="F118">
        <v>861200</v>
      </c>
    </row>
    <row r="119" spans="1:6">
      <c r="A119" s="70">
        <v>41243</v>
      </c>
      <c r="B119">
        <v>40.950000000000003</v>
      </c>
      <c r="C119">
        <v>41.03</v>
      </c>
      <c r="D119">
        <v>40.72</v>
      </c>
      <c r="E119" s="30">
        <v>40.96</v>
      </c>
      <c r="F119">
        <v>1196900</v>
      </c>
    </row>
    <row r="120" spans="1:6">
      <c r="A120" s="70">
        <v>41242</v>
      </c>
      <c r="B120">
        <v>41</v>
      </c>
      <c r="C120">
        <v>41.08</v>
      </c>
      <c r="D120">
        <v>40.630000000000003</v>
      </c>
      <c r="E120" s="30">
        <v>40.880000000000003</v>
      </c>
      <c r="F120">
        <v>1101900</v>
      </c>
    </row>
    <row r="121" spans="1:6">
      <c r="A121" s="70">
        <v>41241</v>
      </c>
      <c r="B121">
        <v>40.340000000000003</v>
      </c>
      <c r="C121">
        <v>40.98</v>
      </c>
      <c r="D121">
        <v>39.93</v>
      </c>
      <c r="E121" s="30">
        <v>40.950000000000003</v>
      </c>
      <c r="F121">
        <v>1041000</v>
      </c>
    </row>
    <row r="122" spans="1:6">
      <c r="A122" s="70">
        <v>41240</v>
      </c>
      <c r="B122">
        <v>40.19</v>
      </c>
      <c r="C122">
        <v>41.36</v>
      </c>
      <c r="D122">
        <v>40.020000000000003</v>
      </c>
      <c r="E122" s="30">
        <v>40.619999999999997</v>
      </c>
      <c r="F122">
        <v>1894700</v>
      </c>
    </row>
    <row r="123" spans="1:6">
      <c r="A123" s="70">
        <v>41239</v>
      </c>
      <c r="B123">
        <v>40.090000000000003</v>
      </c>
      <c r="C123">
        <v>40.299999999999997</v>
      </c>
      <c r="D123">
        <v>39.79</v>
      </c>
      <c r="E123" s="30">
        <v>40.26</v>
      </c>
      <c r="F123">
        <v>1097800</v>
      </c>
    </row>
    <row r="124" spans="1:6">
      <c r="A124" s="70">
        <v>41236</v>
      </c>
      <c r="B124">
        <v>39.840000000000003</v>
      </c>
      <c r="C124">
        <v>40.26</v>
      </c>
      <c r="D124">
        <v>39.64</v>
      </c>
      <c r="E124" s="30">
        <v>40.19</v>
      </c>
      <c r="F124">
        <v>318800</v>
      </c>
    </row>
    <row r="125" spans="1:6">
      <c r="A125" s="70">
        <v>41235</v>
      </c>
      <c r="B125">
        <v>39.68</v>
      </c>
      <c r="C125">
        <v>39.68</v>
      </c>
      <c r="D125">
        <v>39.68</v>
      </c>
      <c r="E125" s="30">
        <v>39.68</v>
      </c>
      <c r="F125">
        <v>0</v>
      </c>
    </row>
    <row r="126" spans="1:6">
      <c r="A126" s="70">
        <v>41234</v>
      </c>
      <c r="B126">
        <v>39.53</v>
      </c>
      <c r="C126">
        <v>39.880000000000003</v>
      </c>
      <c r="D126">
        <v>39.479999999999997</v>
      </c>
      <c r="E126" s="30">
        <v>39.68</v>
      </c>
      <c r="F126">
        <v>536800</v>
      </c>
    </row>
    <row r="127" spans="1:6">
      <c r="A127" s="70">
        <v>41233</v>
      </c>
      <c r="B127">
        <v>39.58</v>
      </c>
      <c r="C127">
        <v>39.71</v>
      </c>
      <c r="D127">
        <v>39.33</v>
      </c>
      <c r="E127" s="30">
        <v>39.56</v>
      </c>
      <c r="F127">
        <v>1292700</v>
      </c>
    </row>
    <row r="128" spans="1:6">
      <c r="A128" s="70">
        <v>41232</v>
      </c>
      <c r="B128">
        <v>39.29</v>
      </c>
      <c r="C128">
        <v>39.659999999999997</v>
      </c>
      <c r="D128">
        <v>39.03</v>
      </c>
      <c r="E128" s="30">
        <v>39.590000000000003</v>
      </c>
      <c r="F128">
        <v>1018900</v>
      </c>
    </row>
    <row r="129" spans="1:6">
      <c r="A129" s="70">
        <v>41229</v>
      </c>
      <c r="B129">
        <v>38.89</v>
      </c>
      <c r="C129">
        <v>38.99</v>
      </c>
      <c r="D129">
        <v>38.04</v>
      </c>
      <c r="E129" s="30">
        <v>38.729999999999997</v>
      </c>
      <c r="F129">
        <v>1214600</v>
      </c>
    </row>
    <row r="130" spans="1:6">
      <c r="A130" s="70">
        <v>41228</v>
      </c>
      <c r="B130">
        <v>39.33</v>
      </c>
      <c r="C130">
        <v>39.47</v>
      </c>
      <c r="D130">
        <v>38.61</v>
      </c>
      <c r="E130" s="30">
        <v>39.01</v>
      </c>
      <c r="F130">
        <v>971800</v>
      </c>
    </row>
    <row r="131" spans="1:6">
      <c r="A131" s="70">
        <v>41227</v>
      </c>
      <c r="B131">
        <v>39.9</v>
      </c>
      <c r="C131">
        <v>40</v>
      </c>
      <c r="D131">
        <v>39.049999999999997</v>
      </c>
      <c r="E131" s="30">
        <v>39.26</v>
      </c>
      <c r="F131">
        <v>1222000</v>
      </c>
    </row>
    <row r="132" spans="1:6">
      <c r="A132" s="70">
        <v>41226</v>
      </c>
      <c r="B132">
        <v>39.92</v>
      </c>
      <c r="C132">
        <v>39.99</v>
      </c>
      <c r="D132">
        <v>39.54</v>
      </c>
      <c r="E132" s="30">
        <v>39.74</v>
      </c>
      <c r="F132">
        <v>805800</v>
      </c>
    </row>
    <row r="133" spans="1:6">
      <c r="A133" s="70">
        <v>41225</v>
      </c>
      <c r="B133">
        <v>40.299999999999997</v>
      </c>
      <c r="C133">
        <v>40.32</v>
      </c>
      <c r="D133">
        <v>39.729999999999997</v>
      </c>
      <c r="E133" s="30">
        <v>40.119999999999997</v>
      </c>
      <c r="F133">
        <v>642000</v>
      </c>
    </row>
    <row r="134" spans="1:6">
      <c r="A134" s="70">
        <v>41222</v>
      </c>
      <c r="B134">
        <v>39.82</v>
      </c>
      <c r="C134">
        <v>40.590000000000003</v>
      </c>
      <c r="D134">
        <v>39.82</v>
      </c>
      <c r="E134" s="30">
        <v>40.24</v>
      </c>
      <c r="F134">
        <v>972900</v>
      </c>
    </row>
    <row r="135" spans="1:6">
      <c r="A135" s="70">
        <v>41221</v>
      </c>
      <c r="B135">
        <v>40.94</v>
      </c>
      <c r="C135">
        <v>41.05</v>
      </c>
      <c r="D135">
        <v>39.96</v>
      </c>
      <c r="E135" s="30">
        <v>39.979999999999997</v>
      </c>
      <c r="F135">
        <v>1022600</v>
      </c>
    </row>
    <row r="136" spans="1:6">
      <c r="A136" s="70">
        <v>41220</v>
      </c>
      <c r="B136">
        <v>41.25</v>
      </c>
      <c r="C136">
        <v>41.34</v>
      </c>
      <c r="D136">
        <v>40.96</v>
      </c>
      <c r="E136" s="30">
        <v>41.08</v>
      </c>
      <c r="F136">
        <v>1507400</v>
      </c>
    </row>
    <row r="137" spans="1:6">
      <c r="A137" s="70">
        <v>41219</v>
      </c>
      <c r="B137">
        <v>41.21</v>
      </c>
      <c r="C137">
        <v>41.86</v>
      </c>
      <c r="D137">
        <v>41.19</v>
      </c>
      <c r="E137" s="30">
        <v>41.55</v>
      </c>
      <c r="F137">
        <v>2564300</v>
      </c>
    </row>
    <row r="138" spans="1:6">
      <c r="A138" s="70">
        <v>41218</v>
      </c>
      <c r="B138">
        <v>40.700000000000003</v>
      </c>
      <c r="C138">
        <v>41.16</v>
      </c>
      <c r="D138">
        <v>40.67</v>
      </c>
      <c r="E138" s="30">
        <v>41.06</v>
      </c>
      <c r="F138">
        <v>1298300</v>
      </c>
    </row>
    <row r="139" spans="1:6">
      <c r="A139" s="70">
        <v>41215</v>
      </c>
      <c r="B139">
        <v>41.11</v>
      </c>
      <c r="C139">
        <v>41.34</v>
      </c>
      <c r="D139">
        <v>40.97</v>
      </c>
      <c r="E139" s="30">
        <v>41.04</v>
      </c>
      <c r="F139">
        <v>1719300</v>
      </c>
    </row>
    <row r="140" spans="1:6">
      <c r="A140" s="70">
        <v>41214</v>
      </c>
      <c r="B140">
        <v>41.5</v>
      </c>
      <c r="C140">
        <v>41.72</v>
      </c>
      <c r="D140">
        <v>40.5</v>
      </c>
      <c r="E140" s="30">
        <v>40.98</v>
      </c>
      <c r="F140">
        <v>3891600</v>
      </c>
    </row>
    <row r="141" spans="1:6">
      <c r="A141" s="70">
        <v>41213</v>
      </c>
      <c r="B141">
        <v>41.02</v>
      </c>
      <c r="C141">
        <v>41.74</v>
      </c>
      <c r="D141">
        <v>40.49</v>
      </c>
      <c r="E141" s="30">
        <v>40.700000000000003</v>
      </c>
      <c r="F141">
        <v>1588900</v>
      </c>
    </row>
    <row r="142" spans="1:6">
      <c r="A142" s="70">
        <v>41212</v>
      </c>
      <c r="B142">
        <v>40.98</v>
      </c>
      <c r="C142">
        <v>40.98</v>
      </c>
      <c r="D142">
        <v>40.98</v>
      </c>
      <c r="E142" s="30">
        <v>40.98</v>
      </c>
      <c r="F142">
        <v>0</v>
      </c>
    </row>
    <row r="143" spans="1:6">
      <c r="A143" s="70">
        <v>41211</v>
      </c>
      <c r="B143">
        <v>40.98</v>
      </c>
      <c r="C143">
        <v>40.98</v>
      </c>
      <c r="D143">
        <v>40.98</v>
      </c>
      <c r="E143" s="30">
        <v>40.98</v>
      </c>
      <c r="F143">
        <v>0</v>
      </c>
    </row>
    <row r="144" spans="1:6">
      <c r="A144" s="70">
        <v>41208</v>
      </c>
      <c r="B144">
        <v>41.02</v>
      </c>
      <c r="C144">
        <v>41.58</v>
      </c>
      <c r="D144">
        <v>40.71</v>
      </c>
      <c r="E144" s="30">
        <v>40.98</v>
      </c>
      <c r="F144">
        <v>884200</v>
      </c>
    </row>
    <row r="145" spans="1:6">
      <c r="A145" s="70">
        <v>41207</v>
      </c>
      <c r="B145">
        <v>41.54</v>
      </c>
      <c r="C145">
        <v>41.74</v>
      </c>
      <c r="D145">
        <v>41.16</v>
      </c>
      <c r="E145" s="30">
        <v>41.47</v>
      </c>
      <c r="F145">
        <v>647800</v>
      </c>
    </row>
    <row r="146" spans="1:6">
      <c r="A146" s="70">
        <v>41206</v>
      </c>
      <c r="B146">
        <v>41.5</v>
      </c>
      <c r="C146">
        <v>41.76</v>
      </c>
      <c r="D146">
        <v>41.03</v>
      </c>
      <c r="E146" s="30">
        <v>41.38</v>
      </c>
      <c r="F146">
        <v>1233600</v>
      </c>
    </row>
    <row r="147" spans="1:6">
      <c r="A147" s="70">
        <v>41205</v>
      </c>
      <c r="B147">
        <v>40.770000000000003</v>
      </c>
      <c r="C147">
        <v>41.63</v>
      </c>
      <c r="D147">
        <v>40.35</v>
      </c>
      <c r="E147" s="30">
        <v>41.53</v>
      </c>
      <c r="F147">
        <v>1707300</v>
      </c>
    </row>
    <row r="148" spans="1:6">
      <c r="A148" s="70">
        <v>41204</v>
      </c>
      <c r="B148">
        <v>41.89</v>
      </c>
      <c r="C148">
        <v>41.89</v>
      </c>
      <c r="D148">
        <v>40.49</v>
      </c>
      <c r="E148" s="30">
        <v>41.02</v>
      </c>
      <c r="F148">
        <v>2081800</v>
      </c>
    </row>
    <row r="149" spans="1:6">
      <c r="A149" s="70">
        <v>41201</v>
      </c>
      <c r="B149">
        <v>41.12</v>
      </c>
      <c r="C149">
        <v>41.27</v>
      </c>
      <c r="D149">
        <v>40.24</v>
      </c>
      <c r="E149" s="30">
        <v>40.340000000000003</v>
      </c>
      <c r="F149">
        <v>1029700</v>
      </c>
    </row>
    <row r="150" spans="1:6">
      <c r="A150" s="70">
        <v>41200</v>
      </c>
      <c r="B150">
        <v>41.19</v>
      </c>
      <c r="C150">
        <v>41.46</v>
      </c>
      <c r="D150">
        <v>40.89</v>
      </c>
      <c r="E150" s="30">
        <v>41.1</v>
      </c>
      <c r="F150">
        <v>1115600</v>
      </c>
    </row>
    <row r="151" spans="1:6">
      <c r="A151" s="70">
        <v>41199</v>
      </c>
      <c r="B151">
        <v>41.59</v>
      </c>
      <c r="C151">
        <v>41.74</v>
      </c>
      <c r="D151">
        <v>41.05</v>
      </c>
      <c r="E151" s="30">
        <v>41.13</v>
      </c>
      <c r="F151">
        <v>1319000</v>
      </c>
    </row>
    <row r="152" spans="1:6">
      <c r="A152" s="70">
        <v>41198</v>
      </c>
      <c r="B152">
        <v>41.44</v>
      </c>
      <c r="C152">
        <v>42.17</v>
      </c>
      <c r="D152">
        <v>41.23</v>
      </c>
      <c r="E152" s="30">
        <v>42.02</v>
      </c>
      <c r="F152">
        <v>1311300</v>
      </c>
    </row>
    <row r="153" spans="1:6">
      <c r="A153" s="70">
        <v>41197</v>
      </c>
      <c r="B153">
        <v>42</v>
      </c>
      <c r="C153">
        <v>42.2</v>
      </c>
      <c r="D153">
        <v>41.14</v>
      </c>
      <c r="E153" s="30">
        <v>41.49</v>
      </c>
      <c r="F153">
        <v>1611200</v>
      </c>
    </row>
    <row r="154" spans="1:6">
      <c r="A154" s="70">
        <v>41194</v>
      </c>
      <c r="B154">
        <v>42.51</v>
      </c>
      <c r="C154">
        <v>42.78</v>
      </c>
      <c r="D154">
        <v>42.31</v>
      </c>
      <c r="E154" s="30">
        <v>42.55</v>
      </c>
      <c r="F154">
        <v>837300</v>
      </c>
    </row>
    <row r="155" spans="1:6">
      <c r="A155" s="70">
        <v>41193</v>
      </c>
      <c r="B155">
        <v>42.15</v>
      </c>
      <c r="C155">
        <v>42.52</v>
      </c>
      <c r="D155">
        <v>41.94</v>
      </c>
      <c r="E155" s="30">
        <v>42.43</v>
      </c>
      <c r="F155">
        <v>1319100</v>
      </c>
    </row>
    <row r="156" spans="1:6">
      <c r="A156" s="70">
        <v>41192</v>
      </c>
      <c r="B156">
        <v>42.46</v>
      </c>
      <c r="C156">
        <v>42.58</v>
      </c>
      <c r="D156">
        <v>41.91</v>
      </c>
      <c r="E156" s="30">
        <v>41.96</v>
      </c>
      <c r="F156">
        <v>1936500</v>
      </c>
    </row>
    <row r="157" spans="1:6">
      <c r="A157" s="70">
        <v>41191</v>
      </c>
      <c r="B157">
        <v>43.17</v>
      </c>
      <c r="C157">
        <v>43.24</v>
      </c>
      <c r="D157">
        <v>42.22</v>
      </c>
      <c r="E157" s="30">
        <v>42.45</v>
      </c>
      <c r="F157">
        <v>1101300</v>
      </c>
    </row>
    <row r="158" spans="1:6">
      <c r="A158" s="70">
        <v>41190</v>
      </c>
      <c r="B158">
        <v>43.19</v>
      </c>
      <c r="C158">
        <v>43.54</v>
      </c>
      <c r="D158">
        <v>43.05</v>
      </c>
      <c r="E158" s="30">
        <v>43.28</v>
      </c>
      <c r="F158">
        <v>712200</v>
      </c>
    </row>
    <row r="159" spans="1:6">
      <c r="A159" s="70">
        <v>41187</v>
      </c>
      <c r="B159">
        <v>43.67</v>
      </c>
      <c r="C159">
        <v>43.79</v>
      </c>
      <c r="D159">
        <v>43.2</v>
      </c>
      <c r="E159" s="30">
        <v>43.34</v>
      </c>
      <c r="F159">
        <v>1280300</v>
      </c>
    </row>
    <row r="160" spans="1:6">
      <c r="A160" s="70">
        <v>41186</v>
      </c>
      <c r="B160">
        <v>43.41</v>
      </c>
      <c r="C160">
        <v>43.62</v>
      </c>
      <c r="D160">
        <v>42.9</v>
      </c>
      <c r="E160" s="30">
        <v>43.39</v>
      </c>
      <c r="F160">
        <v>1049700</v>
      </c>
    </row>
    <row r="161" spans="1:6">
      <c r="A161" s="70">
        <v>41185</v>
      </c>
      <c r="B161">
        <v>43.45</v>
      </c>
      <c r="C161">
        <v>43.81</v>
      </c>
      <c r="D161">
        <v>42.97</v>
      </c>
      <c r="E161" s="30">
        <v>43.34</v>
      </c>
      <c r="F161">
        <v>1345100</v>
      </c>
    </row>
    <row r="162" spans="1:6">
      <c r="A162" s="70">
        <v>41184</v>
      </c>
      <c r="B162">
        <v>43</v>
      </c>
      <c r="C162">
        <v>44.06</v>
      </c>
      <c r="D162">
        <v>42.95</v>
      </c>
      <c r="E162" s="30">
        <v>43.48</v>
      </c>
      <c r="F162">
        <v>2710800</v>
      </c>
    </row>
    <row r="163" spans="1:6">
      <c r="A163" s="70">
        <v>41183</v>
      </c>
      <c r="B163">
        <v>41.88</v>
      </c>
      <c r="C163">
        <v>45</v>
      </c>
      <c r="D163">
        <v>41.22</v>
      </c>
      <c r="E163" s="30">
        <v>42.85</v>
      </c>
      <c r="F163">
        <v>6330500</v>
      </c>
    </row>
    <row r="164" spans="1:6">
      <c r="A164" s="70">
        <v>41180</v>
      </c>
      <c r="B164">
        <v>41.43</v>
      </c>
      <c r="C164">
        <v>41.75</v>
      </c>
      <c r="D164">
        <v>41.18</v>
      </c>
      <c r="E164" s="30">
        <v>41.49</v>
      </c>
      <c r="F164">
        <v>751200</v>
      </c>
    </row>
    <row r="165" spans="1:6">
      <c r="A165" s="70">
        <v>41179</v>
      </c>
      <c r="B165">
        <v>41.53</v>
      </c>
      <c r="C165">
        <v>41.86</v>
      </c>
      <c r="D165">
        <v>41.1</v>
      </c>
      <c r="E165" s="30">
        <v>41.67</v>
      </c>
      <c r="F165">
        <v>1022700</v>
      </c>
    </row>
    <row r="166" spans="1:6">
      <c r="A166" s="70">
        <v>41178</v>
      </c>
      <c r="B166">
        <v>41.91</v>
      </c>
      <c r="C166">
        <v>41.92</v>
      </c>
      <c r="D166">
        <v>41.26</v>
      </c>
      <c r="E166" s="30">
        <v>41.33</v>
      </c>
      <c r="F166">
        <v>1287500</v>
      </c>
    </row>
    <row r="167" spans="1:6">
      <c r="A167" s="70">
        <v>41177</v>
      </c>
      <c r="B167">
        <v>42.73</v>
      </c>
      <c r="C167">
        <v>42.87</v>
      </c>
      <c r="D167">
        <v>41.78</v>
      </c>
      <c r="E167" s="30">
        <v>41.85</v>
      </c>
      <c r="F167">
        <v>1204400</v>
      </c>
    </row>
    <row r="168" spans="1:6">
      <c r="A168" s="70">
        <v>41176</v>
      </c>
      <c r="B168">
        <v>42.51</v>
      </c>
      <c r="C168">
        <v>42.99</v>
      </c>
      <c r="D168">
        <v>42.38</v>
      </c>
      <c r="E168" s="30">
        <v>42.68</v>
      </c>
      <c r="F168">
        <v>862200</v>
      </c>
    </row>
    <row r="169" spans="1:6">
      <c r="A169" s="70">
        <v>41173</v>
      </c>
      <c r="B169">
        <v>42.83</v>
      </c>
      <c r="C169">
        <v>43.09</v>
      </c>
      <c r="D169">
        <v>42.51</v>
      </c>
      <c r="E169" s="30">
        <v>42.79</v>
      </c>
      <c r="F169">
        <v>3561100</v>
      </c>
    </row>
    <row r="170" spans="1:6">
      <c r="A170" s="70">
        <v>41172</v>
      </c>
      <c r="B170">
        <v>42.71</v>
      </c>
      <c r="C170">
        <v>43</v>
      </c>
      <c r="D170">
        <v>42.65</v>
      </c>
      <c r="E170" s="30">
        <v>42.83</v>
      </c>
      <c r="F170">
        <v>671700</v>
      </c>
    </row>
    <row r="171" spans="1:6">
      <c r="A171" s="70">
        <v>41171</v>
      </c>
      <c r="B171">
        <v>43</v>
      </c>
      <c r="C171">
        <v>43.48</v>
      </c>
      <c r="D171">
        <v>42.85</v>
      </c>
      <c r="E171" s="30">
        <v>42.94</v>
      </c>
      <c r="F171">
        <v>737300</v>
      </c>
    </row>
    <row r="172" spans="1:6">
      <c r="A172" s="70">
        <v>41170</v>
      </c>
      <c r="B172">
        <v>43.6</v>
      </c>
      <c r="C172">
        <v>44.2</v>
      </c>
      <c r="D172">
        <v>42.99</v>
      </c>
      <c r="E172" s="30">
        <v>43.09</v>
      </c>
      <c r="F172">
        <v>1080200</v>
      </c>
    </row>
    <row r="173" spans="1:6">
      <c r="A173" s="70">
        <v>41169</v>
      </c>
      <c r="B173">
        <v>43.2</v>
      </c>
      <c r="C173">
        <v>43.25</v>
      </c>
      <c r="D173">
        <v>42.71</v>
      </c>
      <c r="E173" s="30">
        <v>42.99</v>
      </c>
      <c r="F173">
        <v>769600</v>
      </c>
    </row>
    <row r="174" spans="1:6">
      <c r="A174" s="70">
        <v>41166</v>
      </c>
      <c r="B174">
        <v>42.95</v>
      </c>
      <c r="C174">
        <v>43.42</v>
      </c>
      <c r="D174">
        <v>42.76</v>
      </c>
      <c r="E174" s="30">
        <v>43.09</v>
      </c>
      <c r="F174">
        <v>920600</v>
      </c>
    </row>
    <row r="175" spans="1:6">
      <c r="A175" s="70">
        <v>41165</v>
      </c>
      <c r="B175">
        <v>42.7</v>
      </c>
      <c r="C175">
        <v>43.24</v>
      </c>
      <c r="D175">
        <v>42.37</v>
      </c>
      <c r="E175" s="30">
        <v>42.96</v>
      </c>
      <c r="F175">
        <v>785600</v>
      </c>
    </row>
    <row r="176" spans="1:6">
      <c r="A176" s="70">
        <v>41164</v>
      </c>
      <c r="B176">
        <v>42.81</v>
      </c>
      <c r="C176">
        <v>42.95</v>
      </c>
      <c r="D176">
        <v>42.49</v>
      </c>
      <c r="E176" s="30">
        <v>42.67</v>
      </c>
      <c r="F176">
        <v>769900</v>
      </c>
    </row>
    <row r="177" spans="1:6">
      <c r="A177" s="70">
        <v>41163</v>
      </c>
      <c r="B177">
        <v>42.59</v>
      </c>
      <c r="C177">
        <v>43</v>
      </c>
      <c r="D177">
        <v>42.07</v>
      </c>
      <c r="E177" s="30">
        <v>42.76</v>
      </c>
      <c r="F177">
        <v>896400</v>
      </c>
    </row>
    <row r="178" spans="1:6">
      <c r="A178" s="70">
        <v>41162</v>
      </c>
      <c r="B178">
        <v>43.08</v>
      </c>
      <c r="C178">
        <v>43.16</v>
      </c>
      <c r="D178">
        <v>42.52</v>
      </c>
      <c r="E178" s="30">
        <v>42.7</v>
      </c>
      <c r="F178">
        <v>1323600</v>
      </c>
    </row>
    <row r="179" spans="1:6">
      <c r="A179" s="70">
        <v>41159</v>
      </c>
      <c r="B179">
        <v>43.34</v>
      </c>
      <c r="C179">
        <v>43.48</v>
      </c>
      <c r="D179">
        <v>43.11</v>
      </c>
      <c r="E179" s="30">
        <v>43.33</v>
      </c>
      <c r="F179">
        <v>856800</v>
      </c>
    </row>
    <row r="180" spans="1:6">
      <c r="A180" s="70">
        <v>41158</v>
      </c>
      <c r="B180">
        <v>42.36</v>
      </c>
      <c r="C180">
        <v>43.61</v>
      </c>
      <c r="D180">
        <v>42.29</v>
      </c>
      <c r="E180" s="30">
        <v>43.49</v>
      </c>
      <c r="F180">
        <v>1710200</v>
      </c>
    </row>
    <row r="181" spans="1:6">
      <c r="A181" s="70">
        <v>41157</v>
      </c>
      <c r="B181">
        <v>41.86</v>
      </c>
      <c r="C181">
        <v>42.24</v>
      </c>
      <c r="D181">
        <v>41.74</v>
      </c>
      <c r="E181" s="30">
        <v>42.18</v>
      </c>
      <c r="F181">
        <v>1323100</v>
      </c>
    </row>
    <row r="182" spans="1:6">
      <c r="A182" s="70">
        <v>41156</v>
      </c>
      <c r="B182">
        <v>41.43</v>
      </c>
      <c r="C182">
        <v>42.13</v>
      </c>
      <c r="D182">
        <v>41.31</v>
      </c>
      <c r="E182" s="30">
        <v>42</v>
      </c>
      <c r="F182">
        <v>1093100</v>
      </c>
    </row>
    <row r="183" spans="1:6">
      <c r="A183" s="70">
        <v>41155</v>
      </c>
      <c r="B183">
        <v>41.4</v>
      </c>
      <c r="C183">
        <v>41.4</v>
      </c>
      <c r="D183">
        <v>41.4</v>
      </c>
      <c r="E183" s="30">
        <v>41.4</v>
      </c>
      <c r="F183">
        <v>0</v>
      </c>
    </row>
    <row r="184" spans="1:6">
      <c r="A184" s="70">
        <v>41152</v>
      </c>
      <c r="B184">
        <v>41.46</v>
      </c>
      <c r="C184">
        <v>41.82</v>
      </c>
      <c r="D184">
        <v>41.07</v>
      </c>
      <c r="E184" s="30">
        <v>41.4</v>
      </c>
      <c r="F184">
        <v>1066600</v>
      </c>
    </row>
    <row r="185" spans="1:6">
      <c r="A185" s="70">
        <v>41151</v>
      </c>
      <c r="B185">
        <v>41.57</v>
      </c>
      <c r="C185">
        <v>41.6</v>
      </c>
      <c r="D185">
        <v>40.98</v>
      </c>
      <c r="E185" s="30">
        <v>41.09</v>
      </c>
      <c r="F185">
        <v>780100</v>
      </c>
    </row>
    <row r="186" spans="1:6">
      <c r="A186" s="70">
        <v>41150</v>
      </c>
      <c r="B186">
        <v>41.54</v>
      </c>
      <c r="C186">
        <v>41.82</v>
      </c>
      <c r="D186">
        <v>41.44</v>
      </c>
      <c r="E186" s="30">
        <v>41.75</v>
      </c>
      <c r="F186">
        <v>815200</v>
      </c>
    </row>
    <row r="187" spans="1:6">
      <c r="A187" s="70">
        <v>41149</v>
      </c>
      <c r="B187">
        <v>41.58</v>
      </c>
      <c r="C187">
        <v>41.94</v>
      </c>
      <c r="D187">
        <v>41.36</v>
      </c>
      <c r="E187" s="30">
        <v>41.68</v>
      </c>
      <c r="F187">
        <v>980000</v>
      </c>
    </row>
    <row r="188" spans="1:6">
      <c r="A188" s="70">
        <v>41148</v>
      </c>
      <c r="B188">
        <v>42.2</v>
      </c>
      <c r="C188">
        <v>42.22</v>
      </c>
      <c r="D188">
        <v>41.48</v>
      </c>
      <c r="E188" s="30">
        <v>41.54</v>
      </c>
      <c r="F188">
        <v>1056700</v>
      </c>
    </row>
    <row r="189" spans="1:6">
      <c r="A189" s="70">
        <v>41145</v>
      </c>
      <c r="B189">
        <v>41.86</v>
      </c>
      <c r="C189">
        <v>42.51</v>
      </c>
      <c r="D189">
        <v>41.81</v>
      </c>
      <c r="E189" s="30">
        <v>42.14</v>
      </c>
      <c r="F189">
        <v>1097900</v>
      </c>
    </row>
    <row r="190" spans="1:6">
      <c r="A190" s="70">
        <v>41144</v>
      </c>
      <c r="B190">
        <v>41.99</v>
      </c>
      <c r="C190">
        <v>42.35</v>
      </c>
      <c r="D190">
        <v>41.82</v>
      </c>
      <c r="E190" s="30">
        <v>42.04</v>
      </c>
      <c r="F190">
        <v>909300</v>
      </c>
    </row>
    <row r="191" spans="1:6">
      <c r="A191" s="70">
        <v>41143</v>
      </c>
      <c r="B191">
        <v>42.27</v>
      </c>
      <c r="C191">
        <v>42.42</v>
      </c>
      <c r="D191">
        <v>42.05</v>
      </c>
      <c r="E191" s="30">
        <v>42.17</v>
      </c>
      <c r="F191">
        <v>1272600</v>
      </c>
    </row>
    <row r="192" spans="1:6">
      <c r="A192" s="70">
        <v>41142</v>
      </c>
      <c r="B192">
        <v>42.26</v>
      </c>
      <c r="C192">
        <v>42.59</v>
      </c>
      <c r="D192">
        <v>42.14</v>
      </c>
      <c r="E192" s="30">
        <v>42.28</v>
      </c>
      <c r="F192">
        <v>1156900</v>
      </c>
    </row>
    <row r="193" spans="1:6">
      <c r="A193" s="70">
        <v>41141</v>
      </c>
      <c r="B193">
        <v>42.8</v>
      </c>
      <c r="C193">
        <v>42.8</v>
      </c>
      <c r="D193">
        <v>42.15</v>
      </c>
      <c r="E193" s="30">
        <v>42.24</v>
      </c>
      <c r="F193">
        <v>1209100</v>
      </c>
    </row>
    <row r="194" spans="1:6">
      <c r="A194" s="70">
        <v>41138</v>
      </c>
      <c r="B194">
        <v>42.48</v>
      </c>
      <c r="C194">
        <v>42.8</v>
      </c>
      <c r="D194">
        <v>41.89</v>
      </c>
      <c r="E194" s="30">
        <v>42.66</v>
      </c>
      <c r="F194">
        <v>1534100</v>
      </c>
    </row>
    <row r="195" spans="1:6">
      <c r="A195" s="70">
        <v>41137</v>
      </c>
      <c r="B195">
        <v>41.5</v>
      </c>
      <c r="C195">
        <v>42.43</v>
      </c>
      <c r="D195">
        <v>41.43</v>
      </c>
      <c r="E195" s="30">
        <v>42.4</v>
      </c>
      <c r="F195">
        <v>1482700</v>
      </c>
    </row>
    <row r="196" spans="1:6">
      <c r="A196" s="70">
        <v>41136</v>
      </c>
      <c r="B196">
        <v>40.99</v>
      </c>
      <c r="C196">
        <v>41.51</v>
      </c>
      <c r="D196">
        <v>40.85</v>
      </c>
      <c r="E196" s="30">
        <v>41.4</v>
      </c>
      <c r="F196">
        <v>609600</v>
      </c>
    </row>
    <row r="197" spans="1:6">
      <c r="A197" s="70">
        <v>41135</v>
      </c>
      <c r="B197">
        <v>41.11</v>
      </c>
      <c r="C197">
        <v>41.65</v>
      </c>
      <c r="D197">
        <v>40.94</v>
      </c>
      <c r="E197" s="30">
        <v>41.05</v>
      </c>
      <c r="F197">
        <v>1387400</v>
      </c>
    </row>
    <row r="198" spans="1:6">
      <c r="A198" s="70">
        <v>41134</v>
      </c>
      <c r="B198">
        <v>41.13</v>
      </c>
      <c r="C198">
        <v>41.33</v>
      </c>
      <c r="D198">
        <v>40.9</v>
      </c>
      <c r="E198" s="30">
        <v>41.01</v>
      </c>
      <c r="F198">
        <v>1147800</v>
      </c>
    </row>
    <row r="199" spans="1:6">
      <c r="A199" s="70">
        <v>41131</v>
      </c>
      <c r="B199">
        <v>40.93</v>
      </c>
      <c r="C199">
        <v>41.29</v>
      </c>
      <c r="D199">
        <v>40.9</v>
      </c>
      <c r="E199" s="30">
        <v>41.25</v>
      </c>
      <c r="F199">
        <v>843700</v>
      </c>
    </row>
    <row r="200" spans="1:6">
      <c r="A200" s="70">
        <v>41130</v>
      </c>
      <c r="B200">
        <v>40.71</v>
      </c>
      <c r="C200">
        <v>41.4</v>
      </c>
      <c r="D200">
        <v>40.68</v>
      </c>
      <c r="E200" s="30">
        <v>41</v>
      </c>
      <c r="F200">
        <v>1527000</v>
      </c>
    </row>
    <row r="201" spans="1:6">
      <c r="A201" s="70">
        <v>41129</v>
      </c>
      <c r="B201">
        <v>40.590000000000003</v>
      </c>
      <c r="C201">
        <v>41.23</v>
      </c>
      <c r="D201">
        <v>40.5</v>
      </c>
      <c r="E201" s="30">
        <v>40.93</v>
      </c>
      <c r="F201">
        <v>2104600</v>
      </c>
    </row>
    <row r="202" spans="1:6">
      <c r="A202" s="70">
        <v>41128</v>
      </c>
      <c r="B202">
        <v>40.340000000000003</v>
      </c>
      <c r="C202">
        <v>41.07</v>
      </c>
      <c r="D202">
        <v>40.32</v>
      </c>
      <c r="E202" s="30">
        <v>40.76</v>
      </c>
      <c r="F202">
        <v>2185300</v>
      </c>
    </row>
    <row r="203" spans="1:6">
      <c r="A203" s="70">
        <v>41127</v>
      </c>
      <c r="B203">
        <v>39.35</v>
      </c>
      <c r="C203">
        <v>40.72</v>
      </c>
      <c r="D203">
        <v>39.25</v>
      </c>
      <c r="E203" s="30">
        <v>40.340000000000003</v>
      </c>
      <c r="F203">
        <v>2203300</v>
      </c>
    </row>
    <row r="204" spans="1:6">
      <c r="A204" s="70">
        <v>41124</v>
      </c>
      <c r="B204">
        <v>38.26</v>
      </c>
      <c r="C204">
        <v>39.36</v>
      </c>
      <c r="D204">
        <v>38.08</v>
      </c>
      <c r="E204" s="30">
        <v>39.130000000000003</v>
      </c>
      <c r="F204">
        <v>2363800</v>
      </c>
    </row>
    <row r="205" spans="1:6">
      <c r="A205" s="70">
        <v>41123</v>
      </c>
      <c r="B205">
        <v>36.869999999999997</v>
      </c>
      <c r="C205">
        <v>37.86</v>
      </c>
      <c r="D205">
        <v>36.61</v>
      </c>
      <c r="E205" s="30">
        <v>37.81</v>
      </c>
      <c r="F205">
        <v>1965800</v>
      </c>
    </row>
    <row r="206" spans="1:6">
      <c r="A206" s="70">
        <v>41122</v>
      </c>
      <c r="B206">
        <v>36.92</v>
      </c>
      <c r="C206">
        <v>37.96</v>
      </c>
      <c r="D206">
        <v>35.479999999999997</v>
      </c>
      <c r="E206" s="30">
        <v>37.51</v>
      </c>
      <c r="F206">
        <v>4906500</v>
      </c>
    </row>
    <row r="207" spans="1:6">
      <c r="A207" s="70">
        <v>41121</v>
      </c>
      <c r="B207">
        <v>39.770000000000003</v>
      </c>
      <c r="C207">
        <v>39.99</v>
      </c>
      <c r="D207">
        <v>39.17</v>
      </c>
      <c r="E207" s="30">
        <v>39.6</v>
      </c>
      <c r="F207">
        <v>2479700</v>
      </c>
    </row>
    <row r="208" spans="1:6">
      <c r="A208" s="70">
        <v>41120</v>
      </c>
      <c r="B208">
        <v>39.93</v>
      </c>
      <c r="C208">
        <v>40.479999999999997</v>
      </c>
      <c r="D208">
        <v>39.29</v>
      </c>
      <c r="E208" s="30">
        <v>39.520000000000003</v>
      </c>
      <c r="F208">
        <v>1893200</v>
      </c>
    </row>
    <row r="209" spans="1:6">
      <c r="A209" s="70">
        <v>41117</v>
      </c>
      <c r="B209">
        <v>40</v>
      </c>
      <c r="C209">
        <v>40.11</v>
      </c>
      <c r="D209">
        <v>39.18</v>
      </c>
      <c r="E209" s="30">
        <v>39.76</v>
      </c>
      <c r="F209">
        <v>1922400</v>
      </c>
    </row>
    <row r="210" spans="1:6">
      <c r="A210" s="70">
        <v>41116</v>
      </c>
      <c r="B210">
        <v>39.840000000000003</v>
      </c>
      <c r="C210">
        <v>40.42</v>
      </c>
      <c r="D210">
        <v>39.4</v>
      </c>
      <c r="E210" s="30">
        <v>39.92</v>
      </c>
      <c r="F210">
        <v>1069200</v>
      </c>
    </row>
    <row r="211" spans="1:6">
      <c r="A211" s="70">
        <v>41115</v>
      </c>
      <c r="B211">
        <v>38.71</v>
      </c>
      <c r="C211">
        <v>39.43</v>
      </c>
      <c r="D211">
        <v>38.58</v>
      </c>
      <c r="E211" s="30">
        <v>39.130000000000003</v>
      </c>
      <c r="F211">
        <v>1218100</v>
      </c>
    </row>
    <row r="212" spans="1:6">
      <c r="A212" s="70">
        <v>41114</v>
      </c>
      <c r="B212">
        <v>39.31</v>
      </c>
      <c r="C212">
        <v>39.44</v>
      </c>
      <c r="D212">
        <v>38.520000000000003</v>
      </c>
      <c r="E212" s="30">
        <v>38.75</v>
      </c>
      <c r="F212">
        <v>1632900</v>
      </c>
    </row>
    <row r="213" spans="1:6">
      <c r="A213" s="70">
        <v>41113</v>
      </c>
      <c r="B213">
        <v>39.64</v>
      </c>
      <c r="C213">
        <v>39.72</v>
      </c>
      <c r="D213">
        <v>38.56</v>
      </c>
      <c r="E213" s="30">
        <v>39.299999999999997</v>
      </c>
      <c r="F213">
        <v>1595300</v>
      </c>
    </row>
    <row r="214" spans="1:6">
      <c r="A214" s="70">
        <v>41110</v>
      </c>
      <c r="B214">
        <v>40.880000000000003</v>
      </c>
      <c r="C214">
        <v>40.880000000000003</v>
      </c>
      <c r="D214">
        <v>40.229999999999997</v>
      </c>
      <c r="E214" s="30">
        <v>40.42</v>
      </c>
      <c r="F214">
        <v>1012800</v>
      </c>
    </row>
    <row r="215" spans="1:6">
      <c r="A215" s="70">
        <v>41109</v>
      </c>
      <c r="B215">
        <v>40.659999999999997</v>
      </c>
      <c r="C215">
        <v>41.27</v>
      </c>
      <c r="D215">
        <v>40.54</v>
      </c>
      <c r="E215" s="30">
        <v>40.83</v>
      </c>
      <c r="F215">
        <v>1302100</v>
      </c>
    </row>
    <row r="216" spans="1:6">
      <c r="A216" s="70">
        <v>41108</v>
      </c>
      <c r="B216">
        <v>39.17</v>
      </c>
      <c r="C216">
        <v>40.94</v>
      </c>
      <c r="D216">
        <v>39.090000000000003</v>
      </c>
      <c r="E216" s="30">
        <v>40.6</v>
      </c>
      <c r="F216">
        <v>1112200</v>
      </c>
    </row>
    <row r="217" spans="1:6">
      <c r="A217" s="70">
        <v>41107</v>
      </c>
      <c r="B217">
        <v>39.47</v>
      </c>
      <c r="C217">
        <v>39.619999999999997</v>
      </c>
      <c r="D217">
        <v>38.85</v>
      </c>
      <c r="E217" s="30">
        <v>39.51</v>
      </c>
      <c r="F217">
        <v>717200</v>
      </c>
    </row>
    <row r="218" spans="1:6">
      <c r="A218" s="70">
        <v>41106</v>
      </c>
      <c r="B218">
        <v>39.29</v>
      </c>
      <c r="C218">
        <v>39.479999999999997</v>
      </c>
      <c r="D218">
        <v>38.86</v>
      </c>
      <c r="E218" s="30">
        <v>39.32</v>
      </c>
      <c r="F218">
        <v>1218100</v>
      </c>
    </row>
    <row r="219" spans="1:6">
      <c r="A219" s="70">
        <v>41103</v>
      </c>
      <c r="B219">
        <v>39.020000000000003</v>
      </c>
      <c r="C219">
        <v>39.61</v>
      </c>
      <c r="D219">
        <v>38.94</v>
      </c>
      <c r="E219" s="30">
        <v>39.53</v>
      </c>
      <c r="F219">
        <v>1245300</v>
      </c>
    </row>
    <row r="220" spans="1:6">
      <c r="A220" s="70">
        <v>41102</v>
      </c>
      <c r="B220">
        <v>39.15</v>
      </c>
      <c r="C220">
        <v>39.33</v>
      </c>
      <c r="D220">
        <v>38.76</v>
      </c>
      <c r="E220" s="30">
        <v>39.07</v>
      </c>
      <c r="F220">
        <v>1199600</v>
      </c>
    </row>
    <row r="221" spans="1:6">
      <c r="A221" s="70">
        <v>41101</v>
      </c>
      <c r="B221">
        <v>39.64</v>
      </c>
      <c r="C221">
        <v>40.1</v>
      </c>
      <c r="D221">
        <v>39.21</v>
      </c>
      <c r="E221" s="30">
        <v>39.450000000000003</v>
      </c>
      <c r="F221">
        <v>1108700</v>
      </c>
    </row>
    <row r="222" spans="1:6">
      <c r="A222" s="70">
        <v>41100</v>
      </c>
      <c r="B222">
        <v>40.340000000000003</v>
      </c>
      <c r="C222">
        <v>40.6</v>
      </c>
      <c r="D222">
        <v>39.44</v>
      </c>
      <c r="E222" s="30">
        <v>39.64</v>
      </c>
      <c r="F222">
        <v>1340900</v>
      </c>
    </row>
    <row r="223" spans="1:6">
      <c r="A223" s="70">
        <v>41099</v>
      </c>
      <c r="B223">
        <v>40.47</v>
      </c>
      <c r="C223">
        <v>40.61</v>
      </c>
      <c r="D223">
        <v>39.82</v>
      </c>
      <c r="E223" s="30">
        <v>40.18</v>
      </c>
      <c r="F223">
        <v>1689500</v>
      </c>
    </row>
    <row r="224" spans="1:6">
      <c r="A224" s="70">
        <v>41096</v>
      </c>
      <c r="B224">
        <v>41.92</v>
      </c>
      <c r="C224">
        <v>42.12</v>
      </c>
      <c r="D224">
        <v>40.33</v>
      </c>
      <c r="E224" s="30">
        <v>40.67</v>
      </c>
      <c r="F224">
        <v>2169000</v>
      </c>
    </row>
    <row r="225" spans="1:6">
      <c r="A225" s="70">
        <v>41095</v>
      </c>
      <c r="B225">
        <v>42.38</v>
      </c>
      <c r="C225">
        <v>42.8</v>
      </c>
      <c r="D225">
        <v>41.97</v>
      </c>
      <c r="E225" s="30">
        <v>42.18</v>
      </c>
      <c r="F225">
        <v>1235000</v>
      </c>
    </row>
    <row r="226" spans="1:6">
      <c r="A226" s="70">
        <v>41094</v>
      </c>
      <c r="B226">
        <v>42.29</v>
      </c>
      <c r="C226">
        <v>42.29</v>
      </c>
      <c r="D226">
        <v>42.29</v>
      </c>
      <c r="E226" s="30">
        <v>42.29</v>
      </c>
      <c r="F226">
        <v>0</v>
      </c>
    </row>
    <row r="227" spans="1:6">
      <c r="A227" s="70">
        <v>41093</v>
      </c>
      <c r="B227">
        <v>42.91</v>
      </c>
      <c r="C227">
        <v>42.94</v>
      </c>
      <c r="D227">
        <v>42.04</v>
      </c>
      <c r="E227" s="30">
        <v>42.29</v>
      </c>
      <c r="F227">
        <v>1223400</v>
      </c>
    </row>
    <row r="228" spans="1:6">
      <c r="A228" s="70">
        <v>41092</v>
      </c>
      <c r="B228">
        <v>43</v>
      </c>
      <c r="C228">
        <v>43.6</v>
      </c>
      <c r="D228">
        <v>42.44</v>
      </c>
      <c r="E228" s="30">
        <v>42.58</v>
      </c>
      <c r="F228">
        <v>1157800</v>
      </c>
    </row>
    <row r="229" spans="1:6">
      <c r="A229" s="70">
        <v>41089</v>
      </c>
      <c r="B229">
        <v>42.14</v>
      </c>
      <c r="C229">
        <v>42.7</v>
      </c>
      <c r="D229">
        <v>41.81</v>
      </c>
      <c r="E229" s="30">
        <v>42.68</v>
      </c>
      <c r="F229">
        <v>1657200</v>
      </c>
    </row>
    <row r="230" spans="1:6">
      <c r="A230" s="70">
        <v>41088</v>
      </c>
      <c r="B230">
        <v>41.5</v>
      </c>
      <c r="C230">
        <v>41.64</v>
      </c>
      <c r="D230">
        <v>40.950000000000003</v>
      </c>
      <c r="E230" s="30">
        <v>41.53</v>
      </c>
      <c r="F230">
        <v>733700</v>
      </c>
    </row>
    <row r="231" spans="1:6">
      <c r="A231" s="70">
        <v>41087</v>
      </c>
      <c r="B231">
        <v>41.69</v>
      </c>
      <c r="C231">
        <v>42.04</v>
      </c>
      <c r="D231">
        <v>41.39</v>
      </c>
      <c r="E231" s="30">
        <v>41.71</v>
      </c>
      <c r="F231">
        <v>1079600</v>
      </c>
    </row>
    <row r="232" spans="1:6">
      <c r="A232" s="70">
        <v>41086</v>
      </c>
      <c r="B232">
        <v>41.83</v>
      </c>
      <c r="C232">
        <v>42</v>
      </c>
      <c r="D232">
        <v>41.45</v>
      </c>
      <c r="E232" s="30">
        <v>41.52</v>
      </c>
      <c r="F232">
        <v>1325900</v>
      </c>
    </row>
    <row r="233" spans="1:6">
      <c r="A233" s="70">
        <v>41085</v>
      </c>
      <c r="B233">
        <v>42.67</v>
      </c>
      <c r="C233">
        <v>42.72</v>
      </c>
      <c r="D233">
        <v>41.73</v>
      </c>
      <c r="E233" s="30">
        <v>41.78</v>
      </c>
      <c r="F233">
        <v>1405400</v>
      </c>
    </row>
    <row r="234" spans="1:6">
      <c r="A234" s="70">
        <v>41082</v>
      </c>
      <c r="B234">
        <v>42.32</v>
      </c>
      <c r="C234">
        <v>43.02</v>
      </c>
      <c r="D234">
        <v>42.32</v>
      </c>
      <c r="E234" s="30">
        <v>42.9</v>
      </c>
      <c r="F234">
        <v>1898100</v>
      </c>
    </row>
    <row r="235" spans="1:6">
      <c r="A235" s="70">
        <v>41081</v>
      </c>
      <c r="B235">
        <v>43.77</v>
      </c>
      <c r="C235">
        <v>43.99</v>
      </c>
      <c r="D235">
        <v>42.18</v>
      </c>
      <c r="E235" s="30">
        <v>42.32</v>
      </c>
      <c r="F235">
        <v>2368500</v>
      </c>
    </row>
    <row r="236" spans="1:6">
      <c r="A236" s="70">
        <v>41080</v>
      </c>
      <c r="B236">
        <v>43.94</v>
      </c>
      <c r="C236">
        <v>44.2</v>
      </c>
      <c r="D236">
        <v>43.68</v>
      </c>
      <c r="E236" s="30">
        <v>43.96</v>
      </c>
      <c r="F236">
        <v>1455100</v>
      </c>
    </row>
    <row r="237" spans="1:6">
      <c r="A237" s="70">
        <v>41079</v>
      </c>
      <c r="B237">
        <v>44.3</v>
      </c>
      <c r="C237">
        <v>44.69</v>
      </c>
      <c r="D237">
        <v>43.64</v>
      </c>
      <c r="E237" s="30">
        <v>43.83</v>
      </c>
      <c r="F237">
        <v>1695400</v>
      </c>
    </row>
    <row r="238" spans="1:6">
      <c r="A238" s="70">
        <v>41078</v>
      </c>
      <c r="B238">
        <v>43.69</v>
      </c>
      <c r="C238">
        <v>44.32</v>
      </c>
      <c r="D238">
        <v>43.45</v>
      </c>
      <c r="E238" s="30">
        <v>44.01</v>
      </c>
      <c r="F238">
        <v>1407300</v>
      </c>
    </row>
    <row r="239" spans="1:6">
      <c r="A239" s="70">
        <v>41075</v>
      </c>
      <c r="B239">
        <v>43.07</v>
      </c>
      <c r="C239">
        <v>43.85</v>
      </c>
      <c r="D239">
        <v>42.92</v>
      </c>
      <c r="E239" s="30">
        <v>43.76</v>
      </c>
      <c r="F239">
        <v>2489400</v>
      </c>
    </row>
    <row r="240" spans="1:6">
      <c r="A240" s="70">
        <v>41074</v>
      </c>
      <c r="B240">
        <v>43.31</v>
      </c>
      <c r="C240">
        <v>43.65</v>
      </c>
      <c r="D240">
        <v>42.68</v>
      </c>
      <c r="E240" s="30">
        <v>43</v>
      </c>
      <c r="F240">
        <v>2866600</v>
      </c>
    </row>
    <row r="241" spans="1:6">
      <c r="A241" s="70">
        <v>41073</v>
      </c>
      <c r="B241">
        <v>43</v>
      </c>
      <c r="C241">
        <v>43.73</v>
      </c>
      <c r="D241">
        <v>42.52</v>
      </c>
      <c r="E241" s="30">
        <v>43.44</v>
      </c>
      <c r="F241">
        <v>2176800</v>
      </c>
    </row>
    <row r="242" spans="1:6">
      <c r="A242" s="70">
        <v>41072</v>
      </c>
      <c r="B242">
        <v>42.48</v>
      </c>
      <c r="C242">
        <v>43.29</v>
      </c>
      <c r="D242">
        <v>42.3</v>
      </c>
      <c r="E242" s="30">
        <v>43.25</v>
      </c>
      <c r="F242">
        <v>1772100</v>
      </c>
    </row>
    <row r="243" spans="1:6">
      <c r="A243" s="70">
        <v>41071</v>
      </c>
      <c r="B243">
        <v>43.67</v>
      </c>
      <c r="C243">
        <v>43.78</v>
      </c>
      <c r="D243">
        <v>42.38</v>
      </c>
      <c r="E243" s="30">
        <v>42.47</v>
      </c>
      <c r="F243">
        <v>1672800</v>
      </c>
    </row>
    <row r="244" spans="1:6">
      <c r="A244" s="70">
        <v>41068</v>
      </c>
      <c r="B244">
        <v>43.36</v>
      </c>
      <c r="C244">
        <v>43.84</v>
      </c>
      <c r="D244">
        <v>43.21</v>
      </c>
      <c r="E244" s="30">
        <v>43.7</v>
      </c>
      <c r="F244">
        <v>1416100</v>
      </c>
    </row>
    <row r="245" spans="1:6">
      <c r="A245" s="70">
        <v>41067</v>
      </c>
      <c r="B245">
        <v>44</v>
      </c>
      <c r="C245">
        <v>44.07</v>
      </c>
      <c r="D245">
        <v>43.32</v>
      </c>
      <c r="E245" s="30">
        <v>43.71</v>
      </c>
      <c r="F245">
        <v>2255900</v>
      </c>
    </row>
    <row r="246" spans="1:6">
      <c r="A246" s="70">
        <v>41066</v>
      </c>
      <c r="B246">
        <v>42.52</v>
      </c>
      <c r="C246">
        <v>43.71</v>
      </c>
      <c r="D246">
        <v>42.36</v>
      </c>
      <c r="E246" s="30">
        <v>43.71</v>
      </c>
      <c r="F246">
        <v>1886000</v>
      </c>
    </row>
    <row r="247" spans="1:6">
      <c r="A247" s="70">
        <v>41065</v>
      </c>
      <c r="B247">
        <v>41.24</v>
      </c>
      <c r="C247">
        <v>42.38</v>
      </c>
      <c r="D247">
        <v>41.23</v>
      </c>
      <c r="E247" s="30">
        <v>42.23</v>
      </c>
      <c r="F247">
        <v>1126500</v>
      </c>
    </row>
    <row r="248" spans="1:6">
      <c r="A248" s="70">
        <v>41064</v>
      </c>
      <c r="B248">
        <v>42.04</v>
      </c>
      <c r="C248">
        <v>42.86</v>
      </c>
      <c r="D248">
        <v>41.27</v>
      </c>
      <c r="E248" s="30">
        <v>41.71</v>
      </c>
      <c r="F248">
        <v>1466500</v>
      </c>
    </row>
    <row r="249" spans="1:6">
      <c r="A249" s="70">
        <v>41061</v>
      </c>
      <c r="B249">
        <v>41.73</v>
      </c>
      <c r="C249">
        <v>42.56</v>
      </c>
      <c r="D249">
        <v>41.62</v>
      </c>
      <c r="E249" s="30">
        <v>41.89</v>
      </c>
      <c r="F249">
        <v>2829900</v>
      </c>
    </row>
    <row r="250" spans="1:6">
      <c r="A250" s="70">
        <v>41060</v>
      </c>
      <c r="B250">
        <v>43.12</v>
      </c>
      <c r="C250">
        <v>43.12</v>
      </c>
      <c r="D250">
        <v>41.77</v>
      </c>
      <c r="E250" s="30">
        <v>42.32</v>
      </c>
      <c r="F250">
        <v>3210800</v>
      </c>
    </row>
    <row r="251" spans="1:6">
      <c r="A251" s="70">
        <v>41059</v>
      </c>
      <c r="B251">
        <v>43.36</v>
      </c>
      <c r="C251">
        <v>43.38</v>
      </c>
      <c r="D251">
        <v>42.83</v>
      </c>
      <c r="E251" s="30">
        <v>43</v>
      </c>
      <c r="F251">
        <v>1445800</v>
      </c>
    </row>
    <row r="252" spans="1:6">
      <c r="A252" s="70">
        <v>41058</v>
      </c>
      <c r="B252">
        <v>44.05</v>
      </c>
      <c r="C252">
        <v>44.29</v>
      </c>
      <c r="D252">
        <v>43.27</v>
      </c>
      <c r="E252" s="30">
        <v>43.86</v>
      </c>
      <c r="F252">
        <v>1788200</v>
      </c>
    </row>
    <row r="253" spans="1:6">
      <c r="A253" s="70">
        <v>41057</v>
      </c>
      <c r="B253">
        <v>43.69</v>
      </c>
      <c r="C253">
        <v>43.69</v>
      </c>
      <c r="D253">
        <v>43.69</v>
      </c>
      <c r="E253" s="30">
        <v>43.69</v>
      </c>
      <c r="F253">
        <v>0</v>
      </c>
    </row>
    <row r="254" spans="1:6">
      <c r="A254" s="70">
        <v>41054</v>
      </c>
      <c r="B254">
        <v>43.15</v>
      </c>
      <c r="C254">
        <v>44.16</v>
      </c>
      <c r="D254">
        <v>43.01</v>
      </c>
      <c r="E254" s="30">
        <v>43.69</v>
      </c>
      <c r="F254">
        <v>2365600</v>
      </c>
    </row>
    <row r="255" spans="1:6">
      <c r="A255" s="70">
        <v>41053</v>
      </c>
      <c r="B255">
        <v>43.19</v>
      </c>
      <c r="C255">
        <v>43.24</v>
      </c>
      <c r="D255">
        <v>42.44</v>
      </c>
      <c r="E255" s="30">
        <v>42.97</v>
      </c>
      <c r="F255">
        <v>2489100</v>
      </c>
    </row>
    <row r="256" spans="1:6">
      <c r="A256" s="70">
        <v>41052</v>
      </c>
      <c r="B256">
        <v>42.37</v>
      </c>
      <c r="C256">
        <v>43.51</v>
      </c>
      <c r="D256">
        <v>42.01</v>
      </c>
      <c r="E256" s="30">
        <v>43.39</v>
      </c>
      <c r="F256">
        <v>2624200</v>
      </c>
    </row>
    <row r="257" spans="1:6">
      <c r="A257" s="70">
        <v>41051</v>
      </c>
      <c r="B257">
        <v>42.9</v>
      </c>
      <c r="C257">
        <v>43.01</v>
      </c>
      <c r="D257">
        <v>42.47</v>
      </c>
      <c r="E257" s="30">
        <v>42.73</v>
      </c>
      <c r="F257">
        <v>1839100</v>
      </c>
    </row>
    <row r="258" spans="1:6">
      <c r="A258" s="70">
        <v>41050</v>
      </c>
      <c r="B258">
        <v>41.59</v>
      </c>
      <c r="C258">
        <v>43.18</v>
      </c>
      <c r="D258">
        <v>41.49</v>
      </c>
      <c r="E258" s="30">
        <v>42.96</v>
      </c>
      <c r="F258">
        <v>2735200</v>
      </c>
    </row>
    <row r="259" spans="1:6">
      <c r="A259" s="70">
        <v>41047</v>
      </c>
      <c r="B259">
        <v>42.52</v>
      </c>
      <c r="C259">
        <v>43.05</v>
      </c>
      <c r="D259">
        <v>41.54</v>
      </c>
      <c r="E259" s="30">
        <v>41.66</v>
      </c>
      <c r="F259">
        <v>4568800</v>
      </c>
    </row>
    <row r="260" spans="1:6">
      <c r="A260" s="70">
        <v>41046</v>
      </c>
      <c r="B260">
        <v>43.5</v>
      </c>
      <c r="C260">
        <v>43.7</v>
      </c>
      <c r="D260">
        <v>42.35</v>
      </c>
      <c r="E260" s="30">
        <v>42.38</v>
      </c>
      <c r="F260">
        <v>2546500</v>
      </c>
    </row>
    <row r="261" spans="1:6">
      <c r="A261" s="70">
        <v>41045</v>
      </c>
      <c r="B261">
        <v>44.5</v>
      </c>
      <c r="C261">
        <v>44.5</v>
      </c>
      <c r="D261">
        <v>43.29</v>
      </c>
      <c r="E261" s="30">
        <v>43.3</v>
      </c>
      <c r="F261">
        <v>5806700</v>
      </c>
    </row>
    <row r="262" spans="1:6">
      <c r="A262" s="70">
        <v>41044</v>
      </c>
      <c r="B262">
        <v>43.75</v>
      </c>
      <c r="C262">
        <v>45.7</v>
      </c>
      <c r="D262">
        <v>42.88</v>
      </c>
      <c r="E262" s="30">
        <v>44.51</v>
      </c>
      <c r="F262">
        <v>9349900</v>
      </c>
    </row>
    <row r="263" spans="1:6">
      <c r="A263" s="70">
        <v>41043</v>
      </c>
      <c r="B263">
        <v>42.03</v>
      </c>
      <c r="C263">
        <v>44.35</v>
      </c>
      <c r="D263">
        <v>41.73</v>
      </c>
      <c r="E263" s="30">
        <v>43.92</v>
      </c>
      <c r="F263">
        <v>7045700</v>
      </c>
    </row>
    <row r="264" spans="1:6">
      <c r="A264" s="70">
        <v>41040</v>
      </c>
      <c r="B264">
        <v>40.11</v>
      </c>
      <c r="C264">
        <v>40.93</v>
      </c>
      <c r="D264">
        <v>40.07</v>
      </c>
      <c r="E264" s="30">
        <v>40.4</v>
      </c>
      <c r="F264">
        <v>1823400</v>
      </c>
    </row>
    <row r="265" spans="1:6">
      <c r="A265" s="70">
        <v>41039</v>
      </c>
      <c r="B265">
        <v>38.97</v>
      </c>
      <c r="C265">
        <v>40.68</v>
      </c>
      <c r="D265">
        <v>38.97</v>
      </c>
      <c r="E265" s="30">
        <v>40.28</v>
      </c>
      <c r="F265">
        <v>3679900</v>
      </c>
    </row>
    <row r="266" spans="1:6">
      <c r="A266" s="70">
        <v>41038</v>
      </c>
      <c r="B266">
        <v>39.46</v>
      </c>
      <c r="C266">
        <v>40.15</v>
      </c>
      <c r="D266">
        <v>39.08</v>
      </c>
      <c r="E266" s="30">
        <v>39.71</v>
      </c>
      <c r="F266">
        <v>2542600</v>
      </c>
    </row>
    <row r="267" spans="1:6">
      <c r="A267" s="70">
        <v>41037</v>
      </c>
      <c r="B267">
        <v>39.81</v>
      </c>
      <c r="C267">
        <v>39.92</v>
      </c>
      <c r="D267">
        <v>39.130000000000003</v>
      </c>
      <c r="E267" s="30">
        <v>39.86</v>
      </c>
      <c r="F267">
        <v>2381000</v>
      </c>
    </row>
    <row r="268" spans="1:6">
      <c r="A268" s="70">
        <v>41036</v>
      </c>
      <c r="B268">
        <v>39.9</v>
      </c>
      <c r="C268">
        <v>40.33</v>
      </c>
      <c r="D268">
        <v>39.86</v>
      </c>
      <c r="E268" s="30">
        <v>40.06</v>
      </c>
      <c r="F268">
        <v>1631100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LBO</vt:lpstr>
      <vt:lpstr>Shares</vt:lpstr>
      <vt:lpstr>52wkHL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Matan Feldman</cp:lastModifiedBy>
  <cp:lastPrinted>2014-05-30T16:55:05Z</cp:lastPrinted>
  <dcterms:created xsi:type="dcterms:W3CDTF">2014-05-28T19:09:08Z</dcterms:created>
  <dcterms:modified xsi:type="dcterms:W3CDTF">2018-10-18T15:25:29Z</dcterms:modified>
</cp:coreProperties>
</file>