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harts/chart1.xml" ContentType="application/vnd.openxmlformats-officedocument.drawingml.chart+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scottmccarthy\Dropbox (Wall Street Prep)\Course Materials- WSP\LBO 2014\Course Downloads\Model Templates\"/>
    </mc:Choice>
  </mc:AlternateContent>
  <bookViews>
    <workbookView xWindow="720" yWindow="585" windowWidth="15240" windowHeight="12120"/>
  </bookViews>
  <sheets>
    <sheet name="LBO" sheetId="1" r:id="rId1"/>
    <sheet name="DCF" sheetId="10" r:id="rId2"/>
    <sheet name="Shares" sheetId="11" r:id="rId3"/>
    <sheet name="52wkHL" sheetId="9" r:id="rId4"/>
  </sheets>
  <externalReferences>
    <externalReference r:id="rId5"/>
    <externalReference r:id="rId6"/>
  </externalReferences>
  <definedNames>
    <definedName name="_xlnm._FilterDatabase" localSheetId="0" hidden="1">LBO!$F$129:$J$129</definedName>
    <definedName name="Inv_Cap">[1]Results!$E$182:$AD$182</definedName>
    <definedName name="NOPLAT">[1]Results!$E$145:$AD$145</definedName>
    <definedName name="One">'[1]Forecast Drivers'!$D$330</definedName>
    <definedName name="Products">[2]Array0!$B$5:$C$7</definedName>
    <definedName name="Rev">'[1]Forecast Drivers'!$E$25:$S$25</definedName>
  </definedNames>
  <calcPr calcId="152511" calcMode="autoNoTable" iterate="1"/>
</workbook>
</file>

<file path=xl/calcChain.xml><?xml version="1.0" encoding="utf-8"?>
<calcChain xmlns="http://schemas.openxmlformats.org/spreadsheetml/2006/main">
  <c r="C380" i="1" l="1"/>
  <c r="E392" i="1" s="1"/>
  <c r="C379" i="1"/>
  <c r="E391" i="1" s="1"/>
  <c r="C378" i="1"/>
  <c r="E362" i="1"/>
  <c r="D362" i="1"/>
  <c r="E361" i="1"/>
  <c r="D361" i="1"/>
  <c r="E358" i="1"/>
  <c r="D358" i="1"/>
  <c r="F340" i="1"/>
  <c r="E340" i="1"/>
  <c r="F334" i="1"/>
  <c r="E334" i="1"/>
  <c r="D357" i="1" s="1"/>
  <c r="F328" i="1"/>
  <c r="E351" i="1" s="1"/>
  <c r="E328" i="1"/>
  <c r="D351" i="1" s="1"/>
  <c r="F327" i="1"/>
  <c r="J327" i="1" s="1"/>
  <c r="F350" i="1" s="1"/>
  <c r="E327" i="1"/>
  <c r="D350" i="1" s="1"/>
  <c r="F326" i="1"/>
  <c r="E326" i="1"/>
  <c r="D349" i="1" s="1"/>
  <c r="F325" i="1"/>
  <c r="J325" i="1" s="1"/>
  <c r="F348" i="1" s="1"/>
  <c r="E325" i="1"/>
  <c r="D348" i="1" s="1"/>
  <c r="I328" i="1" l="1"/>
  <c r="I326" i="1"/>
  <c r="C381" i="1"/>
  <c r="J326" i="1"/>
  <c r="F349" i="1" s="1"/>
  <c r="G392" i="1"/>
  <c r="H392" i="1" s="1"/>
  <c r="I392" i="1" s="1"/>
  <c r="J392" i="1" s="1"/>
  <c r="K392" i="1" s="1"/>
  <c r="E363" i="1"/>
  <c r="D363" i="1"/>
  <c r="E349" i="1"/>
  <c r="G391" i="1"/>
  <c r="E348" i="1"/>
  <c r="E350" i="1"/>
  <c r="E357" i="1"/>
  <c r="J125" i="1"/>
  <c r="I125" i="1"/>
  <c r="H125" i="1"/>
  <c r="G125" i="1"/>
  <c r="F125" i="1"/>
  <c r="F109" i="1"/>
  <c r="F104" i="1"/>
  <c r="F103" i="1" s="1"/>
  <c r="G104" i="1"/>
  <c r="G126" i="1" s="1"/>
  <c r="G127" i="1" s="1"/>
  <c r="H104" i="1"/>
  <c r="H126" i="1" s="1"/>
  <c r="I104" i="1"/>
  <c r="I126" i="1" s="1"/>
  <c r="J104" i="1"/>
  <c r="J126" i="1" s="1"/>
  <c r="D107" i="1"/>
  <c r="E329" i="1" s="1"/>
  <c r="D352" i="1" s="1"/>
  <c r="E107" i="1"/>
  <c r="F218" i="1"/>
  <c r="G218" i="1" s="1"/>
  <c r="H218" i="1" s="1"/>
  <c r="I261" i="1"/>
  <c r="I262" i="1" s="1"/>
  <c r="I263" i="1" s="1"/>
  <c r="I264" i="1" s="1"/>
  <c r="H261" i="1"/>
  <c r="H262" i="1" s="1"/>
  <c r="H263" i="1" s="1"/>
  <c r="H264" i="1" s="1"/>
  <c r="G261" i="1"/>
  <c r="G262" i="1" s="1"/>
  <c r="G263" i="1" s="1"/>
  <c r="G264" i="1" s="1"/>
  <c r="F261" i="1"/>
  <c r="F262" i="1" s="1"/>
  <c r="F263" i="1" s="1"/>
  <c r="F264" i="1" s="1"/>
  <c r="I255" i="1"/>
  <c r="I256" i="1" s="1"/>
  <c r="I257" i="1" s="1"/>
  <c r="I258" i="1" s="1"/>
  <c r="H255" i="1"/>
  <c r="H256" i="1" s="1"/>
  <c r="H257" i="1" s="1"/>
  <c r="H258" i="1" s="1"/>
  <c r="G255" i="1"/>
  <c r="G256" i="1" s="1"/>
  <c r="G257" i="1" s="1"/>
  <c r="G258" i="1" s="1"/>
  <c r="F255" i="1"/>
  <c r="F256" i="1" s="1"/>
  <c r="F257" i="1" s="1"/>
  <c r="F258" i="1" s="1"/>
  <c r="E211" i="1"/>
  <c r="E212" i="1"/>
  <c r="G150" i="1"/>
  <c r="H150" i="1"/>
  <c r="I150" i="1"/>
  <c r="J150" i="1"/>
  <c r="F150" i="1"/>
  <c r="E146" i="1"/>
  <c r="D146" i="1"/>
  <c r="F142" i="1"/>
  <c r="F149" i="1" s="1"/>
  <c r="F151" i="1" l="1"/>
  <c r="F329" i="1"/>
  <c r="E352" i="1" s="1"/>
  <c r="H391" i="1"/>
  <c r="G109" i="1"/>
  <c r="G103" i="1"/>
  <c r="H103" i="1" s="1"/>
  <c r="I103" i="1" s="1"/>
  <c r="J103" i="1" s="1"/>
  <c r="F107" i="1"/>
  <c r="J127" i="1"/>
  <c r="I127" i="1"/>
  <c r="H127" i="1"/>
  <c r="F126" i="1"/>
  <c r="I218" i="1"/>
  <c r="B266" i="1"/>
  <c r="F127" i="1" l="1"/>
  <c r="F26" i="10"/>
  <c r="F120" i="1"/>
  <c r="I391" i="1"/>
  <c r="H109" i="1"/>
  <c r="G107" i="1"/>
  <c r="J218" i="1"/>
  <c r="C94" i="1"/>
  <c r="E94" i="1"/>
  <c r="D94" i="1"/>
  <c r="E82" i="1"/>
  <c r="D82" i="1"/>
  <c r="E80" i="1"/>
  <c r="F332" i="1" s="1"/>
  <c r="D80" i="1"/>
  <c r="E332" i="1" s="1"/>
  <c r="E79" i="1"/>
  <c r="F79" i="1" s="1"/>
  <c r="G79" i="1" s="1"/>
  <c r="H79" i="1" s="1"/>
  <c r="I79" i="1" s="1"/>
  <c r="J79" i="1" s="1"/>
  <c r="D79" i="1"/>
  <c r="E76" i="1"/>
  <c r="F324" i="1" s="1"/>
  <c r="D76" i="1"/>
  <c r="E324" i="1" s="1"/>
  <c r="D347" i="1" s="1"/>
  <c r="C89" i="1"/>
  <c r="H107" i="1" l="1"/>
  <c r="H120" i="1" s="1"/>
  <c r="G120" i="1"/>
  <c r="J391" i="1"/>
  <c r="E83" i="1"/>
  <c r="F83" i="1" s="1"/>
  <c r="G83" i="1" s="1"/>
  <c r="F333" i="1"/>
  <c r="F336" i="1" s="1"/>
  <c r="D83" i="1"/>
  <c r="E333" i="1"/>
  <c r="D356" i="1" s="1"/>
  <c r="D355" i="1"/>
  <c r="J324" i="1"/>
  <c r="F347" i="1" s="1"/>
  <c r="E347" i="1"/>
  <c r="J332" i="1"/>
  <c r="F355" i="1" s="1"/>
  <c r="E355" i="1"/>
  <c r="I109" i="1"/>
  <c r="D85" i="1"/>
  <c r="E85" i="1"/>
  <c r="D77" i="1"/>
  <c r="E77" i="1"/>
  <c r="F77" i="1" s="1"/>
  <c r="G77" i="1" s="1"/>
  <c r="H77" i="1" s="1"/>
  <c r="I77" i="1" s="1"/>
  <c r="J77" i="1" s="1"/>
  <c r="G70" i="1"/>
  <c r="H70" i="1" s="1"/>
  <c r="I70" i="1" s="1"/>
  <c r="J70" i="1" s="1"/>
  <c r="D67" i="1"/>
  <c r="C67" i="1"/>
  <c r="D65" i="1"/>
  <c r="E67" i="1"/>
  <c r="E65" i="1"/>
  <c r="E61" i="1"/>
  <c r="E58" i="1"/>
  <c r="D58" i="1"/>
  <c r="E46" i="1"/>
  <c r="E68" i="1" s="1"/>
  <c r="D46" i="1"/>
  <c r="D68" i="1" s="1"/>
  <c r="C46" i="1"/>
  <c r="C68" i="1" s="1"/>
  <c r="E43" i="1"/>
  <c r="E44" i="1" s="1"/>
  <c r="D43" i="1"/>
  <c r="D81" i="1" s="1"/>
  <c r="C43" i="1"/>
  <c r="D21" i="1"/>
  <c r="G335" i="1" s="1"/>
  <c r="E48" i="1" l="1"/>
  <c r="E57" i="1" s="1"/>
  <c r="E62" i="1" s="1"/>
  <c r="D13" i="1" s="1"/>
  <c r="D34" i="1" s="1"/>
  <c r="I107" i="1"/>
  <c r="I120" i="1" s="1"/>
  <c r="K391" i="1"/>
  <c r="D359" i="1"/>
  <c r="E336" i="1"/>
  <c r="J333" i="1"/>
  <c r="F356" i="1" s="1"/>
  <c r="E356" i="1"/>
  <c r="E359" i="1" s="1"/>
  <c r="J109" i="1"/>
  <c r="E70" i="1"/>
  <c r="C70" i="1"/>
  <c r="E66" i="1"/>
  <c r="F67" i="1"/>
  <c r="G67" i="1" s="1"/>
  <c r="H67" i="1" s="1"/>
  <c r="I67" i="1" s="1"/>
  <c r="J67" i="1" s="1"/>
  <c r="F68" i="1"/>
  <c r="G68" i="1" s="1"/>
  <c r="H68" i="1" s="1"/>
  <c r="I68" i="1" s="1"/>
  <c r="J68" i="1" s="1"/>
  <c r="C44" i="1"/>
  <c r="C48" i="1" s="1"/>
  <c r="C16" i="10" s="1"/>
  <c r="D44" i="1"/>
  <c r="D48" i="1" s="1"/>
  <c r="D70" i="1"/>
  <c r="E81" i="1"/>
  <c r="F81" i="1" s="1"/>
  <c r="G81" i="1" s="1"/>
  <c r="H81" i="1" s="1"/>
  <c r="I81" i="1" s="1"/>
  <c r="J81" i="1" s="1"/>
  <c r="H83" i="1"/>
  <c r="F42" i="1"/>
  <c r="J107" i="1" l="1"/>
  <c r="J120" i="1"/>
  <c r="E52" i="1"/>
  <c r="E54" i="1" s="1"/>
  <c r="C66" i="1"/>
  <c r="D66" i="1"/>
  <c r="F46" i="1"/>
  <c r="F100" i="1"/>
  <c r="F78" i="1"/>
  <c r="G348" i="1" s="1"/>
  <c r="F94" i="1"/>
  <c r="F82" i="1"/>
  <c r="G356" i="1" s="1"/>
  <c r="F76" i="1"/>
  <c r="G347" i="1" s="1"/>
  <c r="C231" i="1"/>
  <c r="E254" i="1"/>
  <c r="E255" i="1" s="1"/>
  <c r="E256" i="1" s="1"/>
  <c r="E257" i="1" s="1"/>
  <c r="E258" i="1" s="1"/>
  <c r="I83" i="1"/>
  <c r="G42" i="1"/>
  <c r="F45" i="1"/>
  <c r="D33" i="1"/>
  <c r="H338" i="1" s="1"/>
  <c r="J338" i="1" s="1"/>
  <c r="F361" i="1" s="1"/>
  <c r="D28" i="1"/>
  <c r="D30" i="1"/>
  <c r="D29" i="1"/>
  <c r="D32" i="1"/>
  <c r="D31" i="1"/>
  <c r="E69" i="1" l="1"/>
  <c r="F69" i="1" s="1"/>
  <c r="F66" i="1"/>
  <c r="G66" i="1" s="1"/>
  <c r="H66" i="1" s="1"/>
  <c r="I66" i="1" s="1"/>
  <c r="J66" i="1" s="1"/>
  <c r="H335" i="1"/>
  <c r="J335" i="1" s="1"/>
  <c r="E248" i="1"/>
  <c r="E249" i="1" s="1"/>
  <c r="E250" i="1" s="1"/>
  <c r="E251" i="1" s="1"/>
  <c r="E252" i="1" s="1"/>
  <c r="E237" i="1"/>
  <c r="F155" i="1"/>
  <c r="C52" i="1"/>
  <c r="C57" i="1"/>
  <c r="C62" i="1" s="1"/>
  <c r="F170" i="1"/>
  <c r="F171" i="1" s="1"/>
  <c r="E239" i="1"/>
  <c r="D52" i="1"/>
  <c r="D57" i="1"/>
  <c r="D62" i="1" s="1"/>
  <c r="E240" i="1"/>
  <c r="F178" i="1"/>
  <c r="G45" i="1"/>
  <c r="G100" i="1"/>
  <c r="G94" i="1"/>
  <c r="G78" i="1"/>
  <c r="H348" i="1" s="1"/>
  <c r="G82" i="1"/>
  <c r="H356" i="1" s="1"/>
  <c r="G76" i="1"/>
  <c r="H347" i="1" s="1"/>
  <c r="F158" i="1"/>
  <c r="F184" i="1"/>
  <c r="F185" i="1" s="1"/>
  <c r="F211" i="1" s="1"/>
  <c r="E244" i="1"/>
  <c r="E243" i="1"/>
  <c r="E242" i="1"/>
  <c r="E245" i="1"/>
  <c r="E246" i="1"/>
  <c r="F162" i="1"/>
  <c r="F163" i="1" s="1"/>
  <c r="E238" i="1"/>
  <c r="F191" i="1"/>
  <c r="F192" i="1" s="1"/>
  <c r="J83" i="1"/>
  <c r="G46" i="1"/>
  <c r="H42" i="1"/>
  <c r="F44" i="1" l="1"/>
  <c r="F43" i="1" s="1"/>
  <c r="E393" i="1"/>
  <c r="C382" i="1"/>
  <c r="I334" i="1" s="1"/>
  <c r="G69" i="1"/>
  <c r="H69" i="1" s="1"/>
  <c r="I69" i="1" s="1"/>
  <c r="J69" i="1" s="1"/>
  <c r="G44" i="1"/>
  <c r="J334" i="1"/>
  <c r="C383" i="1"/>
  <c r="F358" i="1"/>
  <c r="C46" i="10" s="1"/>
  <c r="D54" i="1"/>
  <c r="D69" i="1"/>
  <c r="C54" i="1"/>
  <c r="C69" i="1"/>
  <c r="F179" i="1"/>
  <c r="F180" i="1" s="1"/>
  <c r="H44" i="1"/>
  <c r="H43" i="1" s="1"/>
  <c r="H80" i="1" s="1"/>
  <c r="I355" i="1" s="1"/>
  <c r="H94" i="1"/>
  <c r="H100" i="1"/>
  <c r="H82" i="1"/>
  <c r="I356" i="1" s="1"/>
  <c r="H76" i="1"/>
  <c r="I347" i="1" s="1"/>
  <c r="H78" i="1"/>
  <c r="I348" i="1" s="1"/>
  <c r="G158" i="1"/>
  <c r="F243" i="1"/>
  <c r="F246" i="1"/>
  <c r="F242" i="1"/>
  <c r="F245" i="1"/>
  <c r="F244" i="1"/>
  <c r="F193" i="1"/>
  <c r="G361" i="1" s="1"/>
  <c r="F186" i="1"/>
  <c r="F212" i="1" s="1"/>
  <c r="F122" i="1" s="1"/>
  <c r="I42" i="1"/>
  <c r="I45" i="1" s="1"/>
  <c r="G43" i="1"/>
  <c r="H45" i="1"/>
  <c r="H46" i="1"/>
  <c r="F80" i="1" l="1"/>
  <c r="F60" i="1"/>
  <c r="F357" i="1"/>
  <c r="F359" i="1" s="1"/>
  <c r="J336" i="1"/>
  <c r="F129" i="1"/>
  <c r="G178" i="1"/>
  <c r="F210" i="1"/>
  <c r="F240" i="1" s="1"/>
  <c r="J42" i="1"/>
  <c r="J100" i="1" s="1"/>
  <c r="I46" i="1"/>
  <c r="I78" i="1"/>
  <c r="J348" i="1" s="1"/>
  <c r="G60" i="1"/>
  <c r="G80" i="1"/>
  <c r="H355" i="1" s="1"/>
  <c r="I94" i="1"/>
  <c r="I100" i="1"/>
  <c r="I82" i="1"/>
  <c r="J356" i="1" s="1"/>
  <c r="I76" i="1"/>
  <c r="J347" i="1" s="1"/>
  <c r="I44" i="1"/>
  <c r="I43" i="1" s="1"/>
  <c r="I60" i="1" s="1"/>
  <c r="H158" i="1"/>
  <c r="H85" i="1"/>
  <c r="F194" i="1"/>
  <c r="G191" i="1"/>
  <c r="G192" i="1" s="1"/>
  <c r="F187" i="1"/>
  <c r="H60" i="1"/>
  <c r="G369" i="1" l="1"/>
  <c r="F118" i="1"/>
  <c r="G355" i="1"/>
  <c r="F85" i="1"/>
  <c r="F119" i="1" s="1"/>
  <c r="H118" i="1"/>
  <c r="I369" i="1"/>
  <c r="F130" i="1"/>
  <c r="G368" i="1"/>
  <c r="G85" i="1"/>
  <c r="H119" i="1" s="1"/>
  <c r="G118" i="1"/>
  <c r="H369" i="1"/>
  <c r="G193" i="1"/>
  <c r="I118" i="1"/>
  <c r="J369" i="1"/>
  <c r="G179" i="1"/>
  <c r="J44" i="1"/>
  <c r="J43" i="1" s="1"/>
  <c r="J82" i="1"/>
  <c r="K356" i="1" s="1"/>
  <c r="J76" i="1"/>
  <c r="K347" i="1" s="1"/>
  <c r="J46" i="1"/>
  <c r="J45" i="1"/>
  <c r="J78" i="1"/>
  <c r="K348" i="1" s="1"/>
  <c r="J94" i="1"/>
  <c r="I80" i="1"/>
  <c r="J355" i="1" s="1"/>
  <c r="I158" i="1"/>
  <c r="F248" i="1"/>
  <c r="F249" i="1" s="1"/>
  <c r="F250" i="1" s="1"/>
  <c r="F251" i="1" s="1"/>
  <c r="F252" i="1" s="1"/>
  <c r="G184" i="1"/>
  <c r="G119" i="1" l="1"/>
  <c r="H191" i="1"/>
  <c r="H192" i="1" s="1"/>
  <c r="H361" i="1"/>
  <c r="J158" i="1"/>
  <c r="I85" i="1"/>
  <c r="I119" i="1" s="1"/>
  <c r="G194" i="1"/>
  <c r="J60" i="1"/>
  <c r="G180" i="1"/>
  <c r="J80" i="1"/>
  <c r="K355" i="1" s="1"/>
  <c r="G185" i="1"/>
  <c r="G186" i="1" s="1"/>
  <c r="G212" i="1" s="1"/>
  <c r="G122" i="1" s="1"/>
  <c r="H193" i="1" l="1"/>
  <c r="J85" i="1"/>
  <c r="J119" i="1" s="1"/>
  <c r="J118" i="1"/>
  <c r="K369" i="1"/>
  <c r="G130" i="1"/>
  <c r="G248" i="1"/>
  <c r="G249" i="1" s="1"/>
  <c r="G250" i="1" s="1"/>
  <c r="G251" i="1" s="1"/>
  <c r="G252" i="1" s="1"/>
  <c r="H368" i="1"/>
  <c r="H178" i="1"/>
  <c r="G210" i="1"/>
  <c r="G240" i="1" s="1"/>
  <c r="G211" i="1"/>
  <c r="G187" i="1"/>
  <c r="H14" i="1"/>
  <c r="H10" i="1"/>
  <c r="H8" i="1"/>
  <c r="J21" i="1"/>
  <c r="I14" i="1"/>
  <c r="I10" i="1"/>
  <c r="I12" i="1" s="1"/>
  <c r="J10" i="1"/>
  <c r="J14" i="1"/>
  <c r="D15" i="1"/>
  <c r="I15" i="1" s="1"/>
  <c r="B2" i="1"/>
  <c r="F281" i="1"/>
  <c r="G281" i="1" s="1"/>
  <c r="H281" i="1" s="1"/>
  <c r="I281" i="1" s="1"/>
  <c r="J281" i="1" s="1"/>
  <c r="F302" i="1"/>
  <c r="C203" i="1"/>
  <c r="E203" i="1"/>
  <c r="D203" i="1"/>
  <c r="E89" i="1"/>
  <c r="D89" i="1"/>
  <c r="E74" i="1"/>
  <c r="D74" i="1"/>
  <c r="E39" i="1"/>
  <c r="E88" i="1" s="1"/>
  <c r="F32" i="1"/>
  <c r="F31" i="1"/>
  <c r="F30" i="1"/>
  <c r="F29" i="1"/>
  <c r="F28" i="1"/>
  <c r="H85" i="10"/>
  <c r="F85" i="10"/>
  <c r="E85" i="10" s="1"/>
  <c r="E75" i="10"/>
  <c r="D75" i="10" s="1"/>
  <c r="G75" i="10"/>
  <c r="H75" i="10" s="1"/>
  <c r="B283" i="1"/>
  <c r="B284" i="1"/>
  <c r="B285" i="1"/>
  <c r="E5" i="9"/>
  <c r="E4" i="9"/>
  <c r="B3" i="10"/>
  <c r="B3" i="11"/>
  <c r="B2" i="11"/>
  <c r="B19" i="11"/>
  <c r="B20" i="11" s="1"/>
  <c r="B21" i="11" s="1"/>
  <c r="B22" i="11" s="1"/>
  <c r="B23" i="11" s="1"/>
  <c r="B24" i="11" s="1"/>
  <c r="B25" i="11" s="1"/>
  <c r="B26" i="11" s="1"/>
  <c r="B27" i="11" s="1"/>
  <c r="I191" i="1" l="1"/>
  <c r="I192" i="1" s="1"/>
  <c r="I361" i="1"/>
  <c r="H194" i="1"/>
  <c r="I368" i="1" s="1"/>
  <c r="J15" i="1"/>
  <c r="E144" i="1"/>
  <c r="F323" i="1" s="1"/>
  <c r="D27" i="1"/>
  <c r="C27" i="1" s="1"/>
  <c r="I17" i="1"/>
  <c r="H15" i="1"/>
  <c r="H179" i="1"/>
  <c r="H180" i="1" s="1"/>
  <c r="G246" i="1"/>
  <c r="G242" i="1"/>
  <c r="G245" i="1"/>
  <c r="G244" i="1"/>
  <c r="G243" i="1"/>
  <c r="H184" i="1"/>
  <c r="E73" i="1"/>
  <c r="E202" i="1"/>
  <c r="B117" i="10"/>
  <c r="C7" i="10"/>
  <c r="C95" i="1"/>
  <c r="C100" i="1"/>
  <c r="C101" i="1"/>
  <c r="E305" i="1"/>
  <c r="E306" i="1" s="1"/>
  <c r="E307" i="1" s="1"/>
  <c r="E308" i="1" s="1"/>
  <c r="G303" i="1"/>
  <c r="H303" i="1" s="1"/>
  <c r="I303" i="1" s="1"/>
  <c r="J303" i="1" s="1"/>
  <c r="E322" i="1"/>
  <c r="B345" i="1"/>
  <c r="B344" i="1"/>
  <c r="E345" i="1"/>
  <c r="D345" i="1"/>
  <c r="B364" i="1"/>
  <c r="B363" i="1"/>
  <c r="B362" i="1"/>
  <c r="B361" i="1"/>
  <c r="B359" i="1"/>
  <c r="B358" i="1"/>
  <c r="B353" i="1"/>
  <c r="B346" i="1"/>
  <c r="B334" i="1"/>
  <c r="B357" i="1" s="1"/>
  <c r="B333" i="1"/>
  <c r="B356" i="1" s="1"/>
  <c r="B332" i="1"/>
  <c r="B355" i="1" s="1"/>
  <c r="B329" i="1"/>
  <c r="B352" i="1" s="1"/>
  <c r="B328" i="1"/>
  <c r="B351" i="1" s="1"/>
  <c r="B327" i="1"/>
  <c r="B350" i="1" s="1"/>
  <c r="B326" i="1"/>
  <c r="B349" i="1" s="1"/>
  <c r="B325" i="1"/>
  <c r="B348" i="1" s="1"/>
  <c r="B324" i="1"/>
  <c r="B347" i="1" s="1"/>
  <c r="C8" i="10"/>
  <c r="D95" i="1"/>
  <c r="E95" i="1"/>
  <c r="K95" i="1" s="1"/>
  <c r="F95" i="1" s="1"/>
  <c r="E98" i="1"/>
  <c r="E101" i="1" s="1"/>
  <c r="K101" i="1" s="1"/>
  <c r="F101" i="1" s="1"/>
  <c r="I193" i="1" l="1"/>
  <c r="J361" i="1" s="1"/>
  <c r="H130" i="1"/>
  <c r="H248" i="1"/>
  <c r="H249" i="1" s="1"/>
  <c r="H250" i="1" s="1"/>
  <c r="H251" i="1" s="1"/>
  <c r="H252" i="1" s="1"/>
  <c r="F330" i="1"/>
  <c r="F341" i="1" s="1"/>
  <c r="E346" i="1"/>
  <c r="E353" i="1" s="1"/>
  <c r="E364" i="1" s="1"/>
  <c r="G101" i="1"/>
  <c r="F99" i="1"/>
  <c r="F97" i="1" s="1"/>
  <c r="G350" i="1" s="1"/>
  <c r="F93" i="1"/>
  <c r="G95" i="1"/>
  <c r="I178" i="1"/>
  <c r="H210" i="1"/>
  <c r="H240" i="1" s="1"/>
  <c r="H185" i="1"/>
  <c r="H186" i="1" s="1"/>
  <c r="H212" i="1" s="1"/>
  <c r="H122" i="1" s="1"/>
  <c r="I194" i="1" l="1"/>
  <c r="J368" i="1" s="1"/>
  <c r="J191" i="1"/>
  <c r="J192" i="1" s="1"/>
  <c r="H95" i="1"/>
  <c r="G93" i="1"/>
  <c r="F91" i="1"/>
  <c r="G349" i="1" s="1"/>
  <c r="F58" i="1"/>
  <c r="H101" i="1"/>
  <c r="G99" i="1"/>
  <c r="G97" i="1" s="1"/>
  <c r="H350" i="1" s="1"/>
  <c r="I179" i="1"/>
  <c r="H211" i="1"/>
  <c r="H187" i="1"/>
  <c r="D98" i="1"/>
  <c r="D101" i="1" s="1"/>
  <c r="E100" i="1"/>
  <c r="D144" i="1"/>
  <c r="E323" i="1" s="1"/>
  <c r="F321" i="1"/>
  <c r="E314" i="1"/>
  <c r="E315" i="1" s="1"/>
  <c r="E316" i="1" s="1"/>
  <c r="E317" i="1" s="1"/>
  <c r="G312" i="1"/>
  <c r="H312" i="1" s="1"/>
  <c r="I312" i="1" s="1"/>
  <c r="J312" i="1" s="1"/>
  <c r="F292" i="1"/>
  <c r="G293" i="1"/>
  <c r="H293" i="1" s="1"/>
  <c r="I293" i="1" s="1"/>
  <c r="J293" i="1" s="1"/>
  <c r="E295" i="1"/>
  <c r="E296" i="1" s="1"/>
  <c r="E297" i="1" s="1"/>
  <c r="E298" i="1" s="1"/>
  <c r="I130" i="1" l="1"/>
  <c r="I248" i="1"/>
  <c r="I249" i="1" s="1"/>
  <c r="I250" i="1" s="1"/>
  <c r="I251" i="1" s="1"/>
  <c r="I252" i="1" s="1"/>
  <c r="J193" i="1"/>
  <c r="K361" i="1" s="1"/>
  <c r="E330" i="1"/>
  <c r="E341" i="1" s="1"/>
  <c r="D346" i="1"/>
  <c r="D353" i="1" s="1"/>
  <c r="D364" i="1" s="1"/>
  <c r="F116" i="1"/>
  <c r="I101" i="1"/>
  <c r="H99" i="1"/>
  <c r="H97" i="1" s="1"/>
  <c r="I350" i="1" s="1"/>
  <c r="G91" i="1"/>
  <c r="H349" i="1" s="1"/>
  <c r="G58" i="1"/>
  <c r="D145" i="1"/>
  <c r="E145" i="1"/>
  <c r="H93" i="1"/>
  <c r="I95" i="1"/>
  <c r="I180" i="1"/>
  <c r="H245" i="1"/>
  <c r="H244" i="1"/>
  <c r="H243" i="1"/>
  <c r="H246" i="1"/>
  <c r="H242" i="1"/>
  <c r="I184" i="1"/>
  <c r="F344" i="1"/>
  <c r="D100" i="1"/>
  <c r="B275" i="1"/>
  <c r="B274" i="1"/>
  <c r="H273" i="1"/>
  <c r="H272" i="1"/>
  <c r="F227" i="1" l="1"/>
  <c r="G227" i="1" s="1"/>
  <c r="H227" i="1" s="1"/>
  <c r="I227" i="1" s="1"/>
  <c r="J227" i="1" s="1"/>
  <c r="J194" i="1"/>
  <c r="H58" i="1"/>
  <c r="H116" i="1" s="1"/>
  <c r="G116" i="1"/>
  <c r="I93" i="1"/>
  <c r="J95" i="1"/>
  <c r="J93" i="1" s="1"/>
  <c r="J101" i="1"/>
  <c r="J99" i="1" s="1"/>
  <c r="I99" i="1"/>
  <c r="I97" i="1" s="1"/>
  <c r="J350" i="1" s="1"/>
  <c r="J145" i="1"/>
  <c r="H145" i="1"/>
  <c r="I145" i="1"/>
  <c r="F145" i="1"/>
  <c r="G145" i="1"/>
  <c r="H91" i="1"/>
  <c r="I349" i="1" s="1"/>
  <c r="J178" i="1"/>
  <c r="I210" i="1"/>
  <c r="I240" i="1" s="1"/>
  <c r="I185" i="1"/>
  <c r="I186" i="1" s="1"/>
  <c r="I212" i="1" s="1"/>
  <c r="I122" i="1" s="1"/>
  <c r="B242" i="1"/>
  <c r="J130" i="1" l="1"/>
  <c r="K368" i="1"/>
  <c r="J97" i="1"/>
  <c r="K350" i="1" s="1"/>
  <c r="I91" i="1"/>
  <c r="J349" i="1" s="1"/>
  <c r="I58" i="1"/>
  <c r="J58" i="1"/>
  <c r="J179" i="1"/>
  <c r="J180" i="1" s="1"/>
  <c r="I211" i="1"/>
  <c r="I187" i="1"/>
  <c r="B254" i="1"/>
  <c r="J91" i="1" l="1"/>
  <c r="K349" i="1" s="1"/>
  <c r="J116" i="1"/>
  <c r="I116" i="1"/>
  <c r="F225" i="1"/>
  <c r="G225" i="1" s="1"/>
  <c r="H225" i="1" s="1"/>
  <c r="I225" i="1" s="1"/>
  <c r="J225" i="1" s="1"/>
  <c r="J210" i="1"/>
  <c r="J240" i="1" s="1"/>
  <c r="I244" i="1"/>
  <c r="I243" i="1"/>
  <c r="I246" i="1"/>
  <c r="I242" i="1"/>
  <c r="I245" i="1"/>
  <c r="J184" i="1"/>
  <c r="B273" i="1"/>
  <c r="B272" i="1"/>
  <c r="B271" i="1"/>
  <c r="B270" i="1"/>
  <c r="B269" i="1"/>
  <c r="B268" i="1"/>
  <c r="B260" i="1"/>
  <c r="B248" i="1"/>
  <c r="B255" i="1"/>
  <c r="C140" i="1"/>
  <c r="D240" i="1" l="1"/>
  <c r="C240" i="1"/>
  <c r="J185" i="1"/>
  <c r="J186" i="1" s="1"/>
  <c r="J212" i="1" s="1"/>
  <c r="J122" i="1" s="1"/>
  <c r="B243" i="1"/>
  <c r="B249" i="1"/>
  <c r="B261" i="1"/>
  <c r="J211" i="1" l="1"/>
  <c r="J187" i="1"/>
  <c r="F226" i="1" s="1"/>
  <c r="G226" i="1" s="1"/>
  <c r="H226" i="1" s="1"/>
  <c r="I226" i="1" s="1"/>
  <c r="J226" i="1" s="1"/>
  <c r="B256" i="1"/>
  <c r="B250" i="1"/>
  <c r="B263" i="1"/>
  <c r="B262" i="1"/>
  <c r="B244" i="1"/>
  <c r="G23" i="10"/>
  <c r="F23" i="10"/>
  <c r="B252" i="1" l="1"/>
  <c r="B245" i="1"/>
  <c r="B251" i="1"/>
  <c r="B257" i="1"/>
  <c r="B246" i="1"/>
  <c r="B258" i="1"/>
  <c r="B264" i="1"/>
  <c r="H23" i="10"/>
  <c r="I23" i="10" l="1"/>
  <c r="J23" i="10"/>
  <c r="E116" i="10" l="1"/>
  <c r="C116" i="10"/>
  <c r="E115" i="10"/>
  <c r="C115" i="10"/>
  <c r="C87" i="10"/>
  <c r="C88" i="10" s="1"/>
  <c r="C89" i="10" s="1"/>
  <c r="C90" i="10" s="1"/>
  <c r="D86" i="10"/>
  <c r="C77" i="10"/>
  <c r="C78" i="10" s="1"/>
  <c r="C79" i="10" s="1"/>
  <c r="C80" i="10" s="1"/>
  <c r="C81" i="10" s="1"/>
  <c r="C67" i="10"/>
  <c r="C68" i="10" s="1"/>
  <c r="C69" i="10" s="1"/>
  <c r="C70" i="10" s="1"/>
  <c r="C71" i="10" s="1"/>
  <c r="G65" i="10"/>
  <c r="H65" i="10" s="1"/>
  <c r="E65" i="10"/>
  <c r="D65" i="10" s="1"/>
  <c r="D13" i="10"/>
  <c r="C13" i="10"/>
  <c r="B2" i="10"/>
  <c r="B116" i="10" l="1"/>
  <c r="B115" i="10"/>
  <c r="D87" i="10"/>
  <c r="D116" i="10"/>
  <c r="D115" i="10"/>
  <c r="D90" i="10"/>
  <c r="C91" i="10"/>
  <c r="D91" i="10" s="1"/>
  <c r="D89" i="10"/>
  <c r="C118" i="10" l="1"/>
  <c r="E118" i="10"/>
  <c r="D118" i="10" l="1"/>
  <c r="D140" i="1"/>
  <c r="B140" i="1"/>
  <c r="B139" i="1"/>
  <c r="B113" i="1"/>
  <c r="B112" i="1"/>
  <c r="F322" i="1"/>
  <c r="F345" i="1" l="1"/>
  <c r="E139" i="1"/>
  <c r="D39" i="1"/>
  <c r="D202" i="1" s="1"/>
  <c r="F39" i="1"/>
  <c r="F202" i="1" s="1"/>
  <c r="C15" i="10"/>
  <c r="E13" i="10"/>
  <c r="E12" i="10" s="1"/>
  <c r="E140" i="1"/>
  <c r="F40" i="1"/>
  <c r="F203" i="1" l="1"/>
  <c r="F89" i="1"/>
  <c r="F73" i="1"/>
  <c r="F88" i="1"/>
  <c r="F74" i="1"/>
  <c r="D88" i="1"/>
  <c r="D73" i="1"/>
  <c r="E344" i="1"/>
  <c r="E321" i="1"/>
  <c r="J322" i="1"/>
  <c r="G345" i="1"/>
  <c r="G390" i="1" s="1"/>
  <c r="J321" i="1"/>
  <c r="G344" i="1"/>
  <c r="G389" i="1" s="1"/>
  <c r="F274" i="1"/>
  <c r="F236" i="1"/>
  <c r="G39" i="1"/>
  <c r="G202" i="1" s="1"/>
  <c r="D15" i="10"/>
  <c r="D16" i="10"/>
  <c r="E16" i="10"/>
  <c r="C39" i="1"/>
  <c r="D139" i="1"/>
  <c r="F13" i="10"/>
  <c r="F30" i="10" s="1"/>
  <c r="F140" i="1"/>
  <c r="F113" i="1"/>
  <c r="G40" i="1"/>
  <c r="G203" i="1" s="1"/>
  <c r="D12" i="10"/>
  <c r="C12" i="10" s="1"/>
  <c r="F12" i="10"/>
  <c r="G12" i="10" s="1"/>
  <c r="H12" i="10" s="1"/>
  <c r="I12" i="10" s="1"/>
  <c r="J12" i="10" s="1"/>
  <c r="F139" i="1"/>
  <c r="F112" i="1"/>
  <c r="C202" i="1" l="1"/>
  <c r="C88" i="1"/>
  <c r="H345" i="1"/>
  <c r="H390" i="1" s="1"/>
  <c r="G74" i="1"/>
  <c r="G89" i="1"/>
  <c r="G73" i="1"/>
  <c r="G88" i="1"/>
  <c r="C139" i="1"/>
  <c r="D344" i="1"/>
  <c r="H39" i="1"/>
  <c r="H202" i="1" s="1"/>
  <c r="H344" i="1"/>
  <c r="H389" i="1" s="1"/>
  <c r="G236" i="1"/>
  <c r="H28" i="1"/>
  <c r="H29" i="1"/>
  <c r="H32" i="1"/>
  <c r="H31" i="1"/>
  <c r="H30" i="1"/>
  <c r="E15" i="10"/>
  <c r="G139" i="1"/>
  <c r="G112" i="1"/>
  <c r="G13" i="10"/>
  <c r="G30" i="10" s="1"/>
  <c r="G140" i="1"/>
  <c r="G113" i="1"/>
  <c r="H40" i="1"/>
  <c r="H203" i="1" s="1"/>
  <c r="D17" i="10"/>
  <c r="D18" i="10" s="1"/>
  <c r="I345" i="1" l="1"/>
  <c r="I390" i="1" s="1"/>
  <c r="H74" i="1"/>
  <c r="H89" i="1"/>
  <c r="I344" i="1"/>
  <c r="I389" i="1" s="1"/>
  <c r="H88" i="1"/>
  <c r="H73" i="1"/>
  <c r="H33" i="1"/>
  <c r="G328" i="1" s="1"/>
  <c r="J29" i="1"/>
  <c r="J31" i="1"/>
  <c r="J32" i="1"/>
  <c r="J28" i="1"/>
  <c r="F270" i="1"/>
  <c r="J30" i="1"/>
  <c r="F271" i="1"/>
  <c r="H236" i="1"/>
  <c r="F268" i="1"/>
  <c r="F273" i="1"/>
  <c r="F269" i="1"/>
  <c r="F17" i="10"/>
  <c r="F272" i="1"/>
  <c r="H112" i="1"/>
  <c r="H139" i="1"/>
  <c r="I39" i="1"/>
  <c r="I202" i="1" s="1"/>
  <c r="H13" i="10"/>
  <c r="H30" i="10" s="1"/>
  <c r="H113" i="1"/>
  <c r="I40" i="1"/>
  <c r="I203" i="1" s="1"/>
  <c r="H140" i="1"/>
  <c r="C17" i="10"/>
  <c r="C18" i="10" s="1"/>
  <c r="E17" i="10"/>
  <c r="E18" i="10" s="1"/>
  <c r="J328" i="1" l="1"/>
  <c r="F197" i="1"/>
  <c r="I88" i="1"/>
  <c r="I73" i="1"/>
  <c r="J345" i="1"/>
  <c r="J390" i="1" s="1"/>
  <c r="I89" i="1"/>
  <c r="I74" i="1"/>
  <c r="J33" i="1"/>
  <c r="F198" i="1" s="1"/>
  <c r="F47" i="1" s="1"/>
  <c r="I236" i="1"/>
  <c r="J344" i="1"/>
  <c r="J389" i="1" s="1"/>
  <c r="G17" i="10"/>
  <c r="I13" i="10"/>
  <c r="I30" i="10" s="1"/>
  <c r="I113" i="1"/>
  <c r="I140" i="1"/>
  <c r="J40" i="1"/>
  <c r="J203" i="1" s="1"/>
  <c r="F216" i="1" s="1"/>
  <c r="I112" i="1"/>
  <c r="I139" i="1"/>
  <c r="J39" i="1"/>
  <c r="J202" i="1" s="1"/>
  <c r="F351" i="1" l="1"/>
  <c r="G198" i="1"/>
  <c r="G47" i="1" s="1"/>
  <c r="F199" i="1"/>
  <c r="G351" i="1" s="1"/>
  <c r="K345" i="1"/>
  <c r="K390" i="1" s="1"/>
  <c r="J89" i="1"/>
  <c r="J74" i="1"/>
  <c r="J73" i="1"/>
  <c r="J88" i="1"/>
  <c r="J236" i="1"/>
  <c r="K344" i="1"/>
  <c r="K389" i="1" s="1"/>
  <c r="H17" i="10"/>
  <c r="G25" i="10"/>
  <c r="J139" i="1"/>
  <c r="J112" i="1"/>
  <c r="J13" i="10"/>
  <c r="J30" i="10" s="1"/>
  <c r="J140" i="1"/>
  <c r="J113" i="1"/>
  <c r="H198" i="1" l="1"/>
  <c r="H47" i="1" s="1"/>
  <c r="G197" i="1"/>
  <c r="G199" i="1" s="1"/>
  <c r="H351" i="1" s="1"/>
  <c r="I17" i="10"/>
  <c r="F25" i="10"/>
  <c r="F21" i="10"/>
  <c r="H197" i="1" l="1"/>
  <c r="H199" i="1" s="1"/>
  <c r="I351" i="1" s="1"/>
  <c r="I198" i="1"/>
  <c r="I47" i="1" s="1"/>
  <c r="J17" i="10"/>
  <c r="C51" i="10" s="1"/>
  <c r="H21" i="10"/>
  <c r="G22" i="10"/>
  <c r="F22" i="10"/>
  <c r="H25" i="10"/>
  <c r="G21" i="10"/>
  <c r="J198" i="1" l="1"/>
  <c r="J47" i="1" s="1"/>
  <c r="I197" i="1"/>
  <c r="I199" i="1" s="1"/>
  <c r="J351" i="1" s="1"/>
  <c r="I25" i="10"/>
  <c r="J197" i="1" l="1"/>
  <c r="J199" i="1" s="1"/>
  <c r="K351" i="1" s="1"/>
  <c r="I22" i="10"/>
  <c r="H22" i="10"/>
  <c r="J25" i="10"/>
  <c r="J22" i="10" l="1"/>
  <c r="I21" i="10"/>
  <c r="J21" i="10"/>
  <c r="G26" i="10" l="1"/>
  <c r="H26" i="10"/>
  <c r="I26" i="10" l="1"/>
  <c r="J26" i="10"/>
  <c r="F20" i="10" l="1"/>
  <c r="G20" i="10" l="1"/>
  <c r="I20" i="10" l="1"/>
  <c r="J20" i="10"/>
  <c r="H20" i="10" l="1"/>
  <c r="E18" i="11" l="1"/>
  <c r="E19" i="11"/>
  <c r="E20" i="11"/>
  <c r="E21" i="11"/>
  <c r="E22" i="11"/>
  <c r="E23" i="11"/>
  <c r="E24" i="11"/>
  <c r="E25" i="11"/>
  <c r="E26" i="11"/>
  <c r="E27" i="11"/>
  <c r="E9" i="11" l="1"/>
  <c r="E10" i="11" s="1"/>
  <c r="E28" i="11"/>
  <c r="E8" i="11" s="1"/>
  <c r="E11" i="11" l="1"/>
  <c r="E14" i="11" s="1"/>
  <c r="H18" i="1" s="1"/>
  <c r="H49" i="10" s="1"/>
  <c r="I49" i="10" s="1"/>
  <c r="J18" i="1"/>
  <c r="J17" i="1" s="1"/>
  <c r="J12" i="1" s="1"/>
  <c r="J11" i="1" s="1"/>
  <c r="H11" i="1" s="1"/>
  <c r="H12" i="1" s="1"/>
  <c r="H17" i="1" s="1"/>
  <c r="H48" i="10" s="1"/>
  <c r="H50" i="10" s="1"/>
  <c r="C283" i="1"/>
  <c r="C385" i="1" l="1"/>
  <c r="C386" i="1" s="1"/>
  <c r="I329" i="1" s="1"/>
  <c r="I339" i="1" s="1"/>
  <c r="D20" i="1"/>
  <c r="J283" i="1"/>
  <c r="F283" i="1"/>
  <c r="I283" i="1"/>
  <c r="E283" i="1"/>
  <c r="G283" i="1"/>
  <c r="H283" i="1"/>
  <c r="I18" i="1"/>
  <c r="I20" i="1" s="1"/>
  <c r="I21" i="1" s="1"/>
  <c r="H20" i="1"/>
  <c r="E6" i="11" s="1"/>
  <c r="H36" i="1"/>
  <c r="C282" i="1"/>
  <c r="C287" i="1" s="1"/>
  <c r="C288" i="1" s="1"/>
  <c r="J49" i="10"/>
  <c r="K352" i="1" l="1"/>
  <c r="J352" i="1"/>
  <c r="I352" i="1"/>
  <c r="H352" i="1"/>
  <c r="J329" i="1"/>
  <c r="F352" i="1" s="1"/>
  <c r="G352" i="1"/>
  <c r="G339" i="1"/>
  <c r="G323" i="1" s="1"/>
  <c r="C284" i="1"/>
  <c r="C285" i="1" s="1"/>
  <c r="C6" i="10"/>
  <c r="H21" i="1"/>
  <c r="D22" i="1"/>
  <c r="D23" i="1" s="1"/>
  <c r="D35" i="1" s="1"/>
  <c r="H339" i="1" s="1"/>
  <c r="H323" i="1" s="1"/>
  <c r="J323" i="1" l="1"/>
  <c r="F346" i="1" s="1"/>
  <c r="J339" i="1"/>
  <c r="E260" i="1"/>
  <c r="E261" i="1" s="1"/>
  <c r="E262" i="1" s="1"/>
  <c r="E263" i="1" s="1"/>
  <c r="E264" i="1" s="1"/>
  <c r="C35" i="1"/>
  <c r="C36" i="1" s="1"/>
  <c r="D36" i="1"/>
  <c r="C230" i="1"/>
  <c r="D230" i="1" s="1"/>
  <c r="D231" i="1" s="1"/>
  <c r="F275" i="1"/>
  <c r="F353" i="1" l="1"/>
  <c r="C45" i="10"/>
  <c r="C47" i="10" s="1"/>
  <c r="J330" i="1"/>
  <c r="J340" i="1"/>
  <c r="F362" i="1"/>
  <c r="G271" i="1"/>
  <c r="F276" i="1"/>
  <c r="G276" i="1" s="1"/>
  <c r="G269" i="1"/>
  <c r="G275" i="1"/>
  <c r="G273" i="1"/>
  <c r="G270" i="1"/>
  <c r="G268" i="1"/>
  <c r="G274" i="1"/>
  <c r="G272" i="1"/>
  <c r="I47" i="10" l="1"/>
  <c r="C52" i="10"/>
  <c r="C53" i="10" s="1"/>
  <c r="C58" i="10" s="1"/>
  <c r="C59" i="10" s="1"/>
  <c r="C9" i="10" s="1"/>
  <c r="J47" i="10"/>
  <c r="J341" i="1"/>
  <c r="F363" i="1"/>
  <c r="F364" i="1" s="1"/>
  <c r="G366" i="1"/>
  <c r="E230" i="1"/>
  <c r="H275" i="1" s="1"/>
  <c r="E231" i="1"/>
  <c r="H274" i="1" s="1"/>
  <c r="C32" i="10" l="1"/>
  <c r="H276" i="1"/>
  <c r="J271" i="1" l="1"/>
  <c r="I271" i="1" l="1"/>
  <c r="I59" i="1" l="1"/>
  <c r="I117" i="1" s="1"/>
  <c r="G48" i="1"/>
  <c r="G16" i="10" s="1"/>
  <c r="G18" i="10" s="1"/>
  <c r="G24" i="10" s="1"/>
  <c r="G27" i="10" s="1"/>
  <c r="H48" i="1"/>
  <c r="H16" i="10" s="1"/>
  <c r="H18" i="10" s="1"/>
  <c r="H24" i="10" s="1"/>
  <c r="H27" i="10" s="1"/>
  <c r="I48" i="1"/>
  <c r="I57" i="1" s="1"/>
  <c r="G59" i="1"/>
  <c r="G117" i="1" s="1"/>
  <c r="H59" i="1"/>
  <c r="H117" i="1" s="1"/>
  <c r="I62" i="1" l="1"/>
  <c r="I15" i="10" s="1"/>
  <c r="G57" i="1"/>
  <c r="G62" i="1" s="1"/>
  <c r="G15" i="10" s="1"/>
  <c r="H28" i="10"/>
  <c r="H33" i="10"/>
  <c r="H121" i="1"/>
  <c r="G121" i="1"/>
  <c r="J121" i="1"/>
  <c r="I121" i="1"/>
  <c r="G393" i="1"/>
  <c r="F121" i="1"/>
  <c r="J48" i="1"/>
  <c r="J59" i="1"/>
  <c r="J117" i="1" s="1"/>
  <c r="F48" i="1"/>
  <c r="F59" i="1"/>
  <c r="F117" i="1" s="1"/>
  <c r="G33" i="10"/>
  <c r="H57" i="1"/>
  <c r="H62" i="1" s="1"/>
  <c r="H15" i="10" s="1"/>
  <c r="I16" i="10"/>
  <c r="I18" i="10" s="1"/>
  <c r="I24" i="10" s="1"/>
  <c r="I27" i="10" s="1"/>
  <c r="H393" i="1" l="1"/>
  <c r="G357" i="1"/>
  <c r="F16" i="10"/>
  <c r="F18" i="10" s="1"/>
  <c r="F24" i="10" s="1"/>
  <c r="F27" i="10" s="1"/>
  <c r="F57" i="1"/>
  <c r="F62" i="1" s="1"/>
  <c r="F15" i="10" s="1"/>
  <c r="I33" i="10"/>
  <c r="I28" i="10"/>
  <c r="J16" i="10"/>
  <c r="J18" i="10" s="1"/>
  <c r="J57" i="1"/>
  <c r="J62" i="1" s="1"/>
  <c r="F219" i="1" l="1"/>
  <c r="J15" i="10"/>
  <c r="J36" i="10" s="1"/>
  <c r="H357" i="1"/>
  <c r="I393" i="1"/>
  <c r="C36" i="10"/>
  <c r="C38" i="10" s="1"/>
  <c r="J24" i="10"/>
  <c r="J27" i="10" s="1"/>
  <c r="F33" i="10"/>
  <c r="G28" i="10"/>
  <c r="J38" i="10" l="1"/>
  <c r="J39" i="10" s="1"/>
  <c r="C39" i="10"/>
  <c r="I357" i="1"/>
  <c r="J393" i="1"/>
  <c r="J33" i="10"/>
  <c r="C40" i="10" s="1"/>
  <c r="J40" i="10" s="1"/>
  <c r="J28" i="10"/>
  <c r="G219" i="1"/>
  <c r="F220" i="1"/>
  <c r="C42" i="10" l="1"/>
  <c r="J41" i="10"/>
  <c r="J46" i="10" s="1"/>
  <c r="J48" i="10" s="1"/>
  <c r="J50" i="10" s="1"/>
  <c r="J51" i="10" s="1"/>
  <c r="J42" i="10"/>
  <c r="C41" i="10"/>
  <c r="I46" i="10" s="1"/>
  <c r="I48" i="10" s="1"/>
  <c r="I50" i="10" s="1"/>
  <c r="I51" i="10" s="1"/>
  <c r="H219" i="1"/>
  <c r="G220" i="1"/>
  <c r="K393" i="1"/>
  <c r="K357" i="1" s="1"/>
  <c r="J357" i="1"/>
  <c r="D85" i="10" l="1"/>
  <c r="C75" i="10"/>
  <c r="I219" i="1"/>
  <c r="H220" i="1"/>
  <c r="C65" i="10"/>
  <c r="J219" i="1" l="1"/>
  <c r="J220" i="1" s="1"/>
  <c r="I220" i="1"/>
  <c r="C117" i="10" l="1"/>
  <c r="D117" i="10"/>
  <c r="E117" i="10"/>
  <c r="F49" i="1"/>
  <c r="G49" i="1"/>
  <c r="H49" i="1"/>
  <c r="I49" i="1"/>
  <c r="J49" i="1"/>
  <c r="F50" i="1"/>
  <c r="G50" i="1"/>
  <c r="H50" i="1"/>
  <c r="I50" i="1"/>
  <c r="J50" i="1"/>
  <c r="F52" i="1"/>
  <c r="G52" i="1"/>
  <c r="H52" i="1"/>
  <c r="I52" i="1"/>
  <c r="J52" i="1"/>
  <c r="F53" i="1"/>
  <c r="G53" i="1"/>
  <c r="H53" i="1"/>
  <c r="I53" i="1"/>
  <c r="J53" i="1"/>
  <c r="F54" i="1"/>
  <c r="G54" i="1"/>
  <c r="H54" i="1"/>
  <c r="I54" i="1"/>
  <c r="J54" i="1"/>
  <c r="F115" i="1"/>
  <c r="G115" i="1"/>
  <c r="H115" i="1"/>
  <c r="I115" i="1"/>
  <c r="J115" i="1"/>
  <c r="F123" i="1"/>
  <c r="G123" i="1"/>
  <c r="H123" i="1"/>
  <c r="I123" i="1"/>
  <c r="J123" i="1"/>
  <c r="G129" i="1"/>
  <c r="H129" i="1"/>
  <c r="I129" i="1"/>
  <c r="J129" i="1"/>
  <c r="F131" i="1"/>
  <c r="G131" i="1"/>
  <c r="H131" i="1"/>
  <c r="I131" i="1"/>
  <c r="J131" i="1"/>
  <c r="F132" i="1"/>
  <c r="G132" i="1"/>
  <c r="H132" i="1"/>
  <c r="I132" i="1"/>
  <c r="J132" i="1"/>
  <c r="F133" i="1"/>
  <c r="G133" i="1"/>
  <c r="H133" i="1"/>
  <c r="I133" i="1"/>
  <c r="J133" i="1"/>
  <c r="F134" i="1"/>
  <c r="G134" i="1"/>
  <c r="H134" i="1"/>
  <c r="I134" i="1"/>
  <c r="J134" i="1"/>
  <c r="F135" i="1"/>
  <c r="G135" i="1"/>
  <c r="H135" i="1"/>
  <c r="I135" i="1"/>
  <c r="J135" i="1"/>
  <c r="F136" i="1"/>
  <c r="G136" i="1"/>
  <c r="H136" i="1"/>
  <c r="I136" i="1"/>
  <c r="J136" i="1"/>
  <c r="G142" i="1"/>
  <c r="H142" i="1"/>
  <c r="I142" i="1"/>
  <c r="J142" i="1"/>
  <c r="F143" i="1"/>
  <c r="G143" i="1"/>
  <c r="H143" i="1"/>
  <c r="I143" i="1"/>
  <c r="J143" i="1"/>
  <c r="F144" i="1"/>
  <c r="G144" i="1"/>
  <c r="H144" i="1"/>
  <c r="I144" i="1"/>
  <c r="J144" i="1"/>
  <c r="F146" i="1"/>
  <c r="G146" i="1"/>
  <c r="H146" i="1"/>
  <c r="I146" i="1"/>
  <c r="J146" i="1"/>
  <c r="G149" i="1"/>
  <c r="H149" i="1"/>
  <c r="I149" i="1"/>
  <c r="J149" i="1"/>
  <c r="G151" i="1"/>
  <c r="H151" i="1"/>
  <c r="I151" i="1"/>
  <c r="J151" i="1"/>
  <c r="F152" i="1"/>
  <c r="G152" i="1"/>
  <c r="H152" i="1"/>
  <c r="I152" i="1"/>
  <c r="J152" i="1"/>
  <c r="F153" i="1"/>
  <c r="G153" i="1"/>
  <c r="H153" i="1"/>
  <c r="I153" i="1"/>
  <c r="J153" i="1"/>
  <c r="G155" i="1"/>
  <c r="H155" i="1"/>
  <c r="I155" i="1"/>
  <c r="J155" i="1"/>
  <c r="F156" i="1"/>
  <c r="G156" i="1"/>
  <c r="H156" i="1"/>
  <c r="I156" i="1"/>
  <c r="J156" i="1"/>
  <c r="F157" i="1"/>
  <c r="G157" i="1"/>
  <c r="H157" i="1"/>
  <c r="I157" i="1"/>
  <c r="J157" i="1"/>
  <c r="F159" i="1"/>
  <c r="G159" i="1"/>
  <c r="H159" i="1"/>
  <c r="I159" i="1"/>
  <c r="J159" i="1"/>
  <c r="G162" i="1"/>
  <c r="H162" i="1"/>
  <c r="I162" i="1"/>
  <c r="J162" i="1"/>
  <c r="G163" i="1"/>
  <c r="H163" i="1"/>
  <c r="I163" i="1"/>
  <c r="J163" i="1"/>
  <c r="F164" i="1"/>
  <c r="G164" i="1"/>
  <c r="H164" i="1"/>
  <c r="I164" i="1"/>
  <c r="J164" i="1"/>
  <c r="F165" i="1"/>
  <c r="G165" i="1"/>
  <c r="H165" i="1"/>
  <c r="I165" i="1"/>
  <c r="J165" i="1"/>
  <c r="F167" i="1"/>
  <c r="G167" i="1"/>
  <c r="H167" i="1"/>
  <c r="I167" i="1"/>
  <c r="J167" i="1"/>
  <c r="G170" i="1"/>
  <c r="H170" i="1"/>
  <c r="I170" i="1"/>
  <c r="J170" i="1"/>
  <c r="G171" i="1"/>
  <c r="H171" i="1"/>
  <c r="I171" i="1"/>
  <c r="J171" i="1"/>
  <c r="F172" i="1"/>
  <c r="G172" i="1"/>
  <c r="H172" i="1"/>
  <c r="I172" i="1"/>
  <c r="J172" i="1"/>
  <c r="F173" i="1"/>
  <c r="G173" i="1"/>
  <c r="H173" i="1"/>
  <c r="I173" i="1"/>
  <c r="J173" i="1"/>
  <c r="F175" i="1"/>
  <c r="G175" i="1"/>
  <c r="H175" i="1"/>
  <c r="I175" i="1"/>
  <c r="J175" i="1"/>
  <c r="F207" i="1"/>
  <c r="G207" i="1"/>
  <c r="H207" i="1"/>
  <c r="I207" i="1"/>
  <c r="J207" i="1"/>
  <c r="F208" i="1"/>
  <c r="G208" i="1"/>
  <c r="H208" i="1"/>
  <c r="I208" i="1"/>
  <c r="J208" i="1"/>
  <c r="F209" i="1"/>
  <c r="G209" i="1"/>
  <c r="H209" i="1"/>
  <c r="I209" i="1"/>
  <c r="J209" i="1"/>
  <c r="F222" i="1"/>
  <c r="G222" i="1"/>
  <c r="H222" i="1"/>
  <c r="I222" i="1"/>
  <c r="J222" i="1"/>
  <c r="F223" i="1"/>
  <c r="G223" i="1"/>
  <c r="H223" i="1"/>
  <c r="I223" i="1"/>
  <c r="J223" i="1"/>
  <c r="F224" i="1"/>
  <c r="G224" i="1"/>
  <c r="H224" i="1"/>
  <c r="I224" i="1"/>
  <c r="J224" i="1"/>
  <c r="F228" i="1"/>
  <c r="G228" i="1"/>
  <c r="H228" i="1"/>
  <c r="I228" i="1"/>
  <c r="J228" i="1"/>
  <c r="F229" i="1"/>
  <c r="G229" i="1"/>
  <c r="H229" i="1"/>
  <c r="I229" i="1"/>
  <c r="J229" i="1"/>
  <c r="F230" i="1"/>
  <c r="G230" i="1"/>
  <c r="H230" i="1"/>
  <c r="I230" i="1"/>
  <c r="J230" i="1"/>
  <c r="F231" i="1"/>
  <c r="G231" i="1"/>
  <c r="H231" i="1"/>
  <c r="I231" i="1"/>
  <c r="J231" i="1"/>
  <c r="F232" i="1"/>
  <c r="G232" i="1"/>
  <c r="H232" i="1"/>
  <c r="I232" i="1"/>
  <c r="J232" i="1"/>
  <c r="F233" i="1"/>
  <c r="G233" i="1"/>
  <c r="H233" i="1"/>
  <c r="I233" i="1"/>
  <c r="J233" i="1"/>
  <c r="C237" i="1"/>
  <c r="D237" i="1"/>
  <c r="F237" i="1"/>
  <c r="G237" i="1"/>
  <c r="H237" i="1"/>
  <c r="I237" i="1"/>
  <c r="J237" i="1"/>
  <c r="C238" i="1"/>
  <c r="D238" i="1"/>
  <c r="F238" i="1"/>
  <c r="G238" i="1"/>
  <c r="H238" i="1"/>
  <c r="I238" i="1"/>
  <c r="J238" i="1"/>
  <c r="C239" i="1"/>
  <c r="D239" i="1"/>
  <c r="F239" i="1"/>
  <c r="G239" i="1"/>
  <c r="H239" i="1"/>
  <c r="I239" i="1"/>
  <c r="J239" i="1"/>
  <c r="C242" i="1"/>
  <c r="D242" i="1"/>
  <c r="J242" i="1"/>
  <c r="C243" i="1"/>
  <c r="D243" i="1"/>
  <c r="J243" i="1"/>
  <c r="C244" i="1"/>
  <c r="D244" i="1"/>
  <c r="J244" i="1"/>
  <c r="C245" i="1"/>
  <c r="D245" i="1"/>
  <c r="J245" i="1"/>
  <c r="C246" i="1"/>
  <c r="D246" i="1"/>
  <c r="J246" i="1"/>
  <c r="C248" i="1"/>
  <c r="D248" i="1"/>
  <c r="J248" i="1"/>
  <c r="C249" i="1"/>
  <c r="D249" i="1"/>
  <c r="J249" i="1"/>
  <c r="C250" i="1"/>
  <c r="D250" i="1"/>
  <c r="J250" i="1"/>
  <c r="C251" i="1"/>
  <c r="D251" i="1"/>
  <c r="J251" i="1"/>
  <c r="C252" i="1"/>
  <c r="D252" i="1"/>
  <c r="J252" i="1"/>
  <c r="C254" i="1"/>
  <c r="D254" i="1"/>
  <c r="J254" i="1"/>
  <c r="C255" i="1"/>
  <c r="D255" i="1"/>
  <c r="J255" i="1"/>
  <c r="C256" i="1"/>
  <c r="D256" i="1"/>
  <c r="J256" i="1"/>
  <c r="C257" i="1"/>
  <c r="D257" i="1"/>
  <c r="J257" i="1"/>
  <c r="C258" i="1"/>
  <c r="D258" i="1"/>
  <c r="J258" i="1"/>
  <c r="C260" i="1"/>
  <c r="D260" i="1"/>
  <c r="J260" i="1"/>
  <c r="C261" i="1"/>
  <c r="D261" i="1"/>
  <c r="J261" i="1"/>
  <c r="C262" i="1"/>
  <c r="D262" i="1"/>
  <c r="J262" i="1"/>
  <c r="C263" i="1"/>
  <c r="D263" i="1"/>
  <c r="J263" i="1"/>
  <c r="C264" i="1"/>
  <c r="D264" i="1"/>
  <c r="J264" i="1"/>
  <c r="I268" i="1"/>
  <c r="J268" i="1"/>
  <c r="I269" i="1"/>
  <c r="J269" i="1"/>
  <c r="I270" i="1"/>
  <c r="J270" i="1"/>
  <c r="I272" i="1"/>
  <c r="J272" i="1"/>
  <c r="I273" i="1"/>
  <c r="J273" i="1"/>
  <c r="I274" i="1"/>
  <c r="J274" i="1"/>
  <c r="I275" i="1"/>
  <c r="J275" i="1"/>
  <c r="C281" i="1"/>
  <c r="E282" i="1"/>
  <c r="F282" i="1"/>
  <c r="G282" i="1"/>
  <c r="H282" i="1"/>
  <c r="I282" i="1"/>
  <c r="J282" i="1"/>
  <c r="E284" i="1"/>
  <c r="F284" i="1"/>
  <c r="G284" i="1"/>
  <c r="H284" i="1"/>
  <c r="I284" i="1"/>
  <c r="J284" i="1"/>
  <c r="E285" i="1"/>
  <c r="F285" i="1"/>
  <c r="G285" i="1"/>
  <c r="H285" i="1"/>
  <c r="I285" i="1"/>
  <c r="J285" i="1"/>
  <c r="E287" i="1"/>
  <c r="F287" i="1"/>
  <c r="G287" i="1"/>
  <c r="H287" i="1"/>
  <c r="I287" i="1"/>
  <c r="J287" i="1"/>
  <c r="E288" i="1"/>
  <c r="F288" i="1"/>
  <c r="G288" i="1"/>
  <c r="H288" i="1"/>
  <c r="I288" i="1"/>
  <c r="J288" i="1"/>
  <c r="E293" i="1"/>
  <c r="E303" i="1"/>
  <c r="E312" i="1"/>
  <c r="G346" i="1"/>
  <c r="H346" i="1"/>
  <c r="I346" i="1"/>
  <c r="J346" i="1"/>
  <c r="K346" i="1"/>
  <c r="G353" i="1"/>
  <c r="H353" i="1"/>
  <c r="I353" i="1"/>
  <c r="J353" i="1"/>
  <c r="K353" i="1"/>
  <c r="G358" i="1"/>
  <c r="H358" i="1"/>
  <c r="I358" i="1"/>
  <c r="J358" i="1"/>
  <c r="K358" i="1"/>
  <c r="G359" i="1"/>
  <c r="H359" i="1"/>
  <c r="I359" i="1"/>
  <c r="J359" i="1"/>
  <c r="K359" i="1"/>
  <c r="G362" i="1"/>
  <c r="H362" i="1"/>
  <c r="I362" i="1"/>
  <c r="J362" i="1"/>
  <c r="K362" i="1"/>
  <c r="G363" i="1"/>
  <c r="H363" i="1"/>
  <c r="I363" i="1"/>
  <c r="J363" i="1"/>
  <c r="K363" i="1"/>
  <c r="G364" i="1"/>
  <c r="H364" i="1"/>
  <c r="I364" i="1"/>
  <c r="J364" i="1"/>
  <c r="K364" i="1"/>
  <c r="H366" i="1"/>
  <c r="I366" i="1"/>
  <c r="J366" i="1"/>
  <c r="K366" i="1"/>
  <c r="G367" i="1"/>
  <c r="H367" i="1"/>
  <c r="I367" i="1"/>
  <c r="J367" i="1"/>
  <c r="K367" i="1"/>
  <c r="G370" i="1"/>
  <c r="H370" i="1"/>
  <c r="I370" i="1"/>
  <c r="J370" i="1"/>
  <c r="K370" i="1"/>
</calcChain>
</file>

<file path=xl/comments1.xml><?xml version="1.0" encoding="utf-8"?>
<comments xmlns="http://schemas.openxmlformats.org/spreadsheetml/2006/main">
  <authors>
    <author>Wall Street Prep</author>
  </authors>
  <commentList>
    <comment ref="H7" authorId="0" shapeId="0">
      <text>
        <r>
          <rPr>
            <b/>
            <sz val="9"/>
            <color indexed="81"/>
            <rFont val="Tahoma"/>
            <family val="2"/>
          </rPr>
          <t>Wall Street Prep:</t>
        </r>
        <r>
          <rPr>
            <sz val="9"/>
            <color indexed="81"/>
            <rFont val="Tahoma"/>
            <family val="2"/>
          </rPr>
          <t xml:space="preserve">
</t>
        </r>
        <r>
          <rPr>
            <b/>
            <sz val="9"/>
            <color indexed="81"/>
            <rFont val="Tahoma"/>
            <family val="2"/>
          </rPr>
          <t xml:space="preserve">1 = Explicit EBITDA multiple assumption
</t>
        </r>
        <r>
          <rPr>
            <sz val="9"/>
            <color indexed="81"/>
            <rFont val="Tahoma"/>
            <family val="2"/>
          </rPr>
          <t xml:space="preserve">When a private company undergoes an LBO, the valuation discussion is expressed in terms of a multiple of EBITDA. Therefore, we input an EBITDA multiple assumption in this cell and work our way down to the implied offer value and offer value per share. 
</t>
        </r>
        <r>
          <rPr>
            <b/>
            <sz val="9"/>
            <color indexed="81"/>
            <rFont val="Tahoma"/>
            <family val="2"/>
          </rPr>
          <t xml:space="preserve">2 = Explicit offer price per share assumption
</t>
        </r>
        <r>
          <rPr>
            <sz val="9"/>
            <color indexed="81"/>
            <rFont val="Tahoma"/>
            <family val="2"/>
          </rPr>
          <t xml:space="preserve">However, offer value is sometimes also expressed in terms of offer price per share (usually when analyzing a public company), so rather that hardcoding an EBITDA multiple assumption, you could hard-code an offer price per share and work your way up to an implied EBITDA multiple. </t>
        </r>
      </text>
    </comment>
    <comment ref="D10" authorId="0" shapeId="0">
      <text>
        <r>
          <rPr>
            <b/>
            <sz val="9"/>
            <color indexed="81"/>
            <rFont val="Tahoma"/>
            <family val="2"/>
          </rPr>
          <t>Wall Street Prep:</t>
        </r>
        <r>
          <rPr>
            <sz val="9"/>
            <color indexed="81"/>
            <rFont val="Tahoma"/>
            <family val="2"/>
          </rPr>
          <t xml:space="preserve">
If the model "blows up" (i.e. REF and DIV/0 everywhere), turn the circuit breaker above on, and then immediately off again. 
</t>
        </r>
        <r>
          <rPr>
            <b/>
            <sz val="9"/>
            <color indexed="81"/>
            <rFont val="Tahoma"/>
            <family val="2"/>
          </rPr>
          <t xml:space="preserve">Why do we need this?
</t>
        </r>
        <r>
          <rPr>
            <sz val="9"/>
            <color indexed="81"/>
            <rFont val="Tahoma"/>
            <family val="2"/>
          </rPr>
          <t xml:space="preserve">This model has an intentional circularity in the calculation of interest expense and interest income. 
Interest expense is calculated as interest rate times average current and prior period revolver debt balances. Since current period revolver balance is itself impacted by current period interest expense, the circularity exists.
The same logic applies to interest expense.
</t>
        </r>
        <r>
          <rPr>
            <b/>
            <sz val="9"/>
            <color indexed="81"/>
            <rFont val="Tahoma"/>
            <family val="2"/>
          </rPr>
          <t xml:space="preserve">Setting Iterations in Excel
</t>
        </r>
        <r>
          <rPr>
            <sz val="9"/>
            <color indexed="81"/>
            <rFont val="Tahoma"/>
            <family val="2"/>
          </rPr>
          <t xml:space="preserve">Make sure that iterations are selected under Excel Options &gt; Formulas
</t>
        </r>
        <r>
          <rPr>
            <b/>
            <sz val="9"/>
            <color indexed="81"/>
            <rFont val="Tahoma"/>
            <family val="2"/>
          </rPr>
          <t>Removing circularity altogether</t>
        </r>
        <r>
          <rPr>
            <sz val="9"/>
            <color indexed="81"/>
            <rFont val="Tahoma"/>
            <family val="2"/>
          </rPr>
          <t xml:space="preserve">
To avoid a circularity altogether, calculate interest expense using prior period debt balances (as opposed to average balances).</t>
        </r>
      </text>
    </comment>
    <comment ref="B13" authorId="0" shapeId="0">
      <text>
        <r>
          <rPr>
            <b/>
            <sz val="9"/>
            <color indexed="81"/>
            <rFont val="Tahoma"/>
            <family val="2"/>
          </rPr>
          <t>Wall Street Prep:</t>
        </r>
        <r>
          <rPr>
            <sz val="9"/>
            <color indexed="81"/>
            <rFont val="Tahoma"/>
            <family val="2"/>
          </rPr>
          <t xml:space="preserve">
Input the last twelve months (LTM) EBITDA. </t>
        </r>
      </text>
    </comment>
    <comment ref="B14" authorId="0" shapeId="0">
      <text>
        <r>
          <rPr>
            <b/>
            <sz val="9"/>
            <color indexed="81"/>
            <rFont val="Tahoma"/>
            <family val="2"/>
          </rPr>
          <t>Wall Street Prep:</t>
        </r>
        <r>
          <rPr>
            <sz val="9"/>
            <color indexed="81"/>
            <rFont val="Tahoma"/>
            <family val="2"/>
          </rPr>
          <t xml:space="preserve">
Include all debt and debt equivalents as of the most recent filing</t>
        </r>
      </text>
    </comment>
    <comment ref="B15" authorId="0" shapeId="0">
      <text>
        <r>
          <rPr>
            <b/>
            <sz val="9"/>
            <color indexed="81"/>
            <rFont val="Tahoma"/>
            <family val="2"/>
          </rPr>
          <t>Wall Street Prep:</t>
        </r>
        <r>
          <rPr>
            <sz val="9"/>
            <color indexed="81"/>
            <rFont val="Tahoma"/>
            <family val="2"/>
          </rPr>
          <t xml:space="preserve">
Include all cash and equivalents as of most recent filing.</t>
        </r>
      </text>
    </comment>
    <comment ref="J26" authorId="0" shapeId="0">
      <text>
        <r>
          <rPr>
            <b/>
            <sz val="9"/>
            <color indexed="81"/>
            <rFont val="Tahoma"/>
            <family val="2"/>
          </rPr>
          <t>Wall Street Prep:</t>
        </r>
        <r>
          <rPr>
            <sz val="9"/>
            <color indexed="81"/>
            <rFont val="Tahoma"/>
            <family val="2"/>
          </rPr>
          <t xml:space="preserve">
Accounting rules require that financing fees be capitalized and subsequently amortized over the term of the loan.
This contrasts with the accounting treatment of transaction fees, which are expensed as incurred.</t>
        </r>
      </text>
    </comment>
    <comment ref="D27" authorId="0" shapeId="0">
      <text>
        <r>
          <rPr>
            <b/>
            <sz val="9"/>
            <color indexed="81"/>
            <rFont val="Tahoma"/>
            <family val="2"/>
          </rPr>
          <t>Wall Street Prep:</t>
        </r>
        <r>
          <rPr>
            <sz val="9"/>
            <color indexed="81"/>
            <rFont val="Tahoma"/>
            <family val="2"/>
          </rPr>
          <t xml:space="preserve">
$1.4 in excess cash used in BMC LBO</t>
        </r>
      </text>
    </comment>
    <comment ref="D28" authorId="0" shapeId="0">
      <text>
        <r>
          <rPr>
            <b/>
            <sz val="9"/>
            <color indexed="81"/>
            <rFont val="Tahoma"/>
            <family val="2"/>
          </rPr>
          <t>Wall Street Prep:</t>
        </r>
        <r>
          <rPr>
            <sz val="9"/>
            <color indexed="81"/>
            <rFont val="Tahoma"/>
            <family val="2"/>
          </rPr>
          <t xml:space="preserve">
Up to $350m in availability on revolver with 5 year term</t>
        </r>
      </text>
    </comment>
    <comment ref="D29" authorId="0" shapeId="0">
      <text>
        <r>
          <rPr>
            <b/>
            <sz val="9"/>
            <color indexed="81"/>
            <rFont val="Tahoma"/>
            <family val="2"/>
          </rPr>
          <t>Wall Street Prep:</t>
        </r>
        <r>
          <rPr>
            <sz val="9"/>
            <color indexed="81"/>
            <rFont val="Tahoma"/>
            <family val="2"/>
          </rPr>
          <t xml:space="preserve">
Originally $3.2b senior secured 7 year term loan reduced to $2.88b</t>
        </r>
      </text>
    </comment>
    <comment ref="D30" authorId="0" shapeId="0">
      <text>
        <r>
          <rPr>
            <b/>
            <sz val="9"/>
            <color indexed="81"/>
            <rFont val="Tahoma"/>
            <family val="2"/>
          </rPr>
          <t>Wall Street Prep:</t>
        </r>
        <r>
          <rPr>
            <sz val="9"/>
            <color indexed="81"/>
            <rFont val="Tahoma"/>
            <family val="2"/>
          </rPr>
          <t xml:space="preserve">
Originally $1b second senior secured tranche, 7 year term loan reduced to 670m</t>
        </r>
      </text>
    </comment>
    <comment ref="D31" authorId="0" shapeId="0">
      <text>
        <r>
          <rPr>
            <b/>
            <sz val="9"/>
            <color indexed="81"/>
            <rFont val="Tahoma"/>
            <family val="2"/>
          </rPr>
          <t>Wall Street Prep:</t>
        </r>
        <r>
          <rPr>
            <sz val="9"/>
            <color indexed="81"/>
            <rFont val="Tahoma"/>
            <family val="2"/>
          </rPr>
          <t xml:space="preserve">
Originally $1.38b high yield bond, matures 2021 increased to $1.625b.</t>
        </r>
      </text>
    </comment>
    <comment ref="C46" authorId="0" shapeId="0">
      <text>
        <r>
          <rPr>
            <b/>
            <sz val="9"/>
            <color indexed="81"/>
            <rFont val="Tahoma"/>
            <family val="2"/>
          </rPr>
          <t>Wall Street Prep:</t>
        </r>
        <r>
          <rPr>
            <sz val="9"/>
            <color indexed="81"/>
            <rFont val="Tahoma"/>
            <family val="2"/>
          </rPr>
          <t xml:space="preserve">
Includes amortization expense</t>
        </r>
      </text>
    </comment>
    <comment ref="D46" authorId="0" shapeId="0">
      <text>
        <r>
          <rPr>
            <b/>
            <sz val="9"/>
            <color indexed="81"/>
            <rFont val="Tahoma"/>
            <family val="2"/>
          </rPr>
          <t>Wall Street Prep:</t>
        </r>
        <r>
          <rPr>
            <sz val="9"/>
            <color indexed="81"/>
            <rFont val="Tahoma"/>
            <family val="2"/>
          </rPr>
          <t xml:space="preserve">
Includes amortization expense</t>
        </r>
      </text>
    </comment>
    <comment ref="E46" authorId="0" shapeId="0">
      <text>
        <r>
          <rPr>
            <b/>
            <sz val="9"/>
            <color indexed="81"/>
            <rFont val="Tahoma"/>
            <family val="2"/>
          </rPr>
          <t>Wall Street Prep:</t>
        </r>
        <r>
          <rPr>
            <sz val="9"/>
            <color indexed="81"/>
            <rFont val="Tahoma"/>
            <family val="2"/>
          </rPr>
          <t xml:space="preserve">
Includes amortization expense</t>
        </r>
      </text>
    </comment>
    <comment ref="B47" authorId="0" shapeId="0">
      <text>
        <r>
          <rPr>
            <b/>
            <sz val="9"/>
            <color indexed="81"/>
            <rFont val="Tahoma"/>
            <family val="2"/>
          </rPr>
          <t>Wall Street Prep:</t>
        </r>
        <r>
          <rPr>
            <sz val="9"/>
            <color indexed="81"/>
            <rFont val="Tahoma"/>
            <family val="2"/>
          </rPr>
          <t xml:space="preserve">
includes capitalized financing fees, and D&amp;A from write-ups. Usually ignored by analysts when analyzing true ongoing profitability.</t>
        </r>
      </text>
    </comment>
    <comment ref="B59" authorId="0" shapeId="0">
      <text>
        <r>
          <rPr>
            <b/>
            <sz val="9"/>
            <color indexed="81"/>
            <rFont val="Tahoma"/>
            <family val="2"/>
          </rPr>
          <t>Wall Street Prep:</t>
        </r>
        <r>
          <rPr>
            <sz val="9"/>
            <color indexed="81"/>
            <rFont val="Tahoma"/>
            <family val="2"/>
          </rPr>
          <t xml:space="preserve">
includes capitalized financing fees, and D&amp;A from write-ups. Usually ignored by analysts when analyzing true ongoing profitability.</t>
        </r>
      </text>
    </comment>
    <comment ref="F61" authorId="0" shapeId="0">
      <text>
        <r>
          <rPr>
            <b/>
            <sz val="9"/>
            <color indexed="81"/>
            <rFont val="Tahoma"/>
            <family val="2"/>
          </rPr>
          <t>Wall Street Prep:</t>
        </r>
        <r>
          <rPr>
            <sz val="9"/>
            <color indexed="81"/>
            <rFont val="Tahoma"/>
            <family val="2"/>
          </rPr>
          <t xml:space="preserve">
BMC projections per Merger Proxy, p.72</t>
        </r>
      </text>
    </comment>
    <comment ref="G61" authorId="0" shapeId="0">
      <text>
        <r>
          <rPr>
            <b/>
            <sz val="9"/>
            <color indexed="81"/>
            <rFont val="Tahoma"/>
            <family val="2"/>
          </rPr>
          <t>Wall Street Prep:</t>
        </r>
        <r>
          <rPr>
            <sz val="9"/>
            <color indexed="81"/>
            <rFont val="Tahoma"/>
            <family val="2"/>
          </rPr>
          <t xml:space="preserve">
BMC projections per Merger Proxy, p.72</t>
        </r>
      </text>
    </comment>
    <comment ref="H61" authorId="0" shapeId="0">
      <text>
        <r>
          <rPr>
            <b/>
            <sz val="9"/>
            <color indexed="81"/>
            <rFont val="Tahoma"/>
            <family val="2"/>
          </rPr>
          <t>Wall Street Prep:</t>
        </r>
        <r>
          <rPr>
            <sz val="9"/>
            <color indexed="81"/>
            <rFont val="Tahoma"/>
            <family val="2"/>
          </rPr>
          <t xml:space="preserve">
BMC projections per Merger Proxy, p.72</t>
        </r>
      </text>
    </comment>
    <comment ref="I61" authorId="0" shapeId="0">
      <text>
        <r>
          <rPr>
            <b/>
            <sz val="9"/>
            <color indexed="81"/>
            <rFont val="Tahoma"/>
            <family val="2"/>
          </rPr>
          <t>Wall Street Prep:</t>
        </r>
        <r>
          <rPr>
            <sz val="9"/>
            <color indexed="81"/>
            <rFont val="Tahoma"/>
            <family val="2"/>
          </rPr>
          <t xml:space="preserve">
BMC projections per Merger Proxy, p.72</t>
        </r>
      </text>
    </comment>
    <comment ref="J61" authorId="0" shapeId="0">
      <text>
        <r>
          <rPr>
            <b/>
            <sz val="9"/>
            <color indexed="81"/>
            <rFont val="Tahoma"/>
            <family val="2"/>
          </rPr>
          <t>Wall Street Prep:</t>
        </r>
        <r>
          <rPr>
            <sz val="9"/>
            <color indexed="81"/>
            <rFont val="Tahoma"/>
            <family val="2"/>
          </rPr>
          <t xml:space="preserve">
BMC projections per Merger Proxy, p.72</t>
        </r>
      </text>
    </comment>
    <comment ref="F65" authorId="0" shapeId="0">
      <text>
        <r>
          <rPr>
            <b/>
            <sz val="9"/>
            <color indexed="81"/>
            <rFont val="Tahoma"/>
            <family val="2"/>
          </rPr>
          <t>Wall Street Prep:</t>
        </r>
        <r>
          <rPr>
            <sz val="9"/>
            <color indexed="81"/>
            <rFont val="Tahoma"/>
            <family val="2"/>
          </rPr>
          <t xml:space="preserve">
BMC projections per Merger Proxy, p.72</t>
        </r>
      </text>
    </comment>
    <comment ref="G65" authorId="0" shapeId="0">
      <text>
        <r>
          <rPr>
            <b/>
            <sz val="9"/>
            <color indexed="81"/>
            <rFont val="Tahoma"/>
            <family val="2"/>
          </rPr>
          <t>Wall Street Prep:</t>
        </r>
        <r>
          <rPr>
            <sz val="9"/>
            <color indexed="81"/>
            <rFont val="Tahoma"/>
            <family val="2"/>
          </rPr>
          <t xml:space="preserve">
BMC projections per Merger Proxy, p.72</t>
        </r>
      </text>
    </comment>
    <comment ref="H65" authorId="0" shapeId="0">
      <text>
        <r>
          <rPr>
            <b/>
            <sz val="9"/>
            <color indexed="81"/>
            <rFont val="Tahoma"/>
            <family val="2"/>
          </rPr>
          <t>Wall Street Prep:</t>
        </r>
        <r>
          <rPr>
            <sz val="9"/>
            <color indexed="81"/>
            <rFont val="Tahoma"/>
            <family val="2"/>
          </rPr>
          <t xml:space="preserve">
BMC projections per Merger Proxy, p.72</t>
        </r>
      </text>
    </comment>
    <comment ref="I65" authorId="0" shapeId="0">
      <text>
        <r>
          <rPr>
            <b/>
            <sz val="9"/>
            <color indexed="81"/>
            <rFont val="Tahoma"/>
            <family val="2"/>
          </rPr>
          <t>Wall Street Prep:</t>
        </r>
        <r>
          <rPr>
            <sz val="9"/>
            <color indexed="81"/>
            <rFont val="Tahoma"/>
            <family val="2"/>
          </rPr>
          <t xml:space="preserve">
BMC projections per Merger Proxy, p.72</t>
        </r>
      </text>
    </comment>
    <comment ref="J65" authorId="0" shapeId="0">
      <text>
        <r>
          <rPr>
            <b/>
            <sz val="9"/>
            <color indexed="81"/>
            <rFont val="Tahoma"/>
            <family val="2"/>
          </rPr>
          <t>Wall Street Prep:</t>
        </r>
        <r>
          <rPr>
            <sz val="9"/>
            <color indexed="81"/>
            <rFont val="Tahoma"/>
            <family val="2"/>
          </rPr>
          <t xml:space="preserve">
BMC projections per Merger Proxy, p.72</t>
        </r>
      </text>
    </comment>
    <comment ref="F70" authorId="0" shapeId="0">
      <text>
        <r>
          <rPr>
            <b/>
            <sz val="9"/>
            <color indexed="81"/>
            <rFont val="Tahoma"/>
            <family val="2"/>
          </rPr>
          <t>Wall Street Prep:</t>
        </r>
        <r>
          <rPr>
            <sz val="9"/>
            <color indexed="81"/>
            <rFont val="Tahoma"/>
            <family val="2"/>
          </rPr>
          <t xml:space="preserve">
Tried to get close to BMC projections per Merger Proxy, p.72</t>
        </r>
      </text>
    </comment>
    <comment ref="D76" authorId="0" shapeId="0">
      <text>
        <r>
          <rPr>
            <b/>
            <sz val="9"/>
            <color indexed="81"/>
            <rFont val="Tahoma"/>
            <family val="2"/>
          </rPr>
          <t>Wall Street Prep:</t>
        </r>
        <r>
          <rPr>
            <sz val="9"/>
            <color indexed="81"/>
            <rFont val="Tahoma"/>
            <family val="2"/>
          </rPr>
          <t xml:space="preserve">
Includes trade AR and both current &amp; non current finance receivables.</t>
        </r>
      </text>
    </comment>
    <comment ref="E76" authorId="0" shapeId="0">
      <text>
        <r>
          <rPr>
            <b/>
            <sz val="9"/>
            <color indexed="81"/>
            <rFont val="Tahoma"/>
            <family val="2"/>
          </rPr>
          <t>Wall Street Prep:</t>
        </r>
        <r>
          <rPr>
            <sz val="9"/>
            <color indexed="81"/>
            <rFont val="Tahoma"/>
            <family val="2"/>
          </rPr>
          <t xml:space="preserve">
Includes trade AR and both current &amp; non current finance receivables.</t>
        </r>
      </text>
    </comment>
    <comment ref="D82" authorId="0" shapeId="0">
      <text>
        <r>
          <rPr>
            <b/>
            <sz val="9"/>
            <color indexed="81"/>
            <rFont val="Tahoma"/>
            <family val="2"/>
          </rPr>
          <t>Wall Street Prep:</t>
        </r>
        <r>
          <rPr>
            <sz val="9"/>
            <color indexed="81"/>
            <rFont val="Tahoma"/>
            <family val="2"/>
          </rPr>
          <t xml:space="preserve">
Includes accrued expenses and both current and long term deferred revenue</t>
        </r>
      </text>
    </comment>
    <comment ref="E82" authorId="0" shapeId="0">
      <text>
        <r>
          <rPr>
            <b/>
            <sz val="9"/>
            <color indexed="81"/>
            <rFont val="Tahoma"/>
            <family val="2"/>
          </rPr>
          <t>Wall Street Prep:</t>
        </r>
        <r>
          <rPr>
            <sz val="9"/>
            <color indexed="81"/>
            <rFont val="Tahoma"/>
            <family val="2"/>
          </rPr>
          <t xml:space="preserve">
Includes accrued expenses and both current and long term deferred revenue</t>
        </r>
      </text>
    </comment>
    <comment ref="F92" authorId="0" shapeId="0">
      <text>
        <r>
          <rPr>
            <b/>
            <sz val="9"/>
            <color indexed="81"/>
            <rFont val="Tahoma"/>
            <family val="2"/>
          </rPr>
          <t>Wall Street Prep:</t>
        </r>
        <r>
          <rPr>
            <sz val="9"/>
            <color indexed="81"/>
            <rFont val="Tahoma"/>
            <family val="2"/>
          </rPr>
          <t xml:space="preserve">
Tried to approximate mangement guidance in Merger proxy p.72</t>
        </r>
      </text>
    </comment>
    <comment ref="G92" authorId="0" shapeId="0">
      <text>
        <r>
          <rPr>
            <b/>
            <sz val="9"/>
            <color indexed="81"/>
            <rFont val="Tahoma"/>
            <family val="2"/>
          </rPr>
          <t>Wall Street Prep:</t>
        </r>
        <r>
          <rPr>
            <sz val="9"/>
            <color indexed="81"/>
            <rFont val="Tahoma"/>
            <family val="2"/>
          </rPr>
          <t xml:space="preserve">
Tried to approximate mangement guidance in Merger proxy p.72</t>
        </r>
      </text>
    </comment>
    <comment ref="H92" authorId="0" shapeId="0">
      <text>
        <r>
          <rPr>
            <b/>
            <sz val="9"/>
            <color indexed="81"/>
            <rFont val="Tahoma"/>
            <family val="2"/>
          </rPr>
          <t>Wall Street Prep:</t>
        </r>
        <r>
          <rPr>
            <sz val="9"/>
            <color indexed="81"/>
            <rFont val="Tahoma"/>
            <family val="2"/>
          </rPr>
          <t xml:space="preserve">
Tried to approximate mangement guidance in Merger proxy p.72</t>
        </r>
      </text>
    </comment>
    <comment ref="I92" authorId="0" shapeId="0">
      <text>
        <r>
          <rPr>
            <b/>
            <sz val="9"/>
            <color indexed="81"/>
            <rFont val="Tahoma"/>
            <family val="2"/>
          </rPr>
          <t>Wall Street Prep:</t>
        </r>
        <r>
          <rPr>
            <sz val="9"/>
            <color indexed="81"/>
            <rFont val="Tahoma"/>
            <family val="2"/>
          </rPr>
          <t xml:space="preserve">
Tried to approximate mangement guidance in Merger proxy p.72</t>
        </r>
      </text>
    </comment>
    <comment ref="J92" authorId="0" shapeId="0">
      <text>
        <r>
          <rPr>
            <b/>
            <sz val="9"/>
            <color indexed="81"/>
            <rFont val="Tahoma"/>
            <family val="2"/>
          </rPr>
          <t>Wall Street Prep:</t>
        </r>
        <r>
          <rPr>
            <sz val="9"/>
            <color indexed="81"/>
            <rFont val="Tahoma"/>
            <family val="2"/>
          </rPr>
          <t xml:space="preserve">
Tried to approximate mangement guidance in Merger proxy p.72</t>
        </r>
      </text>
    </comment>
    <comment ref="C93" authorId="0" shapeId="0">
      <text>
        <r>
          <rPr>
            <b/>
            <sz val="9"/>
            <color indexed="81"/>
            <rFont val="Tahoma"/>
            <family val="2"/>
          </rPr>
          <t>Wall Street Prep:</t>
        </r>
        <r>
          <rPr>
            <sz val="9"/>
            <color indexed="81"/>
            <rFont val="Tahoma"/>
            <family val="2"/>
          </rPr>
          <t xml:space="preserve">
Source: BMC 10K 2013 p. 72</t>
        </r>
      </text>
    </comment>
    <comment ref="D93" authorId="0" shapeId="0">
      <text>
        <r>
          <rPr>
            <b/>
            <sz val="9"/>
            <color indexed="81"/>
            <rFont val="Tahoma"/>
            <family val="2"/>
          </rPr>
          <t>Wall Street Prep:</t>
        </r>
        <r>
          <rPr>
            <sz val="9"/>
            <color indexed="81"/>
            <rFont val="Tahoma"/>
            <family val="2"/>
          </rPr>
          <t xml:space="preserve">
Source: BMC 10K 2013 p. 72</t>
        </r>
      </text>
    </comment>
    <comment ref="E93" authorId="0" shapeId="0">
      <text>
        <r>
          <rPr>
            <b/>
            <sz val="9"/>
            <color indexed="81"/>
            <rFont val="Tahoma"/>
            <family val="2"/>
          </rPr>
          <t>Wall Street Prep:</t>
        </r>
        <r>
          <rPr>
            <sz val="9"/>
            <color indexed="81"/>
            <rFont val="Tahoma"/>
            <family val="2"/>
          </rPr>
          <t xml:space="preserve">
Source: BMC 10K 2013 p. 72</t>
        </r>
      </text>
    </comment>
    <comment ref="K93" authorId="0" shapeId="0">
      <text>
        <r>
          <rPr>
            <b/>
            <sz val="9"/>
            <color indexed="81"/>
            <rFont val="Tahoma"/>
            <family val="2"/>
          </rPr>
          <t>Wall Street Prep:</t>
        </r>
        <r>
          <rPr>
            <sz val="9"/>
            <color indexed="81"/>
            <rFont val="Tahoma"/>
            <family val="2"/>
          </rPr>
          <t xml:space="preserve">
In an LBO where fixed asset purchases are limited to maintenance (as opposed to growth) capex, the ratio between capex and depreciation should converge to 1 over time, as new machines simply replace the absolesence of old machines.  </t>
        </r>
      </text>
    </comment>
    <comment ref="C98" authorId="0" shapeId="0">
      <text>
        <r>
          <rPr>
            <b/>
            <sz val="9"/>
            <color indexed="81"/>
            <rFont val="Tahoma"/>
            <family val="2"/>
          </rPr>
          <t>Wall Street Prep:</t>
        </r>
        <r>
          <rPr>
            <sz val="9"/>
            <color indexed="81"/>
            <rFont val="Tahoma"/>
            <family val="2"/>
          </rPr>
          <t xml:space="preserve">
BMC 2013 10K, CFS.</t>
        </r>
      </text>
    </comment>
    <comment ref="D98" authorId="0" shapeId="0">
      <text>
        <r>
          <rPr>
            <b/>
            <sz val="9"/>
            <color indexed="81"/>
            <rFont val="Tahoma"/>
            <family val="2"/>
          </rPr>
          <t>Wall Street Prep:</t>
        </r>
        <r>
          <rPr>
            <sz val="9"/>
            <color indexed="81"/>
            <rFont val="Tahoma"/>
            <family val="2"/>
          </rPr>
          <t xml:space="preserve">
BMC 2013 10K, CFS.</t>
        </r>
      </text>
    </comment>
    <comment ref="E98" authorId="0" shapeId="0">
      <text>
        <r>
          <rPr>
            <b/>
            <sz val="9"/>
            <color indexed="81"/>
            <rFont val="Tahoma"/>
            <family val="2"/>
          </rPr>
          <t>Wall Street Prep:</t>
        </r>
        <r>
          <rPr>
            <sz val="9"/>
            <color indexed="81"/>
            <rFont val="Tahoma"/>
            <family val="2"/>
          </rPr>
          <t xml:space="preserve">
BMC 2013 10K, CFS.</t>
        </r>
      </text>
    </comment>
    <comment ref="F98" authorId="0" shapeId="0">
      <text>
        <r>
          <rPr>
            <b/>
            <sz val="9"/>
            <color indexed="81"/>
            <rFont val="Tahoma"/>
            <family val="2"/>
          </rPr>
          <t>Wall Street Prep:</t>
        </r>
        <r>
          <rPr>
            <sz val="9"/>
            <color indexed="81"/>
            <rFont val="Tahoma"/>
            <family val="2"/>
          </rPr>
          <t xml:space="preserve">
BMC projections per Merger Proxy, p.72</t>
        </r>
      </text>
    </comment>
    <comment ref="G98" authorId="0" shapeId="0">
      <text>
        <r>
          <rPr>
            <b/>
            <sz val="9"/>
            <color indexed="81"/>
            <rFont val="Tahoma"/>
            <family val="2"/>
          </rPr>
          <t>Wall Street Prep:</t>
        </r>
        <r>
          <rPr>
            <sz val="9"/>
            <color indexed="81"/>
            <rFont val="Tahoma"/>
            <family val="2"/>
          </rPr>
          <t xml:space="preserve">
BMC projections per Merger Proxy, p.72</t>
        </r>
      </text>
    </comment>
    <comment ref="H98" authorId="0" shapeId="0">
      <text>
        <r>
          <rPr>
            <b/>
            <sz val="9"/>
            <color indexed="81"/>
            <rFont val="Tahoma"/>
            <family val="2"/>
          </rPr>
          <t>Wall Street Prep:</t>
        </r>
        <r>
          <rPr>
            <sz val="9"/>
            <color indexed="81"/>
            <rFont val="Tahoma"/>
            <family val="2"/>
          </rPr>
          <t xml:space="preserve">
BMC projections per Merger Proxy, p.72</t>
        </r>
      </text>
    </comment>
    <comment ref="I98" authorId="0" shapeId="0">
      <text>
        <r>
          <rPr>
            <b/>
            <sz val="9"/>
            <color indexed="81"/>
            <rFont val="Tahoma"/>
            <family val="2"/>
          </rPr>
          <t>Wall Street Prep:</t>
        </r>
        <r>
          <rPr>
            <sz val="9"/>
            <color indexed="81"/>
            <rFont val="Tahoma"/>
            <family val="2"/>
          </rPr>
          <t xml:space="preserve">
BMC projections per Merger Proxy, p.72</t>
        </r>
      </text>
    </comment>
    <comment ref="J98" authorId="0" shapeId="0">
      <text>
        <r>
          <rPr>
            <b/>
            <sz val="9"/>
            <color indexed="81"/>
            <rFont val="Tahoma"/>
            <family val="2"/>
          </rPr>
          <t>Wall Street Prep:</t>
        </r>
        <r>
          <rPr>
            <sz val="9"/>
            <color indexed="81"/>
            <rFont val="Tahoma"/>
            <family val="2"/>
          </rPr>
          <t xml:space="preserve">
BMC projections per Merger Proxy, p.72</t>
        </r>
      </text>
    </comment>
    <comment ref="C99" authorId="0" shapeId="0">
      <text>
        <r>
          <rPr>
            <b/>
            <sz val="9"/>
            <color indexed="81"/>
            <rFont val="Tahoma"/>
            <family val="2"/>
          </rPr>
          <t>Wall Street Prep:</t>
        </r>
        <r>
          <rPr>
            <sz val="9"/>
            <color indexed="81"/>
            <rFont val="Tahoma"/>
            <family val="2"/>
          </rPr>
          <t xml:space="preserve">
Source: BMC 2013 10K p. 60 </t>
        </r>
      </text>
    </comment>
    <comment ref="D99" authorId="0" shapeId="0">
      <text>
        <r>
          <rPr>
            <b/>
            <sz val="9"/>
            <color indexed="81"/>
            <rFont val="Tahoma"/>
            <family val="2"/>
          </rPr>
          <t>Wall Street Prep:</t>
        </r>
        <r>
          <rPr>
            <sz val="9"/>
            <color indexed="81"/>
            <rFont val="Tahoma"/>
            <family val="2"/>
          </rPr>
          <t xml:space="preserve">
Source: BMC 2013 10K p. 60 </t>
        </r>
      </text>
    </comment>
    <comment ref="E99" authorId="0" shapeId="0">
      <text>
        <r>
          <rPr>
            <b/>
            <sz val="9"/>
            <color indexed="81"/>
            <rFont val="Tahoma"/>
            <family val="2"/>
          </rPr>
          <t>Wall Street Prep:</t>
        </r>
        <r>
          <rPr>
            <sz val="9"/>
            <color indexed="81"/>
            <rFont val="Tahoma"/>
            <family val="2"/>
          </rPr>
          <t xml:space="preserve">
Source: BMC 2013 10K p. 60 </t>
        </r>
      </text>
    </comment>
    <comment ref="K99" authorId="0" shapeId="0">
      <text>
        <r>
          <rPr>
            <b/>
            <sz val="9"/>
            <color indexed="81"/>
            <rFont val="Tahoma"/>
            <family val="2"/>
          </rPr>
          <t>Wall Street Prep:</t>
        </r>
        <r>
          <rPr>
            <sz val="9"/>
            <color indexed="81"/>
            <rFont val="Tahoma"/>
            <family val="2"/>
          </rPr>
          <t xml:space="preserve">
In an LBO where fixed asset purchases are limited to maintenance (as opposed to growth) capex, the ratio between capex and depreciation should converge to 1 over time, as new machines simply replace the absolesence of old machines.  </t>
        </r>
      </text>
    </comment>
    <comment ref="F105" authorId="0" shapeId="0">
      <text>
        <r>
          <rPr>
            <b/>
            <sz val="9"/>
            <color indexed="81"/>
            <rFont val="Tahoma"/>
            <family val="2"/>
          </rPr>
          <t>Wall Street Prep:</t>
        </r>
        <r>
          <rPr>
            <sz val="9"/>
            <color indexed="81"/>
            <rFont val="Tahoma"/>
            <family val="2"/>
          </rPr>
          <t xml:space="preserve">
BMC projections per Merger Proxy, p.72</t>
        </r>
      </text>
    </comment>
    <comment ref="G105" authorId="0" shapeId="0">
      <text>
        <r>
          <rPr>
            <b/>
            <sz val="9"/>
            <color indexed="81"/>
            <rFont val="Tahoma"/>
            <family val="2"/>
          </rPr>
          <t>Wall Street Prep:</t>
        </r>
        <r>
          <rPr>
            <sz val="9"/>
            <color indexed="81"/>
            <rFont val="Tahoma"/>
            <family val="2"/>
          </rPr>
          <t xml:space="preserve">
BMC projections per Merger Proxy, p.72</t>
        </r>
      </text>
    </comment>
    <comment ref="H105" authorId="0" shapeId="0">
      <text>
        <r>
          <rPr>
            <b/>
            <sz val="9"/>
            <color indexed="81"/>
            <rFont val="Tahoma"/>
            <family val="2"/>
          </rPr>
          <t>Wall Street Prep:</t>
        </r>
        <r>
          <rPr>
            <sz val="9"/>
            <color indexed="81"/>
            <rFont val="Tahoma"/>
            <family val="2"/>
          </rPr>
          <t xml:space="preserve">
BMC projections per Merger Proxy, p.72</t>
        </r>
      </text>
    </comment>
    <comment ref="I105" authorId="0" shapeId="0">
      <text>
        <r>
          <rPr>
            <b/>
            <sz val="9"/>
            <color indexed="81"/>
            <rFont val="Tahoma"/>
            <family val="2"/>
          </rPr>
          <t>Wall Street Prep:</t>
        </r>
        <r>
          <rPr>
            <sz val="9"/>
            <color indexed="81"/>
            <rFont val="Tahoma"/>
            <family val="2"/>
          </rPr>
          <t xml:space="preserve">
BMC projections per Merger Proxy, p.72</t>
        </r>
      </text>
    </comment>
    <comment ref="J105" authorId="0" shapeId="0">
      <text>
        <r>
          <rPr>
            <b/>
            <sz val="9"/>
            <color indexed="81"/>
            <rFont val="Tahoma"/>
            <family val="2"/>
          </rPr>
          <t>Wall Street Prep:</t>
        </r>
        <r>
          <rPr>
            <sz val="9"/>
            <color indexed="81"/>
            <rFont val="Tahoma"/>
            <family val="2"/>
          </rPr>
          <t xml:space="preserve">
BMC projections per Merger Proxy, p.72</t>
        </r>
      </text>
    </comment>
    <comment ref="D107" authorId="0" shapeId="0">
      <text>
        <r>
          <rPr>
            <b/>
            <sz val="9"/>
            <color indexed="81"/>
            <rFont val="Tahoma"/>
            <family val="2"/>
          </rPr>
          <t>Wall Street Prep:</t>
        </r>
        <r>
          <rPr>
            <sz val="9"/>
            <color indexed="81"/>
            <rFont val="Tahoma"/>
            <family val="2"/>
          </rPr>
          <t xml:space="preserve">
Includes goodwill and other assets </t>
        </r>
      </text>
    </comment>
    <comment ref="E107" authorId="0" shapeId="0">
      <text>
        <r>
          <rPr>
            <b/>
            <sz val="9"/>
            <color indexed="81"/>
            <rFont val="Tahoma"/>
            <family val="2"/>
          </rPr>
          <t>Wall Street Prep:</t>
        </r>
        <r>
          <rPr>
            <sz val="9"/>
            <color indexed="81"/>
            <rFont val="Tahoma"/>
            <family val="2"/>
          </rPr>
          <t xml:space="preserve">
Includes goodwill and other assets </t>
        </r>
      </text>
    </comment>
    <comment ref="B117" authorId="0" shapeId="0">
      <text>
        <r>
          <rPr>
            <b/>
            <sz val="9"/>
            <color indexed="81"/>
            <rFont val="Tahoma"/>
            <family val="2"/>
          </rPr>
          <t>Wall Street Prep:</t>
        </r>
        <r>
          <rPr>
            <sz val="9"/>
            <color indexed="81"/>
            <rFont val="Tahoma"/>
            <family val="2"/>
          </rPr>
          <t xml:space="preserve">
includes capitalized financing fees, and D&amp;A from write-ups. Usually ignored by analysts when analyzing true ongoing profitability.</t>
        </r>
      </text>
    </comment>
    <comment ref="E166" authorId="0" shapeId="0">
      <text>
        <r>
          <rPr>
            <b/>
            <sz val="9"/>
            <color indexed="81"/>
            <rFont val="Tahoma"/>
            <family val="2"/>
          </rPr>
          <t>Wall Street Prep:</t>
        </r>
        <r>
          <rPr>
            <sz val="9"/>
            <color indexed="81"/>
            <rFont val="Tahoma"/>
            <family val="2"/>
          </rPr>
          <t xml:space="preserve">
% of available cash to be used.</t>
        </r>
      </text>
    </comment>
    <comment ref="E174" authorId="0" shapeId="0">
      <text>
        <r>
          <rPr>
            <b/>
            <sz val="9"/>
            <color indexed="81"/>
            <rFont val="Tahoma"/>
            <family val="2"/>
          </rPr>
          <t>Wall Street Prep:</t>
        </r>
        <r>
          <rPr>
            <sz val="9"/>
            <color indexed="81"/>
            <rFont val="Tahoma"/>
            <family val="2"/>
          </rPr>
          <t xml:space="preserve">
% of available cash to be used.</t>
        </r>
      </text>
    </comment>
    <comment ref="F198" authorId="0" shapeId="0">
      <text>
        <r>
          <rPr>
            <b/>
            <sz val="9"/>
            <color indexed="81"/>
            <rFont val="Tahoma"/>
            <family val="2"/>
          </rPr>
          <t>Wall Street Prep:</t>
        </r>
        <r>
          <rPr>
            <sz val="9"/>
            <color indexed="81"/>
            <rFont val="Tahoma"/>
            <family val="2"/>
          </rPr>
          <t xml:space="preserve">
For simplicity we will ignore the impact of financing fee amortization on the I/S and the corresponding addback on the CFS).</t>
        </r>
      </text>
    </comment>
    <comment ref="G198" authorId="0" shapeId="0">
      <text>
        <r>
          <rPr>
            <b/>
            <sz val="9"/>
            <color indexed="81"/>
            <rFont val="Tahoma"/>
            <family val="2"/>
          </rPr>
          <t>Wall Street Prep:</t>
        </r>
        <r>
          <rPr>
            <sz val="9"/>
            <color indexed="81"/>
            <rFont val="Tahoma"/>
            <family val="2"/>
          </rPr>
          <t xml:space="preserve">
For simplicity we will ignore the impact of financing fee amortization on the I/S and the corresponding addback on the CFS).</t>
        </r>
      </text>
    </comment>
    <comment ref="H198" authorId="0" shapeId="0">
      <text>
        <r>
          <rPr>
            <b/>
            <sz val="9"/>
            <color indexed="81"/>
            <rFont val="Tahoma"/>
            <family val="2"/>
          </rPr>
          <t>Wall Street Prep:</t>
        </r>
        <r>
          <rPr>
            <sz val="9"/>
            <color indexed="81"/>
            <rFont val="Tahoma"/>
            <family val="2"/>
          </rPr>
          <t xml:space="preserve">
For simplicity we will ignore the impact of financing fee amortization on the I/S and the corresponding addback on the CFS).</t>
        </r>
      </text>
    </comment>
    <comment ref="I198" authorId="0" shapeId="0">
      <text>
        <r>
          <rPr>
            <b/>
            <sz val="9"/>
            <color indexed="81"/>
            <rFont val="Tahoma"/>
            <family val="2"/>
          </rPr>
          <t>Wall Street Prep:</t>
        </r>
        <r>
          <rPr>
            <sz val="9"/>
            <color indexed="81"/>
            <rFont val="Tahoma"/>
            <family val="2"/>
          </rPr>
          <t xml:space="preserve">
For simplicity we will ignore the impact of financing fee amortization on the I/S and the corresponding addback on the CFS).</t>
        </r>
      </text>
    </comment>
    <comment ref="J198" authorId="0" shapeId="0">
      <text>
        <r>
          <rPr>
            <b/>
            <sz val="9"/>
            <color indexed="81"/>
            <rFont val="Tahoma"/>
            <family val="2"/>
          </rPr>
          <t>Wall Street Prep:</t>
        </r>
        <r>
          <rPr>
            <sz val="9"/>
            <color indexed="81"/>
            <rFont val="Tahoma"/>
            <family val="2"/>
          </rPr>
          <t xml:space="preserve">
For simplicity we will ignore the impact of financing fee amortization on the I/S and the corresponding addback on the CFS).</t>
        </r>
      </text>
    </comment>
    <comment ref="E232" authorId="0" shapeId="0">
      <text>
        <r>
          <rPr>
            <b/>
            <sz val="9"/>
            <color indexed="81"/>
            <rFont val="Tahoma"/>
            <family val="2"/>
          </rPr>
          <t>Wall Street Prep:</t>
        </r>
        <r>
          <rPr>
            <sz val="9"/>
            <color indexed="81"/>
            <rFont val="Tahoma"/>
            <family val="2"/>
          </rPr>
          <t xml:space="preserve">
In addition to dividends, preferred stock may also negotiate to receive warrants to increase their returns (aka "equity kicker"). This has the impact of diluting the sponsors and management equity at exit. </t>
        </r>
      </text>
    </comment>
    <comment ref="E233" authorId="0" shapeId="0">
      <text>
        <r>
          <rPr>
            <b/>
            <sz val="9"/>
            <color indexed="81"/>
            <rFont val="Tahoma"/>
            <family val="2"/>
          </rPr>
          <t>Wall Street Prep:</t>
        </r>
        <r>
          <rPr>
            <sz val="9"/>
            <color indexed="81"/>
            <rFont val="Tahoma"/>
            <family val="2"/>
          </rPr>
          <t xml:space="preserve">
In addition to interest, lenders (usually high yield subordinated notes) may also negotiate to receive warrants to increase their returns (aka "equity kicker"). This has the impact of diluting the sponsors and management equity at exit. </t>
        </r>
      </text>
    </comment>
    <comment ref="H267" authorId="0" shapeId="0">
      <text>
        <r>
          <rPr>
            <b/>
            <sz val="9"/>
            <color indexed="81"/>
            <rFont val="Tahoma"/>
            <family val="2"/>
          </rPr>
          <t>Wall Street Prep:</t>
        </r>
        <r>
          <rPr>
            <sz val="9"/>
            <color indexed="81"/>
            <rFont val="Tahoma"/>
            <family val="2"/>
          </rPr>
          <t xml:space="preserve">
Fully diluted</t>
        </r>
      </text>
    </comment>
    <comment ref="E282" authorId="0" shapeId="0">
      <text>
        <r>
          <rPr>
            <b/>
            <sz val="9"/>
            <color indexed="81"/>
            <rFont val="Tahoma"/>
            <family val="2"/>
          </rPr>
          <t>Wall Street Prep:</t>
        </r>
        <r>
          <rPr>
            <sz val="9"/>
            <color indexed="81"/>
            <rFont val="Tahoma"/>
            <family val="2"/>
          </rPr>
          <t xml:space="preserve">
Ignored effects of changes in model-derived offer value on transaction and financing fees for simplicity</t>
        </r>
      </text>
    </comment>
    <comment ref="F282" authorId="0" shapeId="0">
      <text>
        <r>
          <rPr>
            <b/>
            <sz val="9"/>
            <color indexed="81"/>
            <rFont val="Tahoma"/>
            <family val="2"/>
          </rPr>
          <t>Wall Street Prep:</t>
        </r>
        <r>
          <rPr>
            <sz val="9"/>
            <color indexed="81"/>
            <rFont val="Tahoma"/>
            <family val="2"/>
          </rPr>
          <t xml:space="preserve">
Ignored effects of changes in model-derived offer value on transaction and financing fees for simplicity</t>
        </r>
      </text>
    </comment>
    <comment ref="G282" authorId="0" shapeId="0">
      <text>
        <r>
          <rPr>
            <b/>
            <sz val="9"/>
            <color indexed="81"/>
            <rFont val="Tahoma"/>
            <family val="2"/>
          </rPr>
          <t>Wall Street Prep:</t>
        </r>
        <r>
          <rPr>
            <sz val="9"/>
            <color indexed="81"/>
            <rFont val="Tahoma"/>
            <family val="2"/>
          </rPr>
          <t xml:space="preserve">
Ignored effects of changes in model-derived offer value on transaction and financing fees for simplicity</t>
        </r>
      </text>
    </comment>
    <comment ref="H282" authorId="0" shapeId="0">
      <text>
        <r>
          <rPr>
            <b/>
            <sz val="9"/>
            <color indexed="81"/>
            <rFont val="Tahoma"/>
            <family val="2"/>
          </rPr>
          <t>Wall Street Prep:</t>
        </r>
        <r>
          <rPr>
            <sz val="9"/>
            <color indexed="81"/>
            <rFont val="Tahoma"/>
            <family val="2"/>
          </rPr>
          <t xml:space="preserve">
Ignored effects of changes in model-derived offer value on transaction and financing fees for simplicity</t>
        </r>
      </text>
    </comment>
    <comment ref="I282" authorId="0" shapeId="0">
      <text>
        <r>
          <rPr>
            <b/>
            <sz val="9"/>
            <color indexed="81"/>
            <rFont val="Tahoma"/>
            <family val="2"/>
          </rPr>
          <t>Wall Street Prep:</t>
        </r>
        <r>
          <rPr>
            <sz val="9"/>
            <color indexed="81"/>
            <rFont val="Tahoma"/>
            <family val="2"/>
          </rPr>
          <t xml:space="preserve">
Ignored effects of changes in model-derived offer value on transaction and financing fees for simplicity</t>
        </r>
      </text>
    </comment>
    <comment ref="J282" authorId="0" shapeId="0">
      <text>
        <r>
          <rPr>
            <b/>
            <sz val="9"/>
            <color indexed="81"/>
            <rFont val="Tahoma"/>
            <family val="2"/>
          </rPr>
          <t>Wall Street Prep:</t>
        </r>
        <r>
          <rPr>
            <sz val="9"/>
            <color indexed="81"/>
            <rFont val="Tahoma"/>
            <family val="2"/>
          </rPr>
          <t xml:space="preserve">
Ignored effects of changes in model-derived offer value on transaction and financing fees for simplicity</t>
        </r>
      </text>
    </comment>
    <comment ref="G322" authorId="0" shapeId="0">
      <text>
        <r>
          <rPr>
            <b/>
            <sz val="9"/>
            <color indexed="81"/>
            <rFont val="Tahoma"/>
            <family val="2"/>
          </rPr>
          <t>Wall Street Prep:</t>
        </r>
        <r>
          <rPr>
            <sz val="9"/>
            <color indexed="81"/>
            <rFont val="Tahoma"/>
            <family val="2"/>
          </rPr>
          <t xml:space="preserve">
Management rollover is excluded from both sources &amp; uses because it is simultaneously a debit and credit to equity, creating a net impact of zero to equity. </t>
        </r>
      </text>
    </comment>
    <comment ref="H322" authorId="0" shapeId="0">
      <text>
        <r>
          <rPr>
            <b/>
            <sz val="9"/>
            <color indexed="81"/>
            <rFont val="Tahoma"/>
            <family val="2"/>
          </rPr>
          <t>Wall Street Prep:</t>
        </r>
        <r>
          <rPr>
            <sz val="9"/>
            <color indexed="81"/>
            <rFont val="Tahoma"/>
            <family val="2"/>
          </rPr>
          <t xml:space="preserve">
Management rollover is excluded from both sources &amp; uses because it is simultaneously a debit and credit to equity, creating a net impact of zero to equity. </t>
        </r>
      </text>
    </comment>
    <comment ref="B334" authorId="0" shapeId="0">
      <text>
        <r>
          <rPr>
            <b/>
            <sz val="9"/>
            <color indexed="81"/>
            <rFont val="Tahoma"/>
            <family val="2"/>
          </rPr>
          <t>Wall Street Prep:</t>
        </r>
        <r>
          <rPr>
            <sz val="9"/>
            <color indexed="81"/>
            <rFont val="Tahoma"/>
            <family val="2"/>
          </rPr>
          <t xml:space="preserve">
Includes DTLs created in the LBO</t>
        </r>
      </text>
    </comment>
    <comment ref="I334" authorId="0" shapeId="0">
      <text>
        <r>
          <rPr>
            <b/>
            <sz val="9"/>
            <color indexed="81"/>
            <rFont val="Tahoma"/>
            <family val="2"/>
          </rPr>
          <t>Wall Street Prep:</t>
        </r>
        <r>
          <rPr>
            <sz val="9"/>
            <color indexed="81"/>
            <rFont val="Tahoma"/>
            <family val="2"/>
          </rPr>
          <t xml:space="preserve">
DTLs created in the LBO</t>
        </r>
      </text>
    </comment>
    <comment ref="B335" authorId="0" shapeId="0">
      <text>
        <r>
          <rPr>
            <b/>
            <sz val="9"/>
            <color indexed="81"/>
            <rFont val="Tahoma"/>
            <family val="2"/>
          </rPr>
          <t>Wall Street Prep:</t>
        </r>
        <r>
          <rPr>
            <sz val="9"/>
            <color indexed="81"/>
            <rFont val="Tahoma"/>
            <family val="2"/>
          </rPr>
          <t xml:space="preserve">
Include legacy noncontrolling interests and preferred stock for simplicty</t>
        </r>
      </text>
    </comment>
    <comment ref="G339" authorId="0" shapeId="0">
      <text>
        <r>
          <rPr>
            <b/>
            <sz val="9"/>
            <color indexed="81"/>
            <rFont val="Tahoma"/>
            <family val="2"/>
          </rPr>
          <t>Wall Street Prep:</t>
        </r>
        <r>
          <rPr>
            <sz val="9"/>
            <color indexed="81"/>
            <rFont val="Tahoma"/>
            <family val="2"/>
          </rPr>
          <t xml:space="preserve">
Excludes management rollover</t>
        </r>
      </text>
    </comment>
    <comment ref="F351" authorId="0" shapeId="0">
      <text>
        <r>
          <rPr>
            <b/>
            <sz val="9"/>
            <color indexed="81"/>
            <rFont val="Tahoma"/>
            <family val="2"/>
          </rPr>
          <t>Wall Street Prep:</t>
        </r>
        <r>
          <rPr>
            <sz val="9"/>
            <color indexed="81"/>
            <rFont val="Tahoma"/>
            <family val="2"/>
          </rPr>
          <t xml:space="preserve">
Includes capitalized financing fees</t>
        </r>
      </text>
    </comment>
    <comment ref="G351" authorId="0" shapeId="0">
      <text>
        <r>
          <rPr>
            <b/>
            <sz val="9"/>
            <color indexed="81"/>
            <rFont val="Tahoma"/>
            <family val="2"/>
          </rPr>
          <t>Wall Street Prep:</t>
        </r>
        <r>
          <rPr>
            <sz val="9"/>
            <color indexed="81"/>
            <rFont val="Tahoma"/>
            <family val="2"/>
          </rPr>
          <t xml:space="preserve">
Includes capitalized financing fees</t>
        </r>
      </text>
    </comment>
    <comment ref="H351" authorId="0" shapeId="0">
      <text>
        <r>
          <rPr>
            <b/>
            <sz val="9"/>
            <color indexed="81"/>
            <rFont val="Tahoma"/>
            <family val="2"/>
          </rPr>
          <t>Wall Street Prep:</t>
        </r>
        <r>
          <rPr>
            <sz val="9"/>
            <color indexed="81"/>
            <rFont val="Tahoma"/>
            <family val="2"/>
          </rPr>
          <t xml:space="preserve">
Includes capitalized financing fees</t>
        </r>
      </text>
    </comment>
    <comment ref="I351" authorId="0" shapeId="0">
      <text>
        <r>
          <rPr>
            <b/>
            <sz val="9"/>
            <color indexed="81"/>
            <rFont val="Tahoma"/>
            <family val="2"/>
          </rPr>
          <t>Wall Street Prep:</t>
        </r>
        <r>
          <rPr>
            <sz val="9"/>
            <color indexed="81"/>
            <rFont val="Tahoma"/>
            <family val="2"/>
          </rPr>
          <t xml:space="preserve">
Includes capitalized financing fees</t>
        </r>
      </text>
    </comment>
    <comment ref="J351" authorId="0" shapeId="0">
      <text>
        <r>
          <rPr>
            <b/>
            <sz val="9"/>
            <color indexed="81"/>
            <rFont val="Tahoma"/>
            <family val="2"/>
          </rPr>
          <t>Wall Street Prep:</t>
        </r>
        <r>
          <rPr>
            <sz val="9"/>
            <color indexed="81"/>
            <rFont val="Tahoma"/>
            <family val="2"/>
          </rPr>
          <t xml:space="preserve">
Includes capitalized financing fees</t>
        </r>
      </text>
    </comment>
    <comment ref="K351" authorId="0" shapeId="0">
      <text>
        <r>
          <rPr>
            <b/>
            <sz val="9"/>
            <color indexed="81"/>
            <rFont val="Tahoma"/>
            <family val="2"/>
          </rPr>
          <t>Wall Street Prep:</t>
        </r>
        <r>
          <rPr>
            <sz val="9"/>
            <color indexed="81"/>
            <rFont val="Tahoma"/>
            <family val="2"/>
          </rPr>
          <t xml:space="preserve">
Includes capitalized financing fees</t>
        </r>
      </text>
    </comment>
    <comment ref="F352" authorId="0" shapeId="0">
      <text>
        <r>
          <rPr>
            <b/>
            <sz val="9"/>
            <color indexed="81"/>
            <rFont val="Tahoma"/>
            <family val="2"/>
          </rPr>
          <t>Wall Street Prep:</t>
        </r>
        <r>
          <rPr>
            <sz val="9"/>
            <color indexed="81"/>
            <rFont val="Tahoma"/>
            <family val="2"/>
          </rPr>
          <t xml:space="preserve">
Includes goodwill created in the LBO </t>
        </r>
      </text>
    </comment>
    <comment ref="G352" authorId="0" shapeId="0">
      <text>
        <r>
          <rPr>
            <b/>
            <sz val="9"/>
            <color indexed="81"/>
            <rFont val="Tahoma"/>
            <family val="2"/>
          </rPr>
          <t>Wall Street Prep:</t>
        </r>
        <r>
          <rPr>
            <sz val="9"/>
            <color indexed="81"/>
            <rFont val="Tahoma"/>
            <family val="2"/>
          </rPr>
          <t xml:space="preserve">
Includes goodwill created in the LBO </t>
        </r>
      </text>
    </comment>
    <comment ref="H352" authorId="0" shapeId="0">
      <text>
        <r>
          <rPr>
            <b/>
            <sz val="9"/>
            <color indexed="81"/>
            <rFont val="Tahoma"/>
            <family val="2"/>
          </rPr>
          <t>Wall Street Prep:</t>
        </r>
        <r>
          <rPr>
            <sz val="9"/>
            <color indexed="81"/>
            <rFont val="Tahoma"/>
            <family val="2"/>
          </rPr>
          <t xml:space="preserve">
Includes goodwill created in the LBO </t>
        </r>
      </text>
    </comment>
    <comment ref="I352" authorId="0" shapeId="0">
      <text>
        <r>
          <rPr>
            <b/>
            <sz val="9"/>
            <color indexed="81"/>
            <rFont val="Tahoma"/>
            <family val="2"/>
          </rPr>
          <t>Wall Street Prep:</t>
        </r>
        <r>
          <rPr>
            <sz val="9"/>
            <color indexed="81"/>
            <rFont val="Tahoma"/>
            <family val="2"/>
          </rPr>
          <t xml:space="preserve">
Includes goodwill created in the LBO </t>
        </r>
      </text>
    </comment>
    <comment ref="J352" authorId="0" shapeId="0">
      <text>
        <r>
          <rPr>
            <b/>
            <sz val="9"/>
            <color indexed="81"/>
            <rFont val="Tahoma"/>
            <family val="2"/>
          </rPr>
          <t>Wall Street Prep:</t>
        </r>
        <r>
          <rPr>
            <sz val="9"/>
            <color indexed="81"/>
            <rFont val="Tahoma"/>
            <family val="2"/>
          </rPr>
          <t xml:space="preserve">
Includes goodwill created in the LBO </t>
        </r>
      </text>
    </comment>
    <comment ref="K352" authorId="0" shapeId="0">
      <text>
        <r>
          <rPr>
            <b/>
            <sz val="9"/>
            <color indexed="81"/>
            <rFont val="Tahoma"/>
            <family val="2"/>
          </rPr>
          <t>Wall Street Prep:</t>
        </r>
        <r>
          <rPr>
            <sz val="9"/>
            <color indexed="81"/>
            <rFont val="Tahoma"/>
            <family val="2"/>
          </rPr>
          <t xml:space="preserve">
Includes goodwill created in the LBO </t>
        </r>
      </text>
    </comment>
    <comment ref="F358" authorId="0" shapeId="0">
      <text>
        <r>
          <rPr>
            <b/>
            <sz val="9"/>
            <color indexed="81"/>
            <rFont val="Tahoma"/>
            <family val="2"/>
          </rPr>
          <t>Wall Street Prep:</t>
        </r>
        <r>
          <rPr>
            <sz val="9"/>
            <color indexed="81"/>
            <rFont val="Tahoma"/>
            <family val="2"/>
          </rPr>
          <t xml:space="preserve">
Include all LBO created debt tranches</t>
        </r>
      </text>
    </comment>
    <comment ref="G358" authorId="0" shapeId="0">
      <text>
        <r>
          <rPr>
            <b/>
            <sz val="9"/>
            <color indexed="81"/>
            <rFont val="Tahoma"/>
            <family val="2"/>
          </rPr>
          <t>Wall Street Prep:</t>
        </r>
        <r>
          <rPr>
            <sz val="9"/>
            <color indexed="81"/>
            <rFont val="Tahoma"/>
            <family val="2"/>
          </rPr>
          <t xml:space="preserve">
Include all LBO created debt tranches</t>
        </r>
      </text>
    </comment>
    <comment ref="H358" authorId="0" shapeId="0">
      <text>
        <r>
          <rPr>
            <b/>
            <sz val="9"/>
            <color indexed="81"/>
            <rFont val="Tahoma"/>
            <family val="2"/>
          </rPr>
          <t>Wall Street Prep:</t>
        </r>
        <r>
          <rPr>
            <sz val="9"/>
            <color indexed="81"/>
            <rFont val="Tahoma"/>
            <family val="2"/>
          </rPr>
          <t xml:space="preserve">
Include all LBO created debt tranches</t>
        </r>
      </text>
    </comment>
    <comment ref="I358" authorId="0" shapeId="0">
      <text>
        <r>
          <rPr>
            <b/>
            <sz val="9"/>
            <color indexed="81"/>
            <rFont val="Tahoma"/>
            <family val="2"/>
          </rPr>
          <t>Wall Street Prep:</t>
        </r>
        <r>
          <rPr>
            <sz val="9"/>
            <color indexed="81"/>
            <rFont val="Tahoma"/>
            <family val="2"/>
          </rPr>
          <t xml:space="preserve">
Include all LBO created debt tranches</t>
        </r>
      </text>
    </comment>
    <comment ref="J358" authorId="0" shapeId="0">
      <text>
        <r>
          <rPr>
            <b/>
            <sz val="9"/>
            <color indexed="81"/>
            <rFont val="Tahoma"/>
            <family val="2"/>
          </rPr>
          <t>Wall Street Prep:</t>
        </r>
        <r>
          <rPr>
            <sz val="9"/>
            <color indexed="81"/>
            <rFont val="Tahoma"/>
            <family val="2"/>
          </rPr>
          <t xml:space="preserve">
Include all LBO created debt tranches</t>
        </r>
      </text>
    </comment>
    <comment ref="K358" authorId="0" shapeId="0">
      <text>
        <r>
          <rPr>
            <b/>
            <sz val="9"/>
            <color indexed="81"/>
            <rFont val="Tahoma"/>
            <family val="2"/>
          </rPr>
          <t>Wall Street Prep:</t>
        </r>
        <r>
          <rPr>
            <sz val="9"/>
            <color indexed="81"/>
            <rFont val="Tahoma"/>
            <family val="2"/>
          </rPr>
          <t xml:space="preserve">
Include all LBO created debt tranches</t>
        </r>
      </text>
    </comment>
    <comment ref="G362" authorId="0" shapeId="0">
      <text>
        <r>
          <rPr>
            <b/>
            <sz val="9"/>
            <color indexed="81"/>
            <rFont val="Tahoma"/>
            <family val="2"/>
          </rPr>
          <t>Wall Street Prep:</t>
        </r>
        <r>
          <rPr>
            <sz val="9"/>
            <color indexed="81"/>
            <rFont val="Tahoma"/>
            <family val="2"/>
          </rPr>
          <t xml:space="preserve">
</t>
        </r>
        <r>
          <rPr>
            <u/>
            <sz val="9"/>
            <color indexed="81"/>
            <rFont val="Tahoma"/>
            <family val="2"/>
          </rPr>
          <t xml:space="preserve">PF Equity, BOP
</t>
        </r>
        <r>
          <rPr>
            <sz val="9"/>
            <color indexed="81"/>
            <rFont val="Tahoma"/>
            <family val="2"/>
          </rPr>
          <t xml:space="preserve">+ NI, current period
-  Dividends common &amp; preferred, (PIK and cash)
+ SBC, current period (debit to RE via NI needs to be offset by credit to Common stock)
</t>
        </r>
        <r>
          <rPr>
            <u/>
            <sz val="9"/>
            <color indexed="81"/>
            <rFont val="Tahoma"/>
            <family val="2"/>
          </rPr>
          <t xml:space="preserve">-  Financing fee amortization (b/c we ignored its impact directly on the IS)
</t>
        </r>
        <r>
          <rPr>
            <sz val="9"/>
            <color indexed="81"/>
            <rFont val="Tahoma"/>
            <family val="2"/>
          </rPr>
          <t>PF Equity, EOP</t>
        </r>
      </text>
    </comment>
    <comment ref="H362" authorId="0" shapeId="0">
      <text>
        <r>
          <rPr>
            <b/>
            <sz val="9"/>
            <color indexed="81"/>
            <rFont val="Tahoma"/>
            <family val="2"/>
          </rPr>
          <t>Wall Street Prep:</t>
        </r>
        <r>
          <rPr>
            <sz val="9"/>
            <color indexed="81"/>
            <rFont val="Tahoma"/>
            <family val="2"/>
          </rPr>
          <t xml:space="preserve">
</t>
        </r>
        <r>
          <rPr>
            <u/>
            <sz val="9"/>
            <color indexed="81"/>
            <rFont val="Tahoma"/>
            <family val="2"/>
          </rPr>
          <t xml:space="preserve">PF Equity, BOP
</t>
        </r>
        <r>
          <rPr>
            <sz val="9"/>
            <color indexed="81"/>
            <rFont val="Tahoma"/>
            <family val="2"/>
          </rPr>
          <t xml:space="preserve">+ NI, current period
-  Dividends common &amp; preferred, (PIK and cash)
+ SBC, current period (debit to RE via NI needs to be offset by credit to Common stock)
</t>
        </r>
        <r>
          <rPr>
            <u/>
            <sz val="9"/>
            <color indexed="81"/>
            <rFont val="Tahoma"/>
            <family val="2"/>
          </rPr>
          <t xml:space="preserve">-  Financing fee amortization (b/c we ignored its impact directly on the IS)
</t>
        </r>
        <r>
          <rPr>
            <sz val="9"/>
            <color indexed="81"/>
            <rFont val="Tahoma"/>
            <family val="2"/>
          </rPr>
          <t>PF Equity, EOP</t>
        </r>
      </text>
    </comment>
    <comment ref="I362" authorId="0" shapeId="0">
      <text>
        <r>
          <rPr>
            <b/>
            <sz val="9"/>
            <color indexed="81"/>
            <rFont val="Tahoma"/>
            <family val="2"/>
          </rPr>
          <t>Wall Street Prep:</t>
        </r>
        <r>
          <rPr>
            <sz val="9"/>
            <color indexed="81"/>
            <rFont val="Tahoma"/>
            <family val="2"/>
          </rPr>
          <t xml:space="preserve">
</t>
        </r>
        <r>
          <rPr>
            <u/>
            <sz val="9"/>
            <color indexed="81"/>
            <rFont val="Tahoma"/>
            <family val="2"/>
          </rPr>
          <t xml:space="preserve">PF Equity, BOP
</t>
        </r>
        <r>
          <rPr>
            <sz val="9"/>
            <color indexed="81"/>
            <rFont val="Tahoma"/>
            <family val="2"/>
          </rPr>
          <t xml:space="preserve">+ NI, current period
-  Dividends common &amp; preferred, (PIK and cash)
+ SBC, current period (debit to RE via NI needs to be offset by credit to Common stock)
</t>
        </r>
        <r>
          <rPr>
            <u/>
            <sz val="9"/>
            <color indexed="81"/>
            <rFont val="Tahoma"/>
            <family val="2"/>
          </rPr>
          <t xml:space="preserve">-  Financing fee amortization (b/c we ignored its impact directly on the IS)
</t>
        </r>
        <r>
          <rPr>
            <sz val="9"/>
            <color indexed="81"/>
            <rFont val="Tahoma"/>
            <family val="2"/>
          </rPr>
          <t>PF Equity, EOP</t>
        </r>
      </text>
    </comment>
    <comment ref="J362" authorId="0" shapeId="0">
      <text>
        <r>
          <rPr>
            <b/>
            <sz val="9"/>
            <color indexed="81"/>
            <rFont val="Tahoma"/>
            <family val="2"/>
          </rPr>
          <t>Wall Street Prep:</t>
        </r>
        <r>
          <rPr>
            <sz val="9"/>
            <color indexed="81"/>
            <rFont val="Tahoma"/>
            <family val="2"/>
          </rPr>
          <t xml:space="preserve">
</t>
        </r>
        <r>
          <rPr>
            <u/>
            <sz val="9"/>
            <color indexed="81"/>
            <rFont val="Tahoma"/>
            <family val="2"/>
          </rPr>
          <t xml:space="preserve">PF Equity, BOP
</t>
        </r>
        <r>
          <rPr>
            <sz val="9"/>
            <color indexed="81"/>
            <rFont val="Tahoma"/>
            <family val="2"/>
          </rPr>
          <t xml:space="preserve">+ NI, current period
-  Dividends common &amp; preferred, (PIK and cash)
+ SBC, current period (debit to RE via NI needs to be offset by credit to Common stock)
</t>
        </r>
        <r>
          <rPr>
            <u/>
            <sz val="9"/>
            <color indexed="81"/>
            <rFont val="Tahoma"/>
            <family val="2"/>
          </rPr>
          <t xml:space="preserve">-  Financing fee amortization (b/c we ignored its impact directly on the IS)
</t>
        </r>
        <r>
          <rPr>
            <sz val="9"/>
            <color indexed="81"/>
            <rFont val="Tahoma"/>
            <family val="2"/>
          </rPr>
          <t>PF Equity, EOP</t>
        </r>
      </text>
    </comment>
    <comment ref="K362" authorId="0" shapeId="0">
      <text>
        <r>
          <rPr>
            <b/>
            <sz val="9"/>
            <color indexed="81"/>
            <rFont val="Tahoma"/>
            <family val="2"/>
          </rPr>
          <t>Wall Street Prep:</t>
        </r>
        <r>
          <rPr>
            <sz val="9"/>
            <color indexed="81"/>
            <rFont val="Tahoma"/>
            <family val="2"/>
          </rPr>
          <t xml:space="preserve">
</t>
        </r>
        <r>
          <rPr>
            <u/>
            <sz val="9"/>
            <color indexed="81"/>
            <rFont val="Tahoma"/>
            <family val="2"/>
          </rPr>
          <t xml:space="preserve">PF Equity, BOP
</t>
        </r>
        <r>
          <rPr>
            <sz val="9"/>
            <color indexed="81"/>
            <rFont val="Tahoma"/>
            <family val="2"/>
          </rPr>
          <t xml:space="preserve">+ NI, current period
-  Dividends common &amp; preferred, (PIK and cash)
+ SBC, current period (debit to RE via NI needs to be offset by credit to Common stock)
</t>
        </r>
        <r>
          <rPr>
            <u/>
            <sz val="9"/>
            <color indexed="81"/>
            <rFont val="Tahoma"/>
            <family val="2"/>
          </rPr>
          <t xml:space="preserve">-  Financing fee amortization (b/c we ignored its impact directly on the IS)
</t>
        </r>
        <r>
          <rPr>
            <sz val="9"/>
            <color indexed="81"/>
            <rFont val="Tahoma"/>
            <family val="2"/>
          </rPr>
          <t>PF Equity, EOP</t>
        </r>
      </text>
    </comment>
  </commentList>
</comments>
</file>

<file path=xl/comments2.xml><?xml version="1.0" encoding="utf-8"?>
<comments xmlns="http://schemas.openxmlformats.org/spreadsheetml/2006/main">
  <authors>
    <author>Wall Street Prep</author>
  </authors>
  <commentList>
    <comment ref="C8" authorId="0" shapeId="0">
      <text>
        <r>
          <rPr>
            <b/>
            <sz val="9"/>
            <color indexed="81"/>
            <rFont val="Tahoma"/>
            <family val="2"/>
          </rPr>
          <t>Wall Street Prep:</t>
        </r>
        <r>
          <rPr>
            <sz val="9"/>
            <color indexed="81"/>
            <rFont val="Tahoma"/>
            <family val="2"/>
          </rPr>
          <t xml:space="preserve">
Per AAPL Q2 10-Q, as of April 11, 2014</t>
        </r>
      </text>
    </comment>
    <comment ref="C36" authorId="0" shapeId="0">
      <text>
        <r>
          <rPr>
            <b/>
            <sz val="9"/>
            <color indexed="81"/>
            <rFont val="Tahoma"/>
            <family val="2"/>
          </rPr>
          <t>Wall Street Prep:</t>
        </r>
        <r>
          <rPr>
            <sz val="9"/>
            <color indexed="81"/>
            <rFont val="Tahoma"/>
            <family val="2"/>
          </rPr>
          <t xml:space="preserve">
By ignoring D&amp;A and Capex/Intangible Assets/SDC we are implicitly assuming that mature-company capital spending is just enough to offset the absolesence of older capital purchases.</t>
        </r>
      </text>
    </comment>
    <comment ref="J37" authorId="0" shapeId="0">
      <text>
        <r>
          <rPr>
            <b/>
            <sz val="9"/>
            <color indexed="81"/>
            <rFont val="Tahoma"/>
            <family val="2"/>
          </rPr>
          <t>Wall Street Prep:</t>
        </r>
        <r>
          <rPr>
            <sz val="9"/>
            <color indexed="81"/>
            <rFont val="Tahoma"/>
            <family val="2"/>
          </rPr>
          <t xml:space="preserve">
Same as LBO exit multiple</t>
        </r>
      </text>
    </comment>
    <comment ref="C55" authorId="0" shapeId="0">
      <text>
        <r>
          <rPr>
            <b/>
            <sz val="9"/>
            <color indexed="81"/>
            <rFont val="Tahoma"/>
            <family val="2"/>
          </rPr>
          <t>Wall Street Prep:</t>
        </r>
        <r>
          <rPr>
            <sz val="9"/>
            <color indexed="81"/>
            <rFont val="Tahoma"/>
            <family val="2"/>
          </rPr>
          <t xml:space="preserve">
Yield on 10 Year US Treasury</t>
        </r>
      </text>
    </comment>
    <comment ref="C56" authorId="0" shapeId="0">
      <text>
        <r>
          <rPr>
            <b/>
            <sz val="9"/>
            <color indexed="81"/>
            <rFont val="Tahoma"/>
            <family val="2"/>
          </rPr>
          <t>Wall Street Prep:</t>
        </r>
        <r>
          <rPr>
            <sz val="9"/>
            <color indexed="81"/>
            <rFont val="Tahoma"/>
            <family val="2"/>
          </rPr>
          <t xml:space="preserve">
Derived from peers and relvered at BMC's new highly levered capital structure</t>
        </r>
      </text>
    </comment>
  </commentList>
</comments>
</file>

<file path=xl/comments3.xml><?xml version="1.0" encoding="utf-8"?>
<comments xmlns="http://schemas.openxmlformats.org/spreadsheetml/2006/main">
  <authors>
    <author>Wall Street Prep</author>
  </authors>
  <commentList>
    <comment ref="E5" authorId="0" shapeId="0">
      <text>
        <r>
          <rPr>
            <b/>
            <sz val="9"/>
            <color indexed="81"/>
            <rFont val="Tahoma"/>
            <family val="2"/>
          </rPr>
          <t>Wall Street Prep:</t>
        </r>
        <r>
          <rPr>
            <sz val="9"/>
            <color indexed="81"/>
            <rFont val="Tahoma"/>
            <family val="2"/>
          </rPr>
          <t xml:space="preserve">
Hard-code to avoid circularity when offer price is derived from an explicit EBITDA multiple assumption.
</t>
        </r>
        <r>
          <rPr>
            <i/>
            <sz val="9"/>
            <color indexed="81"/>
            <rFont val="Tahoma"/>
            <family val="2"/>
          </rPr>
          <t>Deeper dive</t>
        </r>
        <r>
          <rPr>
            <b/>
            <sz val="9"/>
            <color indexed="81"/>
            <rFont val="Tahoma"/>
            <family val="2"/>
          </rPr>
          <t xml:space="preserve">
</t>
        </r>
        <r>
          <rPr>
            <sz val="9"/>
            <color indexed="81"/>
            <rFont val="Tahoma"/>
            <family val="2"/>
          </rPr>
          <t>The circularity exists because for a given offer value, the more shares will lead to lower offer price per share, while the now lower offer price per share leads to fewer repurchases and a larger dilutive impact/share count, once again lowering the offer price per share and on and on...</t>
        </r>
      </text>
    </comment>
    <comment ref="C25" authorId="0" shapeId="0">
      <text>
        <r>
          <rPr>
            <b/>
            <sz val="9"/>
            <color indexed="81"/>
            <rFont val="Tahoma"/>
            <family val="2"/>
          </rPr>
          <t>Wall Street Prep:</t>
        </r>
        <r>
          <rPr>
            <sz val="9"/>
            <color indexed="81"/>
            <rFont val="Tahoma"/>
            <family val="2"/>
          </rPr>
          <t xml:space="preserve">
This tranche represents all unvested options - these typically vest upon a change of control.</t>
        </r>
      </text>
    </comment>
    <comment ref="D25" authorId="0" shapeId="0">
      <text>
        <r>
          <rPr>
            <b/>
            <sz val="9"/>
            <color indexed="81"/>
            <rFont val="Tahoma"/>
            <family val="2"/>
          </rPr>
          <t>Wall Street Prep:</t>
        </r>
        <r>
          <rPr>
            <sz val="9"/>
            <color indexed="81"/>
            <rFont val="Tahoma"/>
            <family val="2"/>
          </rPr>
          <t xml:space="preserve">
This tranche represents all unvested options - these typically vest upon a change of control.</t>
        </r>
      </text>
    </comment>
  </commentList>
</comments>
</file>

<file path=xl/sharedStrings.xml><?xml version="1.0" encoding="utf-8"?>
<sst xmlns="http://schemas.openxmlformats.org/spreadsheetml/2006/main" count="427" uniqueCount="337">
  <si>
    <t>$ mm except per share</t>
  </si>
  <si>
    <t>Company name</t>
  </si>
  <si>
    <t>Share price as of last close</t>
  </si>
  <si>
    <t>Latest closing share price date</t>
  </si>
  <si>
    <t>Circuit breaker:</t>
  </si>
  <si>
    <t>OFF</t>
  </si>
  <si>
    <t>INCOME STATEMENT</t>
  </si>
  <si>
    <t xml:space="preserve">Fiscal year  </t>
  </si>
  <si>
    <t>Fiscal year end date</t>
  </si>
  <si>
    <t>Revenue</t>
  </si>
  <si>
    <t>Cost of sales (enter as -)</t>
  </si>
  <si>
    <t>Gross Profit</t>
  </si>
  <si>
    <t>Research &amp; development (enter as -)</t>
  </si>
  <si>
    <t>Selling, general &amp; administrative (enter as -)</t>
  </si>
  <si>
    <t>Operating profit (EBIT)</t>
  </si>
  <si>
    <t>Interest income</t>
  </si>
  <si>
    <t>Interest expense (enter as -)</t>
  </si>
  <si>
    <t>Pretax profit</t>
  </si>
  <si>
    <t>Taxes (enter expense as -)</t>
  </si>
  <si>
    <t>Net income</t>
  </si>
  <si>
    <t>Diluted shares outstanding</t>
  </si>
  <si>
    <t>Growth rates &amp; margins</t>
  </si>
  <si>
    <t>Revenue growth</t>
  </si>
  <si>
    <t>Gross profit as % of sales</t>
  </si>
  <si>
    <t>R&amp;D margin</t>
  </si>
  <si>
    <t>SG&amp;A margin</t>
  </si>
  <si>
    <t>Tax rate</t>
  </si>
  <si>
    <t>Stock based compensation</t>
  </si>
  <si>
    <t>EBITDA</t>
  </si>
  <si>
    <t>Total</t>
  </si>
  <si>
    <t>% growth</t>
  </si>
  <si>
    <t>Cash &amp; equivalents ST &amp; LT market. securities</t>
  </si>
  <si>
    <t>Revolver</t>
  </si>
  <si>
    <t>Net debt</t>
  </si>
  <si>
    <t>WORKING CAPITAL</t>
  </si>
  <si>
    <t>Increases / (decreases)</t>
  </si>
  <si>
    <t>AR as % of sales</t>
  </si>
  <si>
    <t>AP as % of COGS</t>
  </si>
  <si>
    <t xml:space="preserve">Long term debt </t>
  </si>
  <si>
    <t>PIK accrual</t>
  </si>
  <si>
    <t>SBC as % of all operating expenses</t>
  </si>
  <si>
    <t>CASH FLOW STATEMENT</t>
  </si>
  <si>
    <t>Depreciation and amortization</t>
  </si>
  <si>
    <t>Cash from operating activities</t>
  </si>
  <si>
    <t>Capital expenditures</t>
  </si>
  <si>
    <t>Cash from investing activities</t>
  </si>
  <si>
    <t>Net change in cash during period</t>
  </si>
  <si>
    <t>Maximum availability</t>
  </si>
  <si>
    <t>Compliance check</t>
  </si>
  <si>
    <t>Less: Minimum cash desired</t>
  </si>
  <si>
    <t>Equals: Excess cash at BOP</t>
  </si>
  <si>
    <t>Plus: Free cash flows generated during period</t>
  </si>
  <si>
    <t>Cash</t>
  </si>
  <si>
    <t>Interest rate on cash</t>
  </si>
  <si>
    <t>General assumptions</t>
  </si>
  <si>
    <t>Latest basic share count</t>
  </si>
  <si>
    <t>Weighted average cost of capital</t>
  </si>
  <si>
    <t>Free cash flow buildup</t>
  </si>
  <si>
    <t>EBIT</t>
  </si>
  <si>
    <t>tax rate</t>
  </si>
  <si>
    <t>EBIAT (NOPAT)</t>
  </si>
  <si>
    <t>Unlevered CFO</t>
  </si>
  <si>
    <t>Less: Capital expenditures</t>
  </si>
  <si>
    <t>Less: Purchases of intangible assets</t>
  </si>
  <si>
    <t>Unlevered FCF</t>
  </si>
  <si>
    <t>Discount factor</t>
  </si>
  <si>
    <t>Present value of Unlevered FCF</t>
  </si>
  <si>
    <t>Perpetuity approach</t>
  </si>
  <si>
    <t>Exit EBITDA multiple approach</t>
  </si>
  <si>
    <t>Terminal year EBITDA</t>
  </si>
  <si>
    <t>Terminal value EBITDA multiple</t>
  </si>
  <si>
    <t>Long term growth rate (g)</t>
  </si>
  <si>
    <t xml:space="preserve">Terminal value </t>
  </si>
  <si>
    <t>Present value of terminal value</t>
  </si>
  <si>
    <t>Present value of stage 1 cash flows</t>
  </si>
  <si>
    <t xml:space="preserve">Enterprise value </t>
  </si>
  <si>
    <t>Less: Net debt</t>
  </si>
  <si>
    <t>Equity value</t>
  </si>
  <si>
    <t>Diluted shares</t>
  </si>
  <si>
    <t>Equity value per share</t>
  </si>
  <si>
    <t>Cost of capital assumptions</t>
  </si>
  <si>
    <t>Cost of debt</t>
  </si>
  <si>
    <t>Debt and equivalents</t>
  </si>
  <si>
    <t xml:space="preserve">Debt as a % of total capital </t>
  </si>
  <si>
    <t>Risk free rate</t>
  </si>
  <si>
    <t>Beta</t>
  </si>
  <si>
    <t>Market risk premium</t>
  </si>
  <si>
    <t xml:space="preserve">Equity as % of total capital structure </t>
  </si>
  <si>
    <t>Cost of capital (WACC)</t>
  </si>
  <si>
    <t>Total proceeds ($mm)</t>
  </si>
  <si>
    <t>Total shares repurchased (mm)</t>
  </si>
  <si>
    <t>Net dilutive options</t>
  </si>
  <si>
    <t xml:space="preserve">Dilutive impact of shares from other securities </t>
  </si>
  <si>
    <t>Net diluted shares outstanding</t>
  </si>
  <si>
    <t>x</t>
  </si>
  <si>
    <t>Net Debt</t>
  </si>
  <si>
    <t>Perpetuity</t>
  </si>
  <si>
    <t>Enterprise value</t>
  </si>
  <si>
    <t>Fair value per share</t>
  </si>
  <si>
    <t>Exercise price</t>
  </si>
  <si>
    <t>In-the-money exercisable options</t>
  </si>
  <si>
    <t>Sensitivity analysis</t>
  </si>
  <si>
    <t>Exit EBITDA Multiple</t>
  </si>
  <si>
    <t>Assume cash flows are generated at:</t>
  </si>
  <si>
    <t>Middle of period</t>
  </si>
  <si>
    <t>Midperiod adjustment factor</t>
  </si>
  <si>
    <t>EBITDA % of plan</t>
  </si>
  <si>
    <r>
      <t>Normalized FCF</t>
    </r>
    <r>
      <rPr>
        <vertAlign val="superscript"/>
        <sz val="11"/>
        <color theme="1"/>
        <rFont val="Calibri"/>
        <family val="2"/>
        <scheme val="minor"/>
      </rPr>
      <t xml:space="preserve">t+1 </t>
    </r>
  </si>
  <si>
    <t>Implied TV exit EBITDA multiple</t>
  </si>
  <si>
    <t>Implied TV perpetual growth rate</t>
  </si>
  <si>
    <t>High</t>
  </si>
  <si>
    <t>Low</t>
  </si>
  <si>
    <t>Diff.</t>
  </si>
  <si>
    <t>52 week high low</t>
  </si>
  <si>
    <t>52 week high</t>
  </si>
  <si>
    <t>52 week low</t>
  </si>
  <si>
    <t>Date</t>
  </si>
  <si>
    <t>Open</t>
  </si>
  <si>
    <t>Close</t>
  </si>
  <si>
    <t>Volume</t>
  </si>
  <si>
    <t>52 Week Market High/Low</t>
  </si>
  <si>
    <t>Football field</t>
  </si>
  <si>
    <t>WACC:</t>
  </si>
  <si>
    <t>LTM EBITDA</t>
  </si>
  <si>
    <t>Long term growth rate (g):</t>
  </si>
  <si>
    <t>EBITDA at exit</t>
  </si>
  <si>
    <t>Offer value</t>
  </si>
  <si>
    <t>Buyout of equity</t>
  </si>
  <si>
    <t>Excess cash</t>
  </si>
  <si>
    <t>Refinancing of oldco debt</t>
  </si>
  <si>
    <t>Sponsor equity</t>
  </si>
  <si>
    <t>Total Uses</t>
  </si>
  <si>
    <t>Accrued expenses &amp; def revenues, EOP</t>
  </si>
  <si>
    <t>Accounts payable, EOP</t>
  </si>
  <si>
    <t>Accounts receivable, EOP</t>
  </si>
  <si>
    <t>Amortization</t>
  </si>
  <si>
    <t>Depreciation</t>
  </si>
  <si>
    <t>PP&amp;E</t>
  </si>
  <si>
    <t>Changes in net working capital</t>
  </si>
  <si>
    <t>Other liabilities</t>
  </si>
  <si>
    <t>As % of sales</t>
  </si>
  <si>
    <t>Mandatory amortization $</t>
  </si>
  <si>
    <t>Term Loan A</t>
  </si>
  <si>
    <t>Term Loan B</t>
  </si>
  <si>
    <t>Senior Note</t>
  </si>
  <si>
    <t>Sub Note</t>
  </si>
  <si>
    <t>Term Loan A, BOP</t>
  </si>
  <si>
    <t>Term Loan B, BOP</t>
  </si>
  <si>
    <t>Term Loan B, EOP</t>
  </si>
  <si>
    <t>Term Loan A, EOP</t>
  </si>
  <si>
    <t>Senior Note, EOP</t>
  </si>
  <si>
    <t>Senior Note, BOP</t>
  </si>
  <si>
    <t>Sub Note, EOP</t>
  </si>
  <si>
    <t>Sub Note, BOP</t>
  </si>
  <si>
    <t>Required debt principal payments</t>
  </si>
  <si>
    <t>Mandatory paydown $</t>
  </si>
  <si>
    <t>Post-revolver cash flows</t>
  </si>
  <si>
    <t>Cash sweep (paydown from excess cash flows)</t>
  </si>
  <si>
    <t>Discretionary Term A paydown</t>
  </si>
  <si>
    <t>Pre-revolver cash flows</t>
  </si>
  <si>
    <t>Discretionary Term B paydown</t>
  </si>
  <si>
    <t>Cash, BOP</t>
  </si>
  <si>
    <t>Cash, EOP</t>
  </si>
  <si>
    <t>CASH &amp; DEBT</t>
  </si>
  <si>
    <t>Revolver, BOP</t>
  </si>
  <si>
    <t>Revolver, EOP</t>
  </si>
  <si>
    <t xml:space="preserve">Cash, BOP </t>
  </si>
  <si>
    <t>Cash available (needed) to paydown (draw from) revolver</t>
  </si>
  <si>
    <t>RETURNS</t>
  </si>
  <si>
    <t>IRR</t>
  </si>
  <si>
    <t>Preferred stock</t>
  </si>
  <si>
    <t>Preferred stock, BOP</t>
  </si>
  <si>
    <t>Mandatory paydown (% of original)</t>
  </si>
  <si>
    <t>Preferred stock, EOP</t>
  </si>
  <si>
    <t>Net debt:</t>
  </si>
  <si>
    <t>EV / LTM EBITDA</t>
  </si>
  <si>
    <t>Offer value / per share</t>
  </si>
  <si>
    <t>% Premium / discount</t>
  </si>
  <si>
    <t>Ticker (if applicable)</t>
  </si>
  <si>
    <t>Current share price (if applicable)</t>
  </si>
  <si>
    <t>GENERAL INPUTS</t>
  </si>
  <si>
    <t>INITIAL VALUATION</t>
  </si>
  <si>
    <t>EXIT VALUATION</t>
  </si>
  <si>
    <t>Net Working Capital</t>
  </si>
  <si>
    <t>Other assets &amp; liabilities</t>
  </si>
  <si>
    <t>Initial</t>
  </si>
  <si>
    <t>EBITDA turns</t>
  </si>
  <si>
    <t>$ investment</t>
  </si>
  <si>
    <t>Total Sources</t>
  </si>
  <si>
    <t>Cash available for cash sweep</t>
  </si>
  <si>
    <t>Pref. stock</t>
  </si>
  <si>
    <t>Step</t>
  </si>
  <si>
    <t>EBITDA multiple at exit</t>
  </si>
  <si>
    <t>Financing</t>
  </si>
  <si>
    <t>% of Total Capital</t>
  </si>
  <si>
    <t>Expected IRR</t>
  </si>
  <si>
    <t>Sub. Note</t>
  </si>
  <si>
    <t>Mgmt equity</t>
  </si>
  <si>
    <t>PIK rate</t>
  </si>
  <si>
    <t>Cash rate</t>
  </si>
  <si>
    <t>PIK interest</t>
  </si>
  <si>
    <t>Sub Note - PIK interest</t>
  </si>
  <si>
    <t>Sub Note - Cash interest</t>
  </si>
  <si>
    <t>% AR</t>
  </si>
  <si>
    <t>Cash dividend</t>
  </si>
  <si>
    <t>Addback of PIK interest</t>
  </si>
  <si>
    <t>Cash-on-cash</t>
  </si>
  <si>
    <t>Sub Note at exit EBITDA multiple of:</t>
  </si>
  <si>
    <r>
      <t xml:space="preserve">Preferred Stock </t>
    </r>
    <r>
      <rPr>
        <sz val="11"/>
        <color theme="1"/>
        <rFont val="Calibri"/>
        <family val="2"/>
        <scheme val="minor"/>
      </rPr>
      <t>at exit EBITDA multiple of:</t>
    </r>
  </si>
  <si>
    <r>
      <t>Management Equity</t>
    </r>
    <r>
      <rPr>
        <sz val="11"/>
        <color theme="1"/>
        <rFont val="Calibri"/>
        <family val="2"/>
        <scheme val="minor"/>
      </rPr>
      <t xml:space="preserve"> at exit EBITDA multiple of:</t>
    </r>
  </si>
  <si>
    <r>
      <t xml:space="preserve">Sponsor's Equity </t>
    </r>
    <r>
      <rPr>
        <sz val="11"/>
        <color theme="1"/>
        <rFont val="Calibri"/>
        <family val="2"/>
        <scheme val="minor"/>
      </rPr>
      <t>at exit EBITDA multiple of:</t>
    </r>
  </si>
  <si>
    <t>% ownership</t>
  </si>
  <si>
    <t>% FD Ownership</t>
  </si>
  <si>
    <t>SOURCES OF FUNDS</t>
  </si>
  <si>
    <t>USES OF FUNDS</t>
  </si>
  <si>
    <t>Depreciation as a % of capex</t>
  </si>
  <si>
    <t>Mgmt rollover</t>
  </si>
  <si>
    <t>Yes</t>
  </si>
  <si>
    <t>Preferred dividend (cash)</t>
  </si>
  <si>
    <t>Cash sweep</t>
  </si>
  <si>
    <t>% of available cash used</t>
  </si>
  <si>
    <t>Multiple:</t>
  </si>
  <si>
    <t>Sub Note Equity Kicker</t>
  </si>
  <si>
    <t>Preferred</t>
  </si>
  <si>
    <t>Equity</t>
  </si>
  <si>
    <t>Kicker:</t>
  </si>
  <si>
    <t>BMC</t>
  </si>
  <si>
    <t>Other non-operating expense (enter as -)</t>
  </si>
  <si>
    <t>Restructuring and other nonrecurring charges</t>
  </si>
  <si>
    <t>Other current assets, EOP</t>
  </si>
  <si>
    <t>Other current assets as % of sales</t>
  </si>
  <si>
    <t>EBIT (GAAP)</t>
  </si>
  <si>
    <t>EBITDA reconciliation</t>
  </si>
  <si>
    <t>Purchases</t>
  </si>
  <si>
    <t>Purchases as % of revenue</t>
  </si>
  <si>
    <t>Amortization as a % of purchases</t>
  </si>
  <si>
    <t>Smoothing?</t>
  </si>
  <si>
    <t>Intangible assets</t>
  </si>
  <si>
    <t>LONG LIVED ASSETS</t>
  </si>
  <si>
    <t>Capex as a % of revenue</t>
  </si>
  <si>
    <t>3-Month LIBOR Rate (bps)</t>
  </si>
  <si>
    <t>LIBOR Spread</t>
  </si>
  <si>
    <t>LIBOR floor</t>
  </si>
  <si>
    <t>Coupon Rate</t>
  </si>
  <si>
    <t>INTEREST EXPENSE</t>
  </si>
  <si>
    <t>Offer price</t>
  </si>
  <si>
    <t>Out. shares</t>
  </si>
  <si>
    <t>In-the-$-shares</t>
  </si>
  <si>
    <t>Plus: Cash (latest filing)</t>
  </si>
  <si>
    <t>Basic shares outstanding (latest filing)</t>
  </si>
  <si>
    <t>Less: Gross Debt (latest filing)</t>
  </si>
  <si>
    <t>Latest closing share price date (f applicable)</t>
  </si>
  <si>
    <t>Select a valuation approach:</t>
  </si>
  <si>
    <t>EV / LTM EBITDA multiple at exit</t>
  </si>
  <si>
    <t>Explicit EBITDA</t>
  </si>
  <si>
    <t>Explicit offer/share</t>
  </si>
  <si>
    <t>Software development costs</t>
  </si>
  <si>
    <t>Fully diluted</t>
  </si>
  <si>
    <t>Total Assets</t>
  </si>
  <si>
    <t>Total Liabilities</t>
  </si>
  <si>
    <t>Balance check</t>
  </si>
  <si>
    <t>Goodwill and other assets</t>
  </si>
  <si>
    <t>Uses of funds</t>
  </si>
  <si>
    <t>Sources of funds</t>
  </si>
  <si>
    <t xml:space="preserve">Debt </t>
  </si>
  <si>
    <t>LBO Preferred stock</t>
  </si>
  <si>
    <t>Accounting</t>
  </si>
  <si>
    <t>Pro forma</t>
  </si>
  <si>
    <t>Total equity</t>
  </si>
  <si>
    <t>NM</t>
  </si>
  <si>
    <t>Pro forma adjustments</t>
  </si>
  <si>
    <t>PRO FORMA BALANCE SHEET ADJUSTMENTS</t>
  </si>
  <si>
    <t>PRO FORMA BALANCE SHEET</t>
  </si>
  <si>
    <t xml:space="preserve">Purchases of intangible assets and capitalized software development costs </t>
  </si>
  <si>
    <t>LBO</t>
  </si>
  <si>
    <t>Offer</t>
  </si>
  <si>
    <t>Price:</t>
  </si>
  <si>
    <t>EXPLICIT EBITDA (APPROACH 1) MUST BE SELECTED FOR DATA TABLE TO APPEAR</t>
  </si>
  <si>
    <t>Financing fees</t>
  </si>
  <si>
    <t>Term</t>
  </si>
  <si>
    <t>% fees</t>
  </si>
  <si>
    <t>EXPLICIT OFFER PRICE / SHARE (APPROACH 2) MUST BE SELECTED FOR DATA TABLE TO APPEAR</t>
  </si>
  <si>
    <t>Capitalized financing fees</t>
  </si>
  <si>
    <t>Fee amort / year</t>
  </si>
  <si>
    <t>Capitalized financing fees, BOP</t>
  </si>
  <si>
    <t>Capitalized financing fees, EOP</t>
  </si>
  <si>
    <t>Options outstanding</t>
  </si>
  <si>
    <t>Sponsor Hurdle Rate (Minimum IRR)</t>
  </si>
  <si>
    <t>EV / LTM EBITDA multiple</t>
  </si>
  <si>
    <t>Offer Price / Share At Various Sponsor Hurdle Rates</t>
  </si>
  <si>
    <t>Sponsor IRR At Various Leverage And Initial EBITDA Multiple Sensitivity</t>
  </si>
  <si>
    <t>Sponsor IRR At Various Leverage And Offer Price / Share Sensitivity</t>
  </si>
  <si>
    <t>Sponsor IRR @ Preferred &amp; Sub Note Equity Kicker Sensitivity</t>
  </si>
  <si>
    <t>EBITDA (LTM)</t>
  </si>
  <si>
    <t>Minimum cash desired</t>
  </si>
  <si>
    <t xml:space="preserve">SELECT FINANCIAL DATA / ASSMUPTIONS </t>
  </si>
  <si>
    <t>FEES</t>
  </si>
  <si>
    <t>% of offer value</t>
  </si>
  <si>
    <t>Fee</t>
  </si>
  <si>
    <t>Trans. fees</t>
  </si>
  <si>
    <t>Fees (transaction &amp; financing)</t>
  </si>
  <si>
    <t>Initial equity inv.</t>
  </si>
  <si>
    <t>Actual</t>
  </si>
  <si>
    <t>SENSITIVITY ANALYISIS</t>
  </si>
  <si>
    <t>Highlight IRR &gt;</t>
  </si>
  <si>
    <t>Gross Debt (input as a -)</t>
  </si>
  <si>
    <t>Model-derived offer value sanity check</t>
  </si>
  <si>
    <t>% Other Assets</t>
  </si>
  <si>
    <t>Equity, BOP</t>
  </si>
  <si>
    <t>Less: Dividends</t>
  </si>
  <si>
    <t>Plus: Net income</t>
  </si>
  <si>
    <t>Plus: SBC</t>
  </si>
  <si>
    <t>Equity, EOP</t>
  </si>
  <si>
    <t>Book value of equity</t>
  </si>
  <si>
    <t>PP&amp;E write up</t>
  </si>
  <si>
    <t>Intangible asset write up</t>
  </si>
  <si>
    <t>Useful life</t>
  </si>
  <si>
    <t>Purchase price</t>
  </si>
  <si>
    <t>Goodwill</t>
  </si>
  <si>
    <t>Stock sale</t>
  </si>
  <si>
    <t>Purchase price allocation</t>
  </si>
  <si>
    <t>Fari market value</t>
  </si>
  <si>
    <t>Select a tax type:</t>
  </si>
  <si>
    <t>Select an accounting type:</t>
  </si>
  <si>
    <t xml:space="preserve">Deal related GAAP accounting adjustments </t>
  </si>
  <si>
    <t>Changes in deferred tax liabilities</t>
  </si>
  <si>
    <t>Deal-related D&amp;A (enter as -)</t>
  </si>
  <si>
    <t xml:space="preserve">Deal-related D&amp;A </t>
  </si>
  <si>
    <t>Deferred tax liabilities</t>
  </si>
  <si>
    <t>Total write-ups</t>
  </si>
  <si>
    <t xml:space="preserve">DTLs created </t>
  </si>
  <si>
    <t>Annual reduction:</t>
  </si>
  <si>
    <t>Incremental dep:</t>
  </si>
  <si>
    <t>Incremental amort:</t>
  </si>
  <si>
    <t>Input write-up</t>
  </si>
  <si>
    <t>LBO Offer</t>
  </si>
  <si>
    <t>Premium (discount) to LBO offer</t>
  </si>
</sst>
</file>

<file path=xl/styles.xml><?xml version="1.0" encoding="utf-8"?>
<styleSheet xmlns="http://schemas.openxmlformats.org/spreadsheetml/2006/main" xmlns:mc="http://schemas.openxmlformats.org/markup-compatibility/2006" xmlns:x14ac="http://schemas.microsoft.com/office/spreadsheetml/2009/9/ac" mc:Ignorable="x14ac">
  <numFmts count="85">
    <numFmt numFmtId="5" formatCode="&quot;$&quot;#,##0_);\(&quot;$&quot;#,##0\)"/>
    <numFmt numFmtId="6" formatCode="&quot;$&quot;#,##0_);[Red]\(&quot;$&quot;#,##0\)"/>
    <numFmt numFmtId="7" formatCode="&quot;$&quot;#,##0.00_);\(&quot;$&quot;#,##0.00\)"/>
    <numFmt numFmtId="8" formatCode="&quot;$&quot;#,##0.00_);[Red]\(&quot;$&quot;#,##0.00\)"/>
    <numFmt numFmtId="43" formatCode="_(* #,##0.00_);_(* \(#,##0.00\);_(* &quot;-&quot;??_);_(@_)"/>
    <numFmt numFmtId="164" formatCode="&quot;$&quot;#,##0.00_);\(&quot;$&quot;#,##0.00\);@_)"/>
    <numFmt numFmtId="165" formatCode="#,##0.0_);\(#,##0.0\);@_)"/>
    <numFmt numFmtId="166" formatCode="0\A;[Red]0\A"/>
    <numFmt numFmtId="167" formatCode="0\P_);\(0\P\)"/>
    <numFmt numFmtId="168" formatCode="m/d/yy;@"/>
    <numFmt numFmtId="169" formatCode="0.0%_);\(0.0%\);@_)"/>
    <numFmt numFmtId="170" formatCode="0.0%"/>
    <numFmt numFmtId="171" formatCode="&quot;$&quot;#,##0.0_);\(&quot;$&quot;#,##0.0\)"/>
    <numFmt numFmtId="172" formatCode="0.00\x_);\(0.00\x\);@_)"/>
    <numFmt numFmtId="173" formatCode="#,##0.000_);\(#,##0.000\)"/>
    <numFmt numFmtId="174" formatCode="0.00%_);\(0.00%\);@_)"/>
    <numFmt numFmtId="175" formatCode="0%_);\(0%\);@_)"/>
    <numFmt numFmtId="176" formatCode="#,##0.00_);\(#,##0\)"/>
    <numFmt numFmtId="177" formatCode="#,##0.0%_);\(#,##0.0%\)"/>
    <numFmt numFmtId="178" formatCode="0.0\ \x"/>
    <numFmt numFmtId="179" formatCode="#,##0.00\ ;\(#,##0.00\)"/>
    <numFmt numFmtId="180" formatCode="&quot;$&quot;#,##0.00\ ;\(&quot;$&quot;#,##0.00\)"/>
    <numFmt numFmtId="181" formatCode="0.0%_);\(0.0%\)"/>
    <numFmt numFmtId="182" formatCode="0.000\ \x&quot;rate&quot;"/>
    <numFmt numFmtId="183" formatCode="#,##0.000_);[Red]\(#,##0.000\)"/>
    <numFmt numFmtId="184" formatCode="0.00_);\(0.00\);0.00"/>
    <numFmt numFmtId="185" formatCode="\C&quot;$&quot;#,##0.00_);[Red]\(&quot;$&quot;#,##0.00\)"/>
    <numFmt numFmtId="186" formatCode="#,##0%_);\(#,##0.0%\)"/>
    <numFmt numFmtId="187" formatCode="_(* #,##0.00000000_);_(* \(#,##0.00000000\);_(* &quot;-&quot;?_);_(@_)"/>
    <numFmt numFmtId="188" formatCode="mmm\-d\-yyyy"/>
    <numFmt numFmtId="189" formatCode="mmm\-yyyy"/>
    <numFmt numFmtId="190" formatCode="yyyy"/>
    <numFmt numFmtId="191" formatCode="0.00\x&quot;rate&quot;"/>
    <numFmt numFmtId="192" formatCode="0.0&quot;  &quot;"/>
    <numFmt numFmtId="193" formatCode="&quot;$&quot;#,##0.0\ ;[Red]\(&quot;$&quot;#,##0\)"/>
    <numFmt numFmtId="194" formatCode="_(&quot;$&quot;* #,##0.00_);_(&quot;$&quot;* \(#,##0.00\);_(&quot;$&quot;* &quot;-&quot;?_);_(@_)"/>
    <numFmt numFmtId="195" formatCode="&quot;$&quot;#,##0.000_);[Red]\(&quot;$&quot;#,##0.000\)"/>
    <numFmt numFmtId="196" formatCode="&quot;$&quot;#,##0.00&quot;A&quot;;[Red]\(&quot;$&quot;#,##0.00\)&quot;A&quot;"/>
    <numFmt numFmtId="197" formatCode="#,##0.0\ ;[Red]\(&quot;$&quot;#,##0\)"/>
    <numFmt numFmtId="198" formatCode="&quot;$&quot;#,##0.00&quot;E&quot;;[Red]\(&quot;$&quot;#,##0.00\)&quot;E&quot;"/>
    <numFmt numFmtId="199" formatCode="_([$€-2]* #,##0.00_);_([$€-2]* \(#,##0.00\);_([$€-2]* &quot;-&quot;??_)"/>
    <numFmt numFmtId="200" formatCode="#,##0.00;\(#,##0.00\)"/>
    <numFmt numFmtId="201" formatCode=".%\,\(0.0%%;\t"/>
    <numFmt numFmtId="202" formatCode="#,##0.0_);[Red]\(#,##0.0\)"/>
    <numFmt numFmtId="203" formatCode="0.0%_);[Red]\(0.0%\)"/>
    <numFmt numFmtId="204" formatCode="0.00_);\(0.00\);0.00_)"/>
    <numFmt numFmtId="205" formatCode="#,##0\x"/>
    <numFmt numFmtId="206" formatCode="&quot;TKR&quot;\ 0"/>
    <numFmt numFmtId="207" formatCode=".%\,\(0.%%;\t"/>
    <numFmt numFmtId="208" formatCode="&quot;$&quot;#,###.0\ \ "/>
    <numFmt numFmtId="209" formatCode="#,##0.00\x_);[Red]\(#,##0.00\x\)"/>
    <numFmt numFmtId="210" formatCode="#,##0.0_);\(#,##0.0\)"/>
    <numFmt numFmtId="211" formatCode="#,##0.00\x_);[Red]\(#,##0.00\x\);&quot;--  &quot;"/>
    <numFmt numFmtId="212" formatCode="_(* #,##0.0_);_(* \(#,##0.0\);_(* &quot;-&quot;??_);_(@_)"/>
    <numFmt numFmtId="213" formatCode="0.0\x_);[Red]\(0.0\x\)"/>
    <numFmt numFmtId="214" formatCode="0.0\ "/>
    <numFmt numFmtId="215" formatCode="&quot;$&quot;#,##0.0;\(&quot;$&quot;#,##0.00\)"/>
    <numFmt numFmtId="216" formatCode="#,##0.00%_);\(#,##0.00%\)"/>
    <numFmt numFmtId="217" formatCode="0.00\%;\-0.00\%;0.00\%"/>
    <numFmt numFmtId="218" formatCode="0.0%\ ;\(0.0%\)"/>
    <numFmt numFmtId="219" formatCode="_(&quot;$&quot;* #,##0_);_(&quot;$&quot;* \(#,##0\);_(&quot;$&quot;* &quot;-&quot;??_);_(@_)"/>
    <numFmt numFmtId="220" formatCode="&quot;$&quot;0.00\ "/>
    <numFmt numFmtId="221" formatCode="0.0\ \ \ \ \ "/>
    <numFmt numFmtId="222" formatCode="0.00\x;\-0.00\x;0.00\x"/>
    <numFmt numFmtId="223" formatCode="&quot;$&quot;#,##0.000_);\(&quot;$&quot;#,##0.000\)"/>
    <numFmt numFmtId="224" formatCode="#,##0.0_);\(#,##0.0\);_(* &quot;-&quot;_)"/>
    <numFmt numFmtId="225" formatCode="_(&quot;$&quot;* #,##0.00_);_(&quot;$&quot;* \(#,##0.00\);_(* &quot;-&quot;_);_(@_)"/>
    <numFmt numFmtId="226" formatCode="0.00%_);[Red]\(0.00%\)"/>
    <numFmt numFmtId="227" formatCode="#,##0.0\x_);\(#,##0.0\x\)"/>
    <numFmt numFmtId="228" formatCode="#,##0.00\x_);\(#,##0.00\x\)"/>
    <numFmt numFmtId="229" formatCode="###0&quot;E&quot;_)"/>
    <numFmt numFmtId="230" formatCode="0.0\x_);\(0.0\x\);@_)"/>
    <numFmt numFmtId="231" formatCode="#,##0.0_);\(#,##0.0\);\-_);@_)"/>
    <numFmt numFmtId="232" formatCode="#,##0.000"/>
    <numFmt numFmtId="233" formatCode="0.00\x__"/>
    <numFmt numFmtId="234" formatCode="\L\ \+\ 0%"/>
    <numFmt numFmtId="235" formatCode="0.000%_);\(0.000%\);@_)"/>
    <numFmt numFmtId="236" formatCode="&quot;Approach&quot;\ 0"/>
    <numFmt numFmtId="237" formatCode="0.0"/>
    <numFmt numFmtId="238" formatCode="0\ &quot;yrs&quot;"/>
    <numFmt numFmtId="239" formatCode="&quot;Tranche&quot;\ 0"/>
    <numFmt numFmtId="240" formatCode="&quot;Assumed exit on &quot;[$-409]mmmm\ d\,\ yyyy;@"/>
    <numFmt numFmtId="241" formatCode="0\A"/>
    <numFmt numFmtId="242" formatCode="General\ &quot;yrs&quot;"/>
    <numFmt numFmtId="243" formatCode="0.000%"/>
  </numFmts>
  <fonts count="97">
    <font>
      <sz val="11"/>
      <color theme="1"/>
      <name val="Calibri"/>
      <family val="2"/>
      <scheme val="minor"/>
    </font>
    <font>
      <b/>
      <sz val="11"/>
      <color theme="1"/>
      <name val="Calibri"/>
      <family val="2"/>
      <scheme val="minor"/>
    </font>
    <font>
      <b/>
      <sz val="20"/>
      <color theme="1"/>
      <name val="Calibri"/>
      <family val="2"/>
      <scheme val="minor"/>
    </font>
    <font>
      <i/>
      <sz val="11"/>
      <color rgb="FF000000"/>
      <name val="Calibri"/>
      <family val="2"/>
      <scheme val="minor"/>
    </font>
    <font>
      <sz val="11"/>
      <color rgb="FF000000"/>
      <name val="Calibri"/>
      <family val="2"/>
      <scheme val="minor"/>
    </font>
    <font>
      <sz val="11"/>
      <color rgb="FF0000FF"/>
      <name val="Calibri"/>
      <family val="2"/>
      <scheme val="minor"/>
    </font>
    <font>
      <b/>
      <sz val="11"/>
      <color rgb="FF000000"/>
      <name val="Calibri"/>
      <family val="2"/>
      <scheme val="minor"/>
    </font>
    <font>
      <b/>
      <sz val="11"/>
      <color rgb="FF0000FF"/>
      <name val="Calibri"/>
      <family val="2"/>
      <scheme val="minor"/>
    </font>
    <font>
      <b/>
      <sz val="9"/>
      <color indexed="81"/>
      <name val="Tahoma"/>
      <family val="2"/>
    </font>
    <font>
      <sz val="9"/>
      <color indexed="81"/>
      <name val="Tahoma"/>
      <family val="2"/>
    </font>
    <font>
      <sz val="10"/>
      <name val="GillSans"/>
    </font>
    <font>
      <sz val="8"/>
      <color indexed="49"/>
      <name val="Times New Roman"/>
      <family val="1"/>
    </font>
    <font>
      <sz val="10"/>
      <name val="Arial"/>
      <family val="2"/>
    </font>
    <font>
      <sz val="10"/>
      <name val="Trebuchet MS"/>
      <family val="2"/>
    </font>
    <font>
      <sz val="11"/>
      <color indexed="8"/>
      <name val="Calibri"/>
      <family val="2"/>
    </font>
    <font>
      <sz val="11"/>
      <color indexed="9"/>
      <name val="Calibri"/>
      <family val="2"/>
    </font>
    <font>
      <sz val="11"/>
      <color indexed="20"/>
      <name val="Calibri"/>
      <family val="2"/>
    </font>
    <font>
      <sz val="8"/>
      <name val="Times New Roman"/>
      <family val="1"/>
    </font>
    <font>
      <sz val="10"/>
      <name val="Times New Roman"/>
      <family val="1"/>
    </font>
    <font>
      <b/>
      <sz val="18"/>
      <name val="Tms Rmn"/>
    </font>
    <font>
      <b/>
      <sz val="11"/>
      <color indexed="52"/>
      <name val="Calibri"/>
      <family val="2"/>
    </font>
    <font>
      <b/>
      <sz val="11"/>
      <color indexed="9"/>
      <name val="Calibri"/>
      <family val="2"/>
    </font>
    <font>
      <b/>
      <sz val="7"/>
      <name val="GillSans"/>
    </font>
    <font>
      <sz val="10"/>
      <name val="Geneva"/>
    </font>
    <font>
      <sz val="24"/>
      <name val="Arial"/>
      <family val="2"/>
    </font>
    <font>
      <sz val="8"/>
      <name val="Arial"/>
      <family val="2"/>
    </font>
    <font>
      <sz val="10"/>
      <name val="Helvetica"/>
      <family val="2"/>
    </font>
    <font>
      <b/>
      <sz val="8"/>
      <name val="Arial"/>
      <family val="2"/>
    </font>
    <font>
      <b/>
      <sz val="8"/>
      <name val="Times New Roman"/>
      <family val="1"/>
    </font>
    <font>
      <i/>
      <sz val="11"/>
      <color indexed="23"/>
      <name val="Calibri"/>
      <family val="2"/>
    </font>
    <font>
      <sz val="11"/>
      <color indexed="17"/>
      <name val="Calibri"/>
      <family val="2"/>
    </font>
    <font>
      <i/>
      <sz val="8"/>
      <color indexed="17"/>
      <name val="Times New Roman"/>
      <family val="1"/>
    </font>
    <font>
      <sz val="8"/>
      <color indexed="21"/>
      <name val="Arial"/>
      <family val="2"/>
    </font>
    <font>
      <b/>
      <sz val="15"/>
      <color indexed="56"/>
      <name val="Calibri"/>
      <family val="2"/>
    </font>
    <font>
      <b/>
      <sz val="13"/>
      <color indexed="56"/>
      <name val="Calibri"/>
      <family val="2"/>
    </font>
    <font>
      <b/>
      <sz val="11"/>
      <color indexed="56"/>
      <name val="Calibri"/>
      <family val="2"/>
    </font>
    <font>
      <sz val="10"/>
      <color indexed="12"/>
      <name val="Trebuchet MS"/>
      <family val="2"/>
    </font>
    <font>
      <sz val="10"/>
      <name val="MS Sans Serif"/>
      <family val="2"/>
    </font>
    <font>
      <sz val="11"/>
      <color indexed="62"/>
      <name val="Calibri"/>
      <family val="2"/>
    </font>
    <font>
      <b/>
      <sz val="10"/>
      <color indexed="9"/>
      <name val="Tms Rmn"/>
    </font>
    <font>
      <b/>
      <sz val="10"/>
      <name val="Arial"/>
      <family val="2"/>
    </font>
    <font>
      <sz val="11"/>
      <color indexed="52"/>
      <name val="Calibri"/>
      <family val="2"/>
    </font>
    <font>
      <sz val="8"/>
      <color indexed="18"/>
      <name val="Times New Roman"/>
      <family val="1"/>
    </font>
    <font>
      <sz val="11"/>
      <color indexed="60"/>
      <name val="Calibri"/>
      <family val="2"/>
    </font>
    <font>
      <b/>
      <sz val="11"/>
      <color indexed="63"/>
      <name val="Calibri"/>
      <family val="2"/>
    </font>
    <font>
      <sz val="10"/>
      <name val="Palatino"/>
    </font>
    <font>
      <sz val="12"/>
      <name val="Baskerville MT"/>
    </font>
    <font>
      <u/>
      <sz val="10"/>
      <name val="GillSans"/>
      <family val="2"/>
    </font>
    <font>
      <sz val="10"/>
      <name val="GillSans Light"/>
    </font>
    <font>
      <b/>
      <sz val="12"/>
      <name val="Arial"/>
      <family val="2"/>
    </font>
    <font>
      <b/>
      <sz val="16"/>
      <name val="Arial"/>
      <family val="2"/>
    </font>
    <font>
      <sz val="8"/>
      <name val="MS Sans Serif"/>
      <family val="2"/>
    </font>
    <font>
      <sz val="8.25"/>
      <color indexed="8"/>
      <name val="Arial"/>
      <family val="2"/>
    </font>
    <font>
      <b/>
      <u val="singleAccounting"/>
      <sz val="8"/>
      <color indexed="8"/>
      <name val="Arial"/>
      <family val="2"/>
    </font>
    <font>
      <sz val="8"/>
      <color indexed="8"/>
      <name val="Arial"/>
      <family val="2"/>
    </font>
    <font>
      <sz val="8"/>
      <color indexed="39"/>
      <name val="Arial"/>
      <family val="2"/>
    </font>
    <font>
      <sz val="7"/>
      <name val="Times New Roman"/>
      <family val="1"/>
    </font>
    <font>
      <sz val="7"/>
      <color indexed="17"/>
      <name val="Times New Roman"/>
      <family val="1"/>
    </font>
    <font>
      <sz val="7"/>
      <color indexed="18"/>
      <name val="Times New Roman"/>
      <family val="1"/>
    </font>
    <font>
      <b/>
      <sz val="12"/>
      <name val="GillSans"/>
      <family val="2"/>
    </font>
    <font>
      <b/>
      <sz val="18"/>
      <color indexed="56"/>
      <name val="Cambria"/>
      <family val="2"/>
    </font>
    <font>
      <b/>
      <sz val="11"/>
      <name val="GillSans"/>
    </font>
    <font>
      <b/>
      <sz val="8"/>
      <color indexed="18"/>
      <name val="Times New Roman"/>
      <family val="1"/>
    </font>
    <font>
      <i/>
      <sz val="8"/>
      <name val="Times New Roman"/>
      <family val="1"/>
    </font>
    <font>
      <u/>
      <sz val="11"/>
      <name val="GillSans"/>
      <family val="2"/>
    </font>
    <font>
      <b/>
      <sz val="11"/>
      <color indexed="8"/>
      <name val="Calibri"/>
      <family val="2"/>
    </font>
    <font>
      <sz val="11"/>
      <color indexed="10"/>
      <name val="Calibri"/>
      <family val="2"/>
    </font>
    <font>
      <b/>
      <sz val="11"/>
      <color rgb="FF008000"/>
      <name val="Calibri"/>
      <family val="2"/>
      <scheme val="minor"/>
    </font>
    <font>
      <i/>
      <sz val="11"/>
      <color theme="1"/>
      <name val="Calibri"/>
      <family val="2"/>
      <scheme val="minor"/>
    </font>
    <font>
      <i/>
      <sz val="11"/>
      <color rgb="FF0000FF"/>
      <name val="Calibri"/>
      <family val="2"/>
      <scheme val="minor"/>
    </font>
    <font>
      <u/>
      <sz val="11"/>
      <color theme="1"/>
      <name val="Calibri"/>
      <family val="2"/>
      <scheme val="minor"/>
    </font>
    <font>
      <sz val="11"/>
      <name val="Calibri"/>
      <family val="2"/>
      <scheme val="minor"/>
    </font>
    <font>
      <sz val="11"/>
      <color rgb="FF008000"/>
      <name val="Calibri"/>
      <family val="2"/>
      <scheme val="minor"/>
    </font>
    <font>
      <b/>
      <sz val="11"/>
      <color indexed="8"/>
      <name val="Calibri"/>
      <family val="2"/>
      <scheme val="minor"/>
    </font>
    <font>
      <vertAlign val="superscript"/>
      <sz val="11"/>
      <color theme="1"/>
      <name val="Calibri"/>
      <family val="2"/>
      <scheme val="minor"/>
    </font>
    <font>
      <sz val="11"/>
      <color indexed="12"/>
      <name val="Calibri"/>
      <family val="2"/>
      <scheme val="minor"/>
    </font>
    <font>
      <i/>
      <sz val="11"/>
      <color rgb="FF008000"/>
      <name val="Calibri"/>
      <family val="2"/>
      <scheme val="minor"/>
    </font>
    <font>
      <u val="singleAccounting"/>
      <sz val="11"/>
      <color theme="1"/>
      <name val="Calibri"/>
      <family val="2"/>
      <scheme val="minor"/>
    </font>
    <font>
      <sz val="8"/>
      <color theme="1"/>
      <name val="Calibri"/>
      <family val="2"/>
      <scheme val="minor"/>
    </font>
    <font>
      <b/>
      <sz val="8"/>
      <color rgb="FF0000FF"/>
      <name val="Calibri"/>
      <family val="2"/>
      <scheme val="minor"/>
    </font>
    <font>
      <i/>
      <sz val="10"/>
      <color rgb="FF0000FF"/>
      <name val="Calibri"/>
      <family val="2"/>
      <scheme val="minor"/>
    </font>
    <font>
      <i/>
      <sz val="10"/>
      <color rgb="FF000000"/>
      <name val="Calibri"/>
      <family val="2"/>
      <scheme val="minor"/>
    </font>
    <font>
      <b/>
      <sz val="13"/>
      <color theme="1"/>
      <name val="Calibri"/>
      <family val="2"/>
      <scheme val="minor"/>
    </font>
    <font>
      <i/>
      <u/>
      <sz val="11"/>
      <color theme="1"/>
      <name val="Calibri"/>
      <family val="2"/>
      <scheme val="minor"/>
    </font>
    <font>
      <u val="singleAccounting"/>
      <sz val="10"/>
      <color theme="1"/>
      <name val="Calibri"/>
      <family val="2"/>
      <scheme val="minor"/>
    </font>
    <font>
      <u/>
      <sz val="11"/>
      <color rgb="FF000000"/>
      <name val="Calibri"/>
      <family val="2"/>
      <scheme val="minor"/>
    </font>
    <font>
      <b/>
      <i/>
      <sz val="11"/>
      <color theme="1"/>
      <name val="Calibri"/>
      <family val="2"/>
      <scheme val="minor"/>
    </font>
    <font>
      <i/>
      <sz val="11"/>
      <color indexed="12"/>
      <name val="Calibri"/>
      <family val="2"/>
      <scheme val="minor"/>
    </font>
    <font>
      <sz val="10"/>
      <color theme="1"/>
      <name val="Calibri"/>
      <family val="2"/>
      <scheme val="minor"/>
    </font>
    <font>
      <i/>
      <sz val="10"/>
      <color theme="1"/>
      <name val="Calibri"/>
      <family val="2"/>
      <scheme val="minor"/>
    </font>
    <font>
      <u/>
      <sz val="10"/>
      <color theme="1"/>
      <name val="Calibri"/>
      <family val="2"/>
      <scheme val="minor"/>
    </font>
    <font>
      <b/>
      <sz val="11"/>
      <color rgb="FFFF0000"/>
      <name val="Calibri"/>
      <family val="2"/>
      <scheme val="minor"/>
    </font>
    <font>
      <i/>
      <sz val="9"/>
      <color indexed="81"/>
      <name val="Tahoma"/>
      <family val="2"/>
    </font>
    <font>
      <i/>
      <sz val="11"/>
      <color indexed="8"/>
      <name val="Calibri"/>
      <family val="2"/>
      <scheme val="minor"/>
    </font>
    <font>
      <b/>
      <i/>
      <sz val="11"/>
      <color indexed="8"/>
      <name val="Calibri"/>
      <family val="2"/>
      <scheme val="minor"/>
    </font>
    <font>
      <u/>
      <sz val="9"/>
      <color indexed="81"/>
      <name val="Tahoma"/>
      <family val="2"/>
    </font>
    <font>
      <b/>
      <i/>
      <sz val="10"/>
      <color theme="1"/>
      <name val="Calibri"/>
      <family val="2"/>
      <scheme val="minor"/>
    </font>
  </fonts>
  <fills count="33">
    <fill>
      <patternFill patternType="none"/>
    </fill>
    <fill>
      <patternFill patternType="gray125"/>
    </fill>
    <fill>
      <patternFill patternType="solid">
        <fgColor indexed="22"/>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lightGray">
        <fgColor indexed="12"/>
      </patternFill>
    </fill>
    <fill>
      <patternFill patternType="solid">
        <fgColor indexed="26"/>
        <bgColor indexed="64"/>
      </patternFill>
    </fill>
    <fill>
      <patternFill patternType="solid">
        <fgColor indexed="15"/>
        <bgColor indexed="64"/>
      </patternFill>
    </fill>
    <fill>
      <patternFill patternType="solid">
        <fgColor indexed="43"/>
      </patternFill>
    </fill>
    <fill>
      <patternFill patternType="solid">
        <fgColor indexed="8"/>
        <bgColor indexed="64"/>
      </patternFill>
    </fill>
    <fill>
      <patternFill patternType="solid">
        <fgColor indexed="13"/>
        <bgColor indexed="64"/>
      </patternFill>
    </fill>
    <fill>
      <patternFill patternType="solid">
        <fgColor indexed="26"/>
      </patternFill>
    </fill>
    <fill>
      <patternFill patternType="solid">
        <fgColor indexed="61"/>
        <bgColor indexed="64"/>
      </patternFill>
    </fill>
    <fill>
      <patternFill patternType="solid">
        <fgColor rgb="FFFFFF99"/>
        <bgColor indexed="64"/>
      </patternFill>
    </fill>
    <fill>
      <patternFill patternType="solid">
        <fgColor rgb="FFCCFFFF"/>
        <bgColor indexed="64"/>
      </patternFill>
    </fill>
  </fills>
  <borders count="35">
    <border>
      <left/>
      <right/>
      <top/>
      <bottom/>
      <diagonal/>
    </border>
    <border>
      <left/>
      <right/>
      <top style="medium">
        <color rgb="FF000000"/>
      </top>
      <bottom style="medium">
        <color rgb="FF000000"/>
      </bottom>
      <diagonal/>
    </border>
    <border>
      <left/>
      <right/>
      <top/>
      <bottom style="thin">
        <color rgb="FF000000"/>
      </bottom>
      <diagonal/>
    </border>
    <border>
      <left/>
      <right/>
      <top/>
      <bottom style="medium">
        <color rgb="FF000000"/>
      </bottom>
      <diagonal/>
    </border>
    <border>
      <left style="thin">
        <color rgb="FF000000"/>
      </left>
      <right/>
      <top style="thin">
        <color rgb="FF000000"/>
      </top>
      <bottom/>
      <diagonal/>
    </border>
    <border>
      <left style="thin">
        <color indexed="23"/>
      </left>
      <right style="thin">
        <color indexed="23"/>
      </right>
      <top style="thin">
        <color indexed="23"/>
      </top>
      <bottom style="thin">
        <color indexed="23"/>
      </bottom>
      <diagonal/>
    </border>
    <border>
      <left/>
      <right/>
      <top/>
      <bottom style="double">
        <color indexed="64"/>
      </bottom>
      <diagonal/>
    </border>
    <border>
      <left style="double">
        <color indexed="63"/>
      </left>
      <right style="double">
        <color indexed="63"/>
      </right>
      <top style="double">
        <color indexed="63"/>
      </top>
      <bottom style="double">
        <color indexed="63"/>
      </bottom>
      <diagonal/>
    </border>
    <border>
      <left/>
      <right/>
      <top/>
      <bottom style="thin">
        <color indexed="64"/>
      </bottom>
      <diagonal/>
    </border>
    <border>
      <left/>
      <right style="thin">
        <color indexed="64"/>
      </right>
      <top/>
      <bottom/>
      <diagonal/>
    </border>
    <border>
      <left style="thin">
        <color indexed="9"/>
      </left>
      <right style="thin">
        <color indexed="9"/>
      </right>
      <top/>
      <bottom/>
      <diagonal/>
    </border>
    <border>
      <left style="thin">
        <color indexed="64"/>
      </left>
      <right style="thin">
        <color indexed="64"/>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8"/>
      </left>
      <right style="thin">
        <color indexed="8"/>
      </right>
      <top style="thin">
        <color indexed="8"/>
      </top>
      <bottom style="thin">
        <color indexed="8"/>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style="thin">
        <color indexed="64"/>
      </right>
      <top style="thin">
        <color indexed="64"/>
      </top>
      <bottom/>
      <diagonal/>
    </border>
    <border>
      <left/>
      <right/>
      <top/>
      <bottom style="thick">
        <color indexed="64"/>
      </bottom>
      <diagonal/>
    </border>
    <border>
      <left/>
      <right/>
      <top style="thin">
        <color indexed="62"/>
      </top>
      <bottom style="double">
        <color indexed="62"/>
      </bottom>
      <diagonal/>
    </border>
    <border>
      <left/>
      <right/>
      <top style="thin">
        <color rgb="FF000000"/>
      </top>
      <bottom style="thin">
        <color rgb="FF000000"/>
      </bottom>
      <diagonal/>
    </border>
    <border>
      <left/>
      <right style="thin">
        <color rgb="FF000000"/>
      </right>
      <top/>
      <bottom/>
      <diagonal/>
    </border>
    <border>
      <left style="thin">
        <color rgb="FF000000"/>
      </left>
      <right style="thin">
        <color rgb="FF000000"/>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bottom/>
      <diagonal/>
    </border>
    <border>
      <left style="thin">
        <color rgb="FF000000"/>
      </left>
      <right/>
      <top/>
      <bottom style="thin">
        <color rgb="FF000000"/>
      </bottom>
      <diagonal/>
    </border>
    <border>
      <left/>
      <right/>
      <top style="thin">
        <color rgb="FF000000"/>
      </top>
      <bottom/>
      <diagonal/>
    </border>
    <border>
      <left/>
      <right style="thin">
        <color rgb="FF000000"/>
      </right>
      <top style="thin">
        <color rgb="FF000000"/>
      </top>
      <bottom/>
      <diagonal/>
    </border>
  </borders>
  <cellStyleXfs count="187">
    <xf numFmtId="0" fontId="0" fillId="0" borderId="0"/>
    <xf numFmtId="0" fontId="10" fillId="0" borderId="0"/>
    <xf numFmtId="176" fontId="10" fillId="0" borderId="0">
      <alignment horizontal="right"/>
    </xf>
    <xf numFmtId="177" fontId="10" fillId="2" borderId="0"/>
    <xf numFmtId="178" fontId="10" fillId="2" borderId="0"/>
    <xf numFmtId="177" fontId="10" fillId="2" borderId="0"/>
    <xf numFmtId="179" fontId="10" fillId="2" borderId="0"/>
    <xf numFmtId="180" fontId="10" fillId="2" borderId="0">
      <alignment horizontal="right"/>
    </xf>
    <xf numFmtId="181" fontId="11" fillId="0" borderId="0" applyFont="0" applyFill="0" applyBorder="0" applyAlignment="0" applyProtection="0"/>
    <xf numFmtId="0" fontId="12" fillId="0" borderId="0" applyNumberFormat="0" applyFont="0" applyFill="0" applyBorder="0" applyAlignment="0" applyProtection="0"/>
    <xf numFmtId="182" fontId="13" fillId="0" borderId="0"/>
    <xf numFmtId="0" fontId="14" fillId="3" borderId="0" applyNumberFormat="0" applyBorder="0" applyAlignment="0" applyProtection="0"/>
    <xf numFmtId="0" fontId="14" fillId="4" borderId="0" applyNumberFormat="0" applyBorder="0" applyAlignment="0" applyProtection="0"/>
    <xf numFmtId="0" fontId="14" fillId="5" borderId="0" applyNumberFormat="0" applyBorder="0" applyAlignment="0" applyProtection="0"/>
    <xf numFmtId="0" fontId="14" fillId="6" borderId="0" applyNumberFormat="0" applyBorder="0" applyAlignment="0" applyProtection="0"/>
    <xf numFmtId="0" fontId="14" fillId="7" borderId="0" applyNumberFormat="0" applyBorder="0" applyAlignment="0" applyProtection="0"/>
    <xf numFmtId="0" fontId="14" fillId="8" borderId="0" applyNumberFormat="0" applyBorder="0" applyAlignment="0" applyProtection="0"/>
    <xf numFmtId="0" fontId="14" fillId="9" borderId="0" applyNumberFormat="0" applyBorder="0" applyAlignment="0" applyProtection="0"/>
    <xf numFmtId="0" fontId="14" fillId="10" borderId="0" applyNumberFormat="0" applyBorder="0" applyAlignment="0" applyProtection="0"/>
    <xf numFmtId="0" fontId="14" fillId="11" borderId="0" applyNumberFormat="0" applyBorder="0" applyAlignment="0" applyProtection="0"/>
    <xf numFmtId="0" fontId="14" fillId="6" borderId="0" applyNumberFormat="0" applyBorder="0" applyAlignment="0" applyProtection="0"/>
    <xf numFmtId="0" fontId="14" fillId="9" borderId="0" applyNumberFormat="0" applyBorder="0" applyAlignment="0" applyProtection="0"/>
    <xf numFmtId="0" fontId="14" fillId="12" borderId="0" applyNumberFormat="0" applyBorder="0" applyAlignment="0" applyProtection="0"/>
    <xf numFmtId="0" fontId="15" fillId="13" borderId="0" applyNumberFormat="0" applyBorder="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6" borderId="0" applyNumberFormat="0" applyBorder="0" applyAlignment="0" applyProtection="0"/>
    <xf numFmtId="0" fontId="15" fillId="17"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20" borderId="0" applyNumberFormat="0" applyBorder="0" applyAlignment="0" applyProtection="0"/>
    <xf numFmtId="0" fontId="13" fillId="0" borderId="0"/>
    <xf numFmtId="0" fontId="16" fillId="4" borderId="0" applyNumberFormat="0" applyBorder="0" applyAlignment="0" applyProtection="0"/>
    <xf numFmtId="183" fontId="17" fillId="0" borderId="0" applyFont="0" applyFill="0" applyBorder="0" applyAlignment="0" applyProtection="0"/>
    <xf numFmtId="38" fontId="17" fillId="0" borderId="0" applyFill="0" applyBorder="0" applyAlignment="0" applyProtection="0">
      <protection locked="0"/>
    </xf>
    <xf numFmtId="0" fontId="18" fillId="0" borderId="0"/>
    <xf numFmtId="37" fontId="19" fillId="0" borderId="0">
      <alignment horizontal="centerContinuous"/>
    </xf>
    <xf numFmtId="0" fontId="20" fillId="21" borderId="5" applyNumberFormat="0" applyAlignment="0" applyProtection="0"/>
    <xf numFmtId="183" fontId="17" fillId="0" borderId="0" applyFont="0" applyFill="0" applyBorder="0" applyAlignment="0" applyProtection="0">
      <protection locked="0"/>
    </xf>
    <xf numFmtId="183" fontId="17" fillId="0" borderId="6" applyFont="0" applyFill="0" applyAlignment="0" applyProtection="0"/>
    <xf numFmtId="0" fontId="21" fillId="22" borderId="7" applyNumberFormat="0" applyAlignment="0" applyProtection="0"/>
    <xf numFmtId="0" fontId="12" fillId="0" borderId="0">
      <alignment horizontal="center" wrapText="1"/>
      <protection hidden="1"/>
    </xf>
    <xf numFmtId="0" fontId="22" fillId="0" borderId="8" applyNumberFormat="0" applyFill="0" applyBorder="0" applyProtection="0">
      <alignment horizontal="left" vertical="center"/>
    </xf>
    <xf numFmtId="0" fontId="22" fillId="0" borderId="8" applyNumberFormat="0" applyFill="0" applyBorder="0" applyProtection="0">
      <alignment horizontal="right" vertical="center"/>
    </xf>
    <xf numFmtId="43" fontId="12" fillId="0" borderId="0" applyFont="0" applyFill="0" applyBorder="0" applyAlignment="0" applyProtection="0"/>
    <xf numFmtId="37" fontId="23" fillId="0" borderId="0" applyFont="0" applyFill="0" applyBorder="0" applyAlignment="0" applyProtection="0"/>
    <xf numFmtId="39" fontId="23" fillId="0" borderId="0" applyFont="0" applyFill="0" applyBorder="0" applyAlignment="0" applyProtection="0"/>
    <xf numFmtId="0" fontId="24" fillId="23" borderId="0">
      <alignment horizontal="center" vertical="center" wrapText="1"/>
    </xf>
    <xf numFmtId="184" fontId="12" fillId="0" borderId="0" applyFill="0" applyBorder="0">
      <alignment horizontal="right"/>
      <protection locked="0"/>
    </xf>
    <xf numFmtId="0" fontId="25" fillId="0" borderId="0" applyFont="0" applyFill="0" applyBorder="0" applyAlignment="0"/>
    <xf numFmtId="7" fontId="26" fillId="0" borderId="0" applyFont="0" applyFill="0" applyBorder="0" applyAlignment="0" applyProtection="0"/>
    <xf numFmtId="5" fontId="23" fillId="0" borderId="0" applyFont="0" applyFill="0" applyBorder="0" applyAlignment="0" applyProtection="0"/>
    <xf numFmtId="185" fontId="13" fillId="0" borderId="0" applyFill="0" applyBorder="0" applyProtection="0">
      <alignment horizontal="right"/>
    </xf>
    <xf numFmtId="186" fontId="10" fillId="2" borderId="9">
      <alignment horizontal="right"/>
    </xf>
    <xf numFmtId="187" fontId="10" fillId="2" borderId="9">
      <alignment horizontal="right"/>
    </xf>
    <xf numFmtId="186" fontId="10" fillId="2" borderId="9">
      <alignment horizontal="right"/>
    </xf>
    <xf numFmtId="15" fontId="27" fillId="0" borderId="0" applyFill="0" applyBorder="0" applyAlignment="0"/>
    <xf numFmtId="188" fontId="25" fillId="24" borderId="0" applyFont="0" applyFill="0" applyBorder="0" applyAlignment="0" applyProtection="0"/>
    <xf numFmtId="189" fontId="27" fillId="0" borderId="8"/>
    <xf numFmtId="14" fontId="28" fillId="0" borderId="0" applyFont="0" applyFill="0" applyBorder="0" applyAlignment="0" applyProtection="0">
      <alignment horizontal="center"/>
    </xf>
    <xf numFmtId="190" fontId="28" fillId="0" borderId="0" applyFont="0" applyFill="0" applyBorder="0" applyAlignment="0" applyProtection="0">
      <alignment horizontal="center"/>
    </xf>
    <xf numFmtId="191" fontId="13" fillId="0" borderId="0" applyFont="0" applyFill="0" applyBorder="0" applyAlignment="0" applyProtection="0"/>
    <xf numFmtId="8" fontId="17" fillId="0" borderId="0" applyFont="0" applyFill="0" applyBorder="0" applyAlignment="0" applyProtection="0"/>
    <xf numFmtId="6" fontId="17" fillId="0" borderId="0" applyFont="0" applyFill="0" applyBorder="0" applyAlignment="0" applyProtection="0">
      <alignment horizontal="right"/>
    </xf>
    <xf numFmtId="6" fontId="17" fillId="0" borderId="0" applyFont="0" applyFill="0" applyBorder="0" applyAlignment="0" applyProtection="0"/>
    <xf numFmtId="39" fontId="10" fillId="25" borderId="0"/>
    <xf numFmtId="7" fontId="10" fillId="25" borderId="0" applyBorder="0"/>
    <xf numFmtId="192" fontId="10" fillId="25" borderId="0"/>
    <xf numFmtId="193" fontId="10" fillId="0" borderId="0"/>
    <xf numFmtId="194" fontId="10" fillId="25" borderId="0"/>
    <xf numFmtId="195" fontId="10" fillId="25" borderId="0"/>
    <xf numFmtId="196" fontId="18" fillId="0" borderId="0" applyFont="0" applyFill="0" applyBorder="0" applyProtection="0">
      <alignment horizontal="left"/>
      <protection locked="0"/>
    </xf>
    <xf numFmtId="197" fontId="10" fillId="0" borderId="0"/>
    <xf numFmtId="198" fontId="18" fillId="0" borderId="0" applyFont="0" applyFill="0" applyBorder="0" applyProtection="0">
      <alignment horizontal="left"/>
      <protection locked="0"/>
    </xf>
    <xf numFmtId="199" fontId="12" fillId="0" borderId="0" applyFont="0" applyFill="0" applyBorder="0" applyAlignment="0" applyProtection="0"/>
    <xf numFmtId="0" fontId="29" fillId="0" borderId="0" applyNumberFormat="0" applyFill="0" applyBorder="0" applyAlignment="0" applyProtection="0"/>
    <xf numFmtId="181" fontId="10" fillId="0" borderId="10"/>
    <xf numFmtId="200" fontId="10" fillId="2" borderId="9">
      <alignment horizontal="right"/>
    </xf>
    <xf numFmtId="201" fontId="10" fillId="2" borderId="9">
      <alignment horizontal="right"/>
    </xf>
    <xf numFmtId="200" fontId="10" fillId="2" borderId="9">
      <alignment horizontal="right"/>
    </xf>
    <xf numFmtId="202" fontId="17" fillId="0" borderId="0" applyFill="0" applyBorder="0" applyAlignment="0" applyProtection="0">
      <protection locked="0"/>
    </xf>
    <xf numFmtId="0" fontId="30" fillId="5" borderId="0" applyNumberFormat="0" applyBorder="0" applyAlignment="0" applyProtection="0"/>
    <xf numFmtId="203" fontId="31" fillId="0" borderId="0" applyFill="0" applyBorder="0" applyAlignment="0" applyProtection="0"/>
    <xf numFmtId="181" fontId="32" fillId="0" borderId="0" applyAlignment="0">
      <alignment horizontal="left"/>
      <protection locked="0"/>
    </xf>
    <xf numFmtId="202" fontId="13" fillId="26" borderId="11" applyNumberFormat="0" applyFont="0" applyAlignment="0" applyProtection="0"/>
    <xf numFmtId="0" fontId="33" fillId="0" borderId="12" applyNumberFormat="0" applyFill="0" applyAlignment="0" applyProtection="0"/>
    <xf numFmtId="0" fontId="34" fillId="0" borderId="13" applyNumberFormat="0" applyFill="0" applyAlignment="0" applyProtection="0"/>
    <xf numFmtId="0" fontId="35" fillId="0" borderId="14" applyNumberFormat="0" applyFill="0" applyAlignment="0" applyProtection="0"/>
    <xf numFmtId="0" fontId="35" fillId="0" borderId="0" applyNumberFormat="0" applyFill="0" applyBorder="0" applyAlignment="0" applyProtection="0"/>
    <xf numFmtId="202" fontId="36" fillId="0" borderId="0" applyNumberFormat="0" applyFill="0" applyBorder="0" applyAlignment="0" applyProtection="0"/>
    <xf numFmtId="0" fontId="37" fillId="0" borderId="0"/>
    <xf numFmtId="183" fontId="17" fillId="0" borderId="0" applyFont="0" applyFill="0" applyBorder="0" applyAlignment="0" applyProtection="0"/>
    <xf numFmtId="38" fontId="17" fillId="0" borderId="0" applyFill="0" applyBorder="0" applyAlignment="0" applyProtection="0">
      <alignment horizontal="right"/>
      <protection locked="0"/>
    </xf>
    <xf numFmtId="0" fontId="38" fillId="8" borderId="5" applyNumberFormat="0" applyAlignment="0" applyProtection="0"/>
    <xf numFmtId="0" fontId="25" fillId="24" borderId="0" applyFont="0" applyBorder="0" applyAlignment="0">
      <protection locked="0"/>
    </xf>
    <xf numFmtId="0" fontId="12" fillId="0" borderId="0" applyFill="0" applyBorder="0">
      <alignment horizontal="right"/>
      <protection locked="0"/>
    </xf>
    <xf numFmtId="17" fontId="39" fillId="27" borderId="0"/>
    <xf numFmtId="204" fontId="12" fillId="0" borderId="0" applyFill="0" applyBorder="0">
      <alignment horizontal="right"/>
      <protection locked="0"/>
    </xf>
    <xf numFmtId="0" fontId="40" fillId="28" borderId="15">
      <alignment horizontal="left" vertical="center" wrapText="1"/>
    </xf>
    <xf numFmtId="0" fontId="41" fillId="0" borderId="16" applyNumberFormat="0" applyFill="0" applyAlignment="0" applyProtection="0"/>
    <xf numFmtId="170" fontId="17" fillId="0" borderId="0" applyFont="0" applyFill="0" applyBorder="0" applyAlignment="0" applyProtection="0">
      <alignment horizontal="right"/>
    </xf>
    <xf numFmtId="205" fontId="10" fillId="0" borderId="0">
      <alignment horizontal="right"/>
    </xf>
    <xf numFmtId="206" fontId="10" fillId="25" borderId="0">
      <alignment horizontal="right"/>
    </xf>
    <xf numFmtId="207" fontId="10" fillId="0" borderId="0">
      <alignment horizontal="right"/>
    </xf>
    <xf numFmtId="205" fontId="10" fillId="0" borderId="0">
      <alignment horizontal="right"/>
    </xf>
    <xf numFmtId="181" fontId="42" fillId="0" borderId="0" applyFill="0" applyBorder="0" applyAlignment="0" applyProtection="0">
      <alignment horizontal="right"/>
    </xf>
    <xf numFmtId="181" fontId="42" fillId="0" borderId="0" applyFill="0" applyBorder="0" applyAlignment="0" applyProtection="0"/>
    <xf numFmtId="208" fontId="10" fillId="2" borderId="9">
      <alignment horizontal="right"/>
    </xf>
    <xf numFmtId="209" fontId="17" fillId="0" borderId="0" applyFont="0" applyFill="0" applyBorder="0" applyAlignment="0" applyProtection="0"/>
    <xf numFmtId="0" fontId="23" fillId="2" borderId="0" applyFont="0" applyBorder="0" applyAlignment="0" applyProtection="0">
      <alignment horizontal="right"/>
      <protection hidden="1"/>
    </xf>
    <xf numFmtId="0" fontId="43" fillId="26" borderId="0" applyNumberFormat="0" applyBorder="0" applyAlignment="0" applyProtection="0"/>
    <xf numFmtId="37" fontId="26" fillId="0" borderId="0" applyFont="0" applyFill="0" applyBorder="0" applyAlignment="0" applyProtection="0"/>
    <xf numFmtId="210" fontId="12" fillId="0" borderId="0" applyFont="0" applyFill="0" applyBorder="0" applyAlignment="0" applyProtection="0"/>
    <xf numFmtId="39" fontId="12" fillId="0" borderId="0" applyFont="0" applyFill="0" applyBorder="0" applyAlignment="0" applyProtection="0"/>
    <xf numFmtId="173" fontId="12" fillId="0" borderId="0" applyFont="0" applyFill="0" applyBorder="0" applyAlignment="0" applyProtection="0"/>
    <xf numFmtId="0" fontId="12" fillId="0" borderId="0"/>
    <xf numFmtId="0" fontId="27" fillId="0" borderId="0" applyNumberFormat="0" applyFill="0" applyBorder="0" applyAlignment="0" applyProtection="0"/>
    <xf numFmtId="0" fontId="25" fillId="0" borderId="0" applyFont="0" applyFill="0" applyBorder="0" applyAlignment="0" applyProtection="0"/>
    <xf numFmtId="211" fontId="25" fillId="0" borderId="0" applyFont="0" applyFill="0" applyBorder="0" applyAlignment="0" applyProtection="0"/>
    <xf numFmtId="0" fontId="14" fillId="29" borderId="17" applyNumberFormat="0" applyFont="0" applyAlignment="0" applyProtection="0"/>
    <xf numFmtId="0" fontId="23" fillId="0" borderId="0" applyFont="0" applyFill="0" applyBorder="0" applyAlignment="0" applyProtection="0"/>
    <xf numFmtId="212" fontId="12" fillId="0" borderId="0" applyFont="0" applyFill="0" applyBorder="0" applyAlignment="0" applyProtection="0"/>
    <xf numFmtId="0" fontId="23" fillId="0" borderId="0" applyFont="0" applyFill="0" applyBorder="0" applyAlignment="0" applyProtection="0"/>
    <xf numFmtId="0" fontId="44" fillId="21" borderId="18" applyNumberFormat="0" applyAlignment="0" applyProtection="0"/>
    <xf numFmtId="213" fontId="17" fillId="0" borderId="0" applyFont="0" applyFill="0" applyBorder="0" applyAlignment="0" applyProtection="0">
      <alignment horizontal="right"/>
    </xf>
    <xf numFmtId="0" fontId="45" fillId="0" borderId="0" applyNumberFormat="0" applyFill="0" applyBorder="0" applyAlignment="0" applyProtection="0"/>
    <xf numFmtId="0" fontId="25" fillId="0" borderId="0"/>
    <xf numFmtId="214" fontId="10" fillId="25" borderId="0"/>
    <xf numFmtId="9" fontId="17" fillId="0" borderId="0" applyFont="0" applyFill="0" applyBorder="0" applyAlignment="0" applyProtection="0">
      <alignment horizontal="right"/>
    </xf>
    <xf numFmtId="215" fontId="10" fillId="0" borderId="0"/>
    <xf numFmtId="0" fontId="12" fillId="0" borderId="0" applyFont="0" applyFill="0" applyBorder="0" applyAlignment="0"/>
    <xf numFmtId="177" fontId="12" fillId="0" borderId="0" applyFont="0" applyFill="0" applyBorder="0" applyAlignment="0" applyProtection="0"/>
    <xf numFmtId="216" fontId="12" fillId="0" borderId="0" applyFont="0" applyFill="0" applyBorder="0" applyAlignment="0" applyProtection="0"/>
    <xf numFmtId="217" fontId="12" fillId="0" borderId="0" applyFill="0" applyBorder="0">
      <alignment horizontal="right"/>
      <protection locked="0"/>
    </xf>
    <xf numFmtId="203" fontId="17" fillId="0" borderId="0" applyFont="0" applyFill="0" applyBorder="0" applyAlignment="0" applyProtection="0"/>
    <xf numFmtId="8" fontId="17" fillId="0" borderId="0" applyFont="0" applyFill="0" applyBorder="0" applyAlignment="0" applyProtection="0"/>
    <xf numFmtId="183" fontId="17" fillId="0" borderId="0" applyFont="0" applyFill="0" applyBorder="0" applyAlignment="0" applyProtection="0">
      <protection locked="0"/>
    </xf>
    <xf numFmtId="202" fontId="17" fillId="0" borderId="0" applyFill="0" applyBorder="0" applyAlignment="0" applyProtection="0"/>
    <xf numFmtId="38" fontId="17" fillId="0" borderId="0" applyFont="0" applyFill="0" applyBorder="0" applyAlignment="0" applyProtection="0"/>
    <xf numFmtId="179" fontId="10" fillId="2" borderId="19">
      <alignment horizontal="right"/>
    </xf>
    <xf numFmtId="218" fontId="46" fillId="2" borderId="0"/>
    <xf numFmtId="219" fontId="10" fillId="2" borderId="0"/>
    <xf numFmtId="0" fontId="47" fillId="0" borderId="0">
      <alignment horizontal="center"/>
    </xf>
    <xf numFmtId="0" fontId="10" fillId="0" borderId="8">
      <alignment horizontal="centerContinuous"/>
    </xf>
    <xf numFmtId="220" fontId="10" fillId="2" borderId="0">
      <alignment horizontal="right"/>
    </xf>
    <xf numFmtId="221" fontId="10" fillId="2" borderId="9">
      <alignment horizontal="right"/>
    </xf>
    <xf numFmtId="222" fontId="12" fillId="0" borderId="0">
      <alignment horizontal="right"/>
      <protection locked="0"/>
    </xf>
    <xf numFmtId="202" fontId="28" fillId="0" borderId="0" applyFont="0" applyFill="0" applyBorder="0" applyAlignment="0" applyProtection="0"/>
    <xf numFmtId="0" fontId="48" fillId="0" borderId="0" applyNumberFormat="0" applyFill="0" applyBorder="0" applyProtection="0">
      <alignment horizontal="right" vertical="center"/>
    </xf>
    <xf numFmtId="0" fontId="49" fillId="23" borderId="11">
      <alignment horizontal="center" vertical="center" wrapText="1"/>
      <protection hidden="1"/>
    </xf>
    <xf numFmtId="183" fontId="17" fillId="0" borderId="0" applyFill="0" applyBorder="0" applyAlignment="0" applyProtection="0">
      <protection locked="0"/>
    </xf>
    <xf numFmtId="223" fontId="28" fillId="0" borderId="0" applyFont="0" applyFill="0" applyBorder="0" applyAlignment="0" applyProtection="0">
      <alignment horizontal="right"/>
    </xf>
    <xf numFmtId="38" fontId="12" fillId="0" borderId="0" applyFont="0" applyFill="0" applyBorder="0" applyAlignment="0" applyProtection="0"/>
    <xf numFmtId="0" fontId="50" fillId="0" borderId="20" applyNumberFormat="0" applyFill="0" applyProtection="0">
      <alignment horizontal="left" vertical="top" wrapText="1"/>
    </xf>
    <xf numFmtId="0" fontId="37" fillId="0" borderId="0" applyNumberFormat="0" applyFill="0" applyBorder="0" applyProtection="0">
      <alignment horizontal="left" vertical="top" wrapText="1"/>
    </xf>
    <xf numFmtId="0" fontId="51" fillId="0" borderId="0" applyNumberFormat="0" applyFill="0" applyProtection="0">
      <alignment horizontal="left" vertical="top" wrapText="1"/>
    </xf>
    <xf numFmtId="0" fontId="52" fillId="0" borderId="0" applyNumberFormat="0" applyFill="0" applyBorder="0" applyProtection="0"/>
    <xf numFmtId="0" fontId="53" fillId="30" borderId="0" applyNumberFormat="0" applyBorder="0" applyProtection="0"/>
    <xf numFmtId="0" fontId="54" fillId="0" borderId="0" applyNumberFormat="0" applyFill="0" applyBorder="0" applyProtection="0">
      <alignment vertical="top"/>
    </xf>
    <xf numFmtId="224" fontId="55" fillId="0" borderId="0" applyFill="0" applyBorder="0" applyProtection="0">
      <alignment horizontal="right" wrapText="1"/>
    </xf>
    <xf numFmtId="225" fontId="55" fillId="0" borderId="0" applyFill="0" applyBorder="0" applyProtection="0">
      <alignment horizontal="right"/>
    </xf>
    <xf numFmtId="4" fontId="25" fillId="0" borderId="0" applyFill="0" applyBorder="0" applyProtection="0">
      <alignment horizontal="right"/>
    </xf>
    <xf numFmtId="195" fontId="56" fillId="0" borderId="0" applyFill="0" applyBorder="0" applyAlignment="0" applyProtection="0"/>
    <xf numFmtId="226" fontId="57" fillId="0" borderId="0" applyFill="0" applyBorder="0" applyAlignment="0" applyProtection="0">
      <alignment horizontal="left"/>
      <protection locked="0"/>
    </xf>
    <xf numFmtId="226" fontId="57" fillId="0" borderId="0" applyFill="0" applyBorder="0" applyAlignment="0" applyProtection="0"/>
    <xf numFmtId="226" fontId="58" fillId="0" borderId="0" applyFill="0" applyBorder="0" applyAlignment="0" applyProtection="0">
      <alignment horizontal="left"/>
      <protection locked="0"/>
    </xf>
    <xf numFmtId="226" fontId="58" fillId="0" borderId="0" applyFill="0" applyBorder="0" applyAlignment="0" applyProtection="0">
      <protection locked="0"/>
    </xf>
    <xf numFmtId="202" fontId="17" fillId="0" borderId="0" applyFill="0" applyBorder="0" applyAlignment="0" applyProtection="0">
      <protection locked="0"/>
    </xf>
    <xf numFmtId="202" fontId="56" fillId="0" borderId="0" applyFill="0" applyBorder="0" applyAlignment="0" applyProtection="0"/>
    <xf numFmtId="49" fontId="59" fillId="0" borderId="0"/>
    <xf numFmtId="227" fontId="12" fillId="0" borderId="0" applyFont="0" applyFill="0" applyBorder="0" applyAlignment="0" applyProtection="0"/>
    <xf numFmtId="228" fontId="12" fillId="0" borderId="0" applyFont="0" applyFill="0" applyBorder="0" applyAlignment="0" applyProtection="0"/>
    <xf numFmtId="0" fontId="60" fillId="0" borderId="0" applyNumberFormat="0" applyFill="0" applyBorder="0" applyAlignment="0" applyProtection="0"/>
    <xf numFmtId="0" fontId="61" fillId="1" borderId="0" applyNumberFormat="0" applyBorder="0" applyProtection="0">
      <alignment horizontal="left" vertical="center"/>
    </xf>
    <xf numFmtId="202" fontId="62" fillId="0" borderId="0" applyNumberFormat="0" applyFill="0" applyBorder="0" applyAlignment="0" applyProtection="0"/>
    <xf numFmtId="0" fontId="12" fillId="0" borderId="0" applyBorder="0"/>
    <xf numFmtId="38" fontId="63" fillId="0" borderId="0" applyFill="0" applyBorder="0" applyAlignment="0" applyProtection="0">
      <alignment horizontal="left"/>
    </xf>
    <xf numFmtId="0" fontId="64" fillId="0" borderId="0"/>
    <xf numFmtId="0" fontId="65" fillId="0" borderId="21" applyNumberFormat="0" applyFill="0" applyAlignment="0" applyProtection="0"/>
    <xf numFmtId="0" fontId="66" fillId="0" borderId="0" applyNumberFormat="0" applyFill="0" applyBorder="0" applyAlignment="0" applyProtection="0"/>
    <xf numFmtId="1" fontId="17" fillId="0" borderId="0" applyFont="0" applyFill="0" applyBorder="0" applyAlignment="0" applyProtection="0"/>
    <xf numFmtId="229" fontId="26" fillId="0" borderId="0" applyFont="0" applyFill="0" applyBorder="0" applyAlignment="0" applyProtection="0"/>
    <xf numFmtId="223" fontId="18" fillId="0" borderId="0" applyNumberFormat="0" applyFill="0" applyBorder="0" applyAlignment="0" applyProtection="0"/>
  </cellStyleXfs>
  <cellXfs count="402">
    <xf numFmtId="0" fontId="0" fillId="0" borderId="0" xfId="0"/>
    <xf numFmtId="0" fontId="2" fillId="0" borderId="1" xfId="0" applyFont="1" applyBorder="1"/>
    <xf numFmtId="14" fontId="3" fillId="0" borderId="0" xfId="0" applyNumberFormat="1" applyFont="1" applyFill="1" applyBorder="1" applyAlignment="1">
      <alignment horizontal="left"/>
    </xf>
    <xf numFmtId="0" fontId="6" fillId="0" borderId="0" xfId="0" applyFont="1" applyFill="1" applyBorder="1"/>
    <xf numFmtId="0" fontId="4" fillId="0" borderId="0" xfId="0" applyFont="1" applyFill="1" applyBorder="1"/>
    <xf numFmtId="165" fontId="5" fillId="0" borderId="0" xfId="0" applyNumberFormat="1" applyFont="1" applyFill="1" applyBorder="1" applyAlignment="1">
      <alignment horizontal="right"/>
    </xf>
    <xf numFmtId="169" fontId="0" fillId="0" borderId="0" xfId="0" applyNumberFormat="1" applyFont="1"/>
    <xf numFmtId="169" fontId="4" fillId="0" borderId="0" xfId="0" applyNumberFormat="1" applyFont="1"/>
    <xf numFmtId="0" fontId="0" fillId="0" borderId="0" xfId="0" applyFont="1"/>
    <xf numFmtId="0" fontId="0" fillId="0" borderId="1" xfId="0" applyFont="1" applyBorder="1"/>
    <xf numFmtId="0" fontId="67" fillId="0" borderId="0" xfId="0" applyFont="1" applyBorder="1"/>
    <xf numFmtId="0" fontId="0" fillId="0" borderId="0" xfId="0" applyFont="1" applyBorder="1"/>
    <xf numFmtId="14" fontId="68" fillId="0" borderId="0" xfId="0" applyNumberFormat="1" applyFont="1" applyBorder="1"/>
    <xf numFmtId="0" fontId="1" fillId="0" borderId="2" xfId="0" applyFont="1" applyBorder="1"/>
    <xf numFmtId="0" fontId="67" fillId="0" borderId="2" xfId="0" applyFont="1" applyBorder="1"/>
    <xf numFmtId="0" fontId="0" fillId="0" borderId="2" xfId="0" applyFont="1" applyBorder="1"/>
    <xf numFmtId="166" fontId="1" fillId="0" borderId="0" xfId="0" applyNumberFormat="1" applyFont="1" applyBorder="1"/>
    <xf numFmtId="167" fontId="1" fillId="0" borderId="0" xfId="0" applyNumberFormat="1" applyFont="1" applyBorder="1"/>
    <xf numFmtId="0" fontId="68" fillId="0" borderId="2" xfId="0" applyFont="1" applyBorder="1"/>
    <xf numFmtId="168" fontId="69" fillId="0" borderId="2" xfId="0" applyNumberFormat="1" applyFont="1" applyBorder="1"/>
    <xf numFmtId="168" fontId="68" fillId="0" borderId="2" xfId="0" applyNumberFormat="1" applyFont="1" applyBorder="1"/>
    <xf numFmtId="0" fontId="68" fillId="0" borderId="0" xfId="0" applyFont="1" applyBorder="1"/>
    <xf numFmtId="168" fontId="69" fillId="0" borderId="0" xfId="0" applyNumberFormat="1" applyFont="1" applyBorder="1"/>
    <xf numFmtId="168" fontId="68" fillId="0" borderId="0" xfId="0" applyNumberFormat="1" applyFont="1" applyBorder="1"/>
    <xf numFmtId="0" fontId="1" fillId="0" borderId="0" xfId="0" applyFont="1" applyBorder="1"/>
    <xf numFmtId="0" fontId="0" fillId="0" borderId="0" xfId="0" applyFont="1" applyFill="1" applyBorder="1"/>
    <xf numFmtId="37" fontId="0" fillId="0" borderId="0" xfId="0" applyNumberFormat="1" applyFont="1" applyBorder="1"/>
    <xf numFmtId="37" fontId="6" fillId="0" borderId="0" xfId="0" applyNumberFormat="1" applyFont="1" applyBorder="1"/>
    <xf numFmtId="0" fontId="1" fillId="0" borderId="0" xfId="0" applyFont="1"/>
    <xf numFmtId="0" fontId="70" fillId="0" borderId="0" xfId="0" applyFont="1"/>
    <xf numFmtId="0" fontId="0" fillId="0" borderId="0" xfId="0" applyFont="1" applyBorder="1" applyAlignment="1">
      <alignment horizontal="left" indent="1"/>
    </xf>
    <xf numFmtId="169" fontId="4" fillId="0" borderId="0" xfId="0" applyNumberFormat="1" applyFont="1" applyBorder="1"/>
    <xf numFmtId="0" fontId="0" fillId="0" borderId="0" xfId="0" applyFont="1" applyFill="1" applyBorder="1" applyAlignment="1">
      <alignment horizontal="left" indent="1"/>
    </xf>
    <xf numFmtId="0" fontId="70" fillId="0" borderId="0" xfId="0" applyFont="1" applyFill="1" applyBorder="1"/>
    <xf numFmtId="0" fontId="0" fillId="0" borderId="0" xfId="0" applyFont="1" applyAlignment="1">
      <alignment horizontal="left" indent="1"/>
    </xf>
    <xf numFmtId="0" fontId="1" fillId="0" borderId="0" xfId="0" applyFont="1" applyAlignment="1">
      <alignment horizontal="left" indent="1"/>
    </xf>
    <xf numFmtId="3" fontId="6" fillId="0" borderId="0" xfId="0" applyNumberFormat="1" applyFont="1"/>
    <xf numFmtId="166" fontId="6" fillId="0" borderId="0" xfId="0" applyNumberFormat="1" applyFont="1" applyBorder="1"/>
    <xf numFmtId="167" fontId="6" fillId="0" borderId="0" xfId="0" applyNumberFormat="1" applyFont="1" applyBorder="1"/>
    <xf numFmtId="168" fontId="3" fillId="0" borderId="2" xfId="0" applyNumberFormat="1" applyFont="1" applyBorder="1"/>
    <xf numFmtId="37" fontId="4" fillId="0" borderId="0" xfId="0" applyNumberFormat="1" applyFont="1"/>
    <xf numFmtId="37" fontId="0" fillId="0" borderId="0" xfId="0" applyNumberFormat="1" applyFont="1"/>
    <xf numFmtId="169" fontId="5" fillId="0" borderId="0" xfId="0" applyNumberFormat="1" applyFont="1"/>
    <xf numFmtId="14" fontId="68" fillId="0" borderId="0" xfId="0" applyNumberFormat="1" applyFont="1"/>
    <xf numFmtId="0" fontId="0" fillId="0" borderId="0" xfId="0" applyFont="1" applyFill="1" applyBorder="1" applyAlignment="1">
      <alignment horizontal="left"/>
    </xf>
    <xf numFmtId="0" fontId="1" fillId="0" borderId="0" xfId="0" applyFont="1" applyBorder="1" applyAlignment="1">
      <alignment horizontal="left"/>
    </xf>
    <xf numFmtId="0" fontId="0" fillId="0" borderId="0" xfId="0" applyFont="1" applyBorder="1" applyAlignment="1">
      <alignment horizontal="left"/>
    </xf>
    <xf numFmtId="0" fontId="0" fillId="0" borderId="0" xfId="0" quotePrefix="1" applyFont="1" applyBorder="1" applyAlignment="1">
      <alignment horizontal="left" indent="1"/>
    </xf>
    <xf numFmtId="171" fontId="1" fillId="0" borderId="0" xfId="0" applyNumberFormat="1" applyFont="1" applyBorder="1"/>
    <xf numFmtId="165" fontId="0" fillId="0" borderId="0" xfId="0" applyNumberFormat="1" applyFont="1" applyBorder="1"/>
    <xf numFmtId="169" fontId="0" fillId="0" borderId="0" xfId="0" applyNumberFormat="1" applyFont="1" applyBorder="1"/>
    <xf numFmtId="37" fontId="5" fillId="0" borderId="0" xfId="0" applyNumberFormat="1" applyFont="1"/>
    <xf numFmtId="0" fontId="1" fillId="0" borderId="0" xfId="0" applyFont="1" applyFill="1" applyBorder="1"/>
    <xf numFmtId="9" fontId="5" fillId="0" borderId="0" xfId="0" applyNumberFormat="1" applyFont="1"/>
    <xf numFmtId="0" fontId="1" fillId="0" borderId="0" xfId="0" applyFont="1" applyFill="1" applyBorder="1" applyAlignment="1">
      <alignment horizontal="left"/>
    </xf>
    <xf numFmtId="3" fontId="0" fillId="0" borderId="0" xfId="0" applyNumberFormat="1" applyFont="1" applyBorder="1"/>
    <xf numFmtId="37" fontId="1" fillId="0" borderId="0" xfId="0" applyNumberFormat="1" applyFont="1" applyBorder="1"/>
    <xf numFmtId="37" fontId="1" fillId="0" borderId="0" xfId="0" applyNumberFormat="1" applyFont="1"/>
    <xf numFmtId="0" fontId="1" fillId="0" borderId="0" xfId="0" applyFont="1" applyBorder="1" applyAlignment="1">
      <alignment horizontal="left" indent="1"/>
    </xf>
    <xf numFmtId="10" fontId="4" fillId="0" borderId="0" xfId="0" applyNumberFormat="1" applyFont="1"/>
    <xf numFmtId="37" fontId="0" fillId="0" borderId="0" xfId="0" applyNumberFormat="1" applyFont="1" applyFill="1"/>
    <xf numFmtId="0" fontId="0" fillId="0" borderId="3" xfId="0" applyFont="1" applyBorder="1"/>
    <xf numFmtId="0" fontId="0" fillId="0" borderId="0" xfId="0" applyFont="1" applyBorder="1" applyAlignment="1">
      <alignment horizontal="centerContinuous"/>
    </xf>
    <xf numFmtId="0" fontId="1" fillId="0" borderId="3" xfId="0" applyFont="1" applyBorder="1"/>
    <xf numFmtId="0" fontId="0" fillId="0" borderId="0" xfId="0" applyFont="1" applyBorder="1" applyAlignment="1">
      <alignment horizontal="left" indent="2"/>
    </xf>
    <xf numFmtId="175" fontId="0" fillId="0" borderId="0" xfId="0" applyNumberFormat="1" applyFont="1"/>
    <xf numFmtId="0" fontId="73" fillId="0" borderId="3" xfId="0" applyNumberFormat="1" applyFont="1" applyFill="1" applyBorder="1" applyAlignment="1"/>
    <xf numFmtId="37" fontId="72" fillId="0" borderId="0" xfId="0" applyNumberFormat="1" applyFont="1"/>
    <xf numFmtId="14" fontId="0" fillId="0" borderId="0" xfId="0" applyNumberFormat="1" applyFont="1"/>
    <xf numFmtId="14" fontId="1" fillId="0" borderId="3" xfId="0" applyNumberFormat="1" applyFont="1" applyBorder="1"/>
    <xf numFmtId="0" fontId="68" fillId="0" borderId="0" xfId="0" applyFont="1" applyAlignment="1">
      <alignment horizontal="left"/>
    </xf>
    <xf numFmtId="37" fontId="6" fillId="0" borderId="0" xfId="0" applyNumberFormat="1" applyFont="1"/>
    <xf numFmtId="0" fontId="68" fillId="0" borderId="0" xfId="0" applyFont="1"/>
    <xf numFmtId="0" fontId="0" fillId="0" borderId="0" xfId="0" applyFont="1" applyAlignment="1">
      <alignment horizontal="left"/>
    </xf>
    <xf numFmtId="230" fontId="5" fillId="0" borderId="0" xfId="0" applyNumberFormat="1" applyFont="1"/>
    <xf numFmtId="164" fontId="1" fillId="0" borderId="0" xfId="0" applyNumberFormat="1" applyFont="1"/>
    <xf numFmtId="0" fontId="71" fillId="0" borderId="0" xfId="0" applyNumberFormat="1" applyFont="1" applyFill="1" applyBorder="1" applyAlignment="1"/>
    <xf numFmtId="170" fontId="5" fillId="0" borderId="0" xfId="0" applyNumberFormat="1" applyFont="1" applyFill="1"/>
    <xf numFmtId="39" fontId="5" fillId="0" borderId="0" xfId="0" applyNumberFormat="1" applyFont="1" applyFill="1"/>
    <xf numFmtId="170" fontId="5" fillId="0" borderId="0" xfId="0" applyNumberFormat="1" applyFont="1" applyFill="1" applyBorder="1"/>
    <xf numFmtId="170" fontId="4" fillId="0" borderId="0" xfId="0" applyNumberFormat="1" applyFont="1"/>
    <xf numFmtId="164" fontId="72" fillId="0" borderId="0" xfId="0" applyNumberFormat="1" applyFont="1"/>
    <xf numFmtId="0" fontId="0" fillId="0" borderId="0" xfId="0" applyFont="1" applyFill="1" applyBorder="1" applyAlignment="1">
      <alignment horizontal="left" indent="2"/>
    </xf>
    <xf numFmtId="0" fontId="68" fillId="0" borderId="0" xfId="0" applyFont="1" applyAlignment="1">
      <alignment horizontal="left" indent="1"/>
    </xf>
    <xf numFmtId="14" fontId="0" fillId="0" borderId="0" xfId="0" applyNumberFormat="1"/>
    <xf numFmtId="37" fontId="0" fillId="0" borderId="0" xfId="0" applyNumberFormat="1"/>
    <xf numFmtId="169" fontId="76" fillId="0" borderId="0" xfId="0" applyNumberFormat="1" applyFont="1"/>
    <xf numFmtId="175" fontId="0" fillId="0" borderId="0" xfId="0" applyNumberFormat="1"/>
    <xf numFmtId="169" fontId="0" fillId="0" borderId="0" xfId="0" applyNumberFormat="1"/>
    <xf numFmtId="231" fontId="0" fillId="0" borderId="0" xfId="0" applyNumberFormat="1" applyFont="1"/>
    <xf numFmtId="169" fontId="68" fillId="0" borderId="0" xfId="0" applyNumberFormat="1" applyFont="1"/>
    <xf numFmtId="230" fontId="68" fillId="0" borderId="0" xfId="0" applyNumberFormat="1" applyFont="1"/>
    <xf numFmtId="230" fontId="0" fillId="0" borderId="0" xfId="0" applyNumberFormat="1" applyFont="1"/>
    <xf numFmtId="0" fontId="0" fillId="0" borderId="3" xfId="0" applyBorder="1"/>
    <xf numFmtId="0" fontId="77" fillId="0" borderId="0" xfId="0" applyFont="1" applyBorder="1"/>
    <xf numFmtId="37" fontId="1" fillId="0" borderId="0" xfId="0" applyNumberFormat="1" applyFont="1" applyAlignment="1">
      <alignment vertical="center"/>
    </xf>
    <xf numFmtId="164" fontId="0" fillId="0" borderId="25" xfId="0" applyNumberFormat="1" applyFont="1" applyBorder="1"/>
    <xf numFmtId="0" fontId="79" fillId="31" borderId="30" xfId="0" applyFont="1" applyFill="1" applyBorder="1" applyAlignment="1">
      <alignment horizontal="center"/>
    </xf>
    <xf numFmtId="170" fontId="78" fillId="0" borderId="29" xfId="0" applyNumberFormat="1" applyFont="1" applyBorder="1" applyAlignment="1">
      <alignment horizontal="center"/>
    </xf>
    <xf numFmtId="164" fontId="0" fillId="0" borderId="0" xfId="0" applyNumberFormat="1" applyFont="1" applyBorder="1"/>
    <xf numFmtId="0" fontId="68" fillId="0" borderId="0" xfId="0" applyFont="1" applyFill="1" applyBorder="1"/>
    <xf numFmtId="0" fontId="82" fillId="0" borderId="3" xfId="0" applyFont="1" applyBorder="1"/>
    <xf numFmtId="0" fontId="0" fillId="0" borderId="31" xfId="0" applyFont="1" applyBorder="1"/>
    <xf numFmtId="0" fontId="0" fillId="0" borderId="0" xfId="0" applyFont="1" applyBorder="1" applyAlignment="1">
      <alignment horizontal="right"/>
    </xf>
    <xf numFmtId="231" fontId="0" fillId="0" borderId="0" xfId="0" applyNumberFormat="1" applyFont="1" applyBorder="1"/>
    <xf numFmtId="0" fontId="0" fillId="0" borderId="31" xfId="0" quotePrefix="1" applyFont="1" applyBorder="1"/>
    <xf numFmtId="0" fontId="0" fillId="0" borderId="32" xfId="0" applyFont="1" applyBorder="1"/>
    <xf numFmtId="165" fontId="0" fillId="0" borderId="2" xfId="0" applyNumberFormat="1" applyFont="1" applyBorder="1"/>
    <xf numFmtId="0" fontId="0" fillId="0" borderId="28" xfId="0" applyFont="1" applyBorder="1"/>
    <xf numFmtId="0" fontId="0" fillId="0" borderId="22" xfId="0" applyFont="1" applyBorder="1"/>
    <xf numFmtId="0" fontId="0" fillId="0" borderId="27" xfId="0" applyFont="1" applyBorder="1"/>
    <xf numFmtId="164" fontId="0" fillId="0" borderId="2" xfId="0" applyNumberFormat="1" applyFont="1" applyBorder="1" applyAlignment="1">
      <alignment horizontal="right"/>
    </xf>
    <xf numFmtId="0" fontId="77" fillId="0" borderId="0" xfId="0" applyFont="1" applyBorder="1" applyAlignment="1">
      <alignment horizontal="centerContinuous"/>
    </xf>
    <xf numFmtId="170" fontId="4" fillId="32" borderId="28" xfId="0" applyNumberFormat="1" applyFont="1" applyFill="1" applyBorder="1"/>
    <xf numFmtId="170" fontId="4" fillId="32" borderId="22" xfId="0" applyNumberFormat="1" applyFont="1" applyFill="1" applyBorder="1"/>
    <xf numFmtId="170" fontId="5" fillId="32" borderId="22" xfId="0" applyNumberFormat="1" applyFont="1" applyFill="1" applyBorder="1"/>
    <xf numFmtId="170" fontId="4" fillId="32" borderId="27" xfId="0" applyNumberFormat="1" applyFont="1" applyFill="1" applyBorder="1"/>
    <xf numFmtId="9" fontId="5" fillId="32" borderId="24" xfId="0" applyNumberFormat="1" applyFont="1" applyFill="1" applyBorder="1" applyAlignment="1">
      <alignment horizontal="right"/>
    </xf>
    <xf numFmtId="9" fontId="4" fillId="32" borderId="24" xfId="0" applyNumberFormat="1" applyFont="1" applyFill="1" applyBorder="1" applyAlignment="1">
      <alignment horizontal="right"/>
    </xf>
    <xf numFmtId="9" fontId="4" fillId="32" borderId="26" xfId="0" applyNumberFormat="1" applyFont="1" applyFill="1" applyBorder="1" applyAlignment="1">
      <alignment horizontal="right"/>
    </xf>
    <xf numFmtId="230" fontId="4" fillId="32" borderId="22" xfId="0" applyNumberFormat="1" applyFont="1" applyFill="1" applyBorder="1"/>
    <xf numFmtId="230" fontId="5" fillId="32" borderId="22" xfId="0" applyNumberFormat="1" applyFont="1" applyFill="1" applyBorder="1"/>
    <xf numFmtId="230" fontId="4" fillId="32" borderId="27" xfId="0" applyNumberFormat="1" applyFont="1" applyFill="1" applyBorder="1"/>
    <xf numFmtId="9" fontId="5" fillId="32" borderId="24" xfId="0" applyNumberFormat="1" applyFont="1" applyFill="1" applyBorder="1"/>
    <xf numFmtId="9" fontId="4" fillId="32" borderId="24" xfId="0" applyNumberFormat="1" applyFont="1" applyFill="1" applyBorder="1"/>
    <xf numFmtId="9" fontId="4" fillId="32" borderId="26" xfId="0" applyNumberFormat="1" applyFont="1" applyFill="1" applyBorder="1"/>
    <xf numFmtId="230" fontId="4" fillId="32" borderId="28" xfId="0" applyNumberFormat="1" applyFont="1" applyFill="1" applyBorder="1"/>
    <xf numFmtId="37" fontId="4" fillId="32" borderId="30" xfId="0" applyNumberFormat="1" applyFont="1" applyFill="1" applyBorder="1"/>
    <xf numFmtId="37" fontId="4" fillId="32" borderId="24" xfId="0" applyNumberFormat="1" applyFont="1" applyFill="1" applyBorder="1"/>
    <xf numFmtId="37" fontId="5" fillId="32" borderId="24" xfId="0" applyNumberFormat="1" applyFont="1" applyFill="1" applyBorder="1"/>
    <xf numFmtId="37" fontId="4" fillId="32" borderId="26" xfId="0" applyNumberFormat="1" applyFont="1" applyFill="1" applyBorder="1"/>
    <xf numFmtId="0" fontId="70" fillId="0" borderId="0" xfId="0" applyFont="1" applyAlignment="1">
      <alignment horizontal="right"/>
    </xf>
    <xf numFmtId="9" fontId="80" fillId="0" borderId="0" xfId="0" applyNumberFormat="1" applyFont="1" applyBorder="1" applyAlignment="1">
      <alignment horizontal="right"/>
    </xf>
    <xf numFmtId="9" fontId="81" fillId="0" borderId="0" xfId="0" applyNumberFormat="1" applyFont="1" applyBorder="1" applyAlignment="1">
      <alignment horizontal="right"/>
    </xf>
    <xf numFmtId="165" fontId="5" fillId="0" borderId="0" xfId="0" applyNumberFormat="1" applyFont="1"/>
    <xf numFmtId="39" fontId="5" fillId="0" borderId="0" xfId="0" applyNumberFormat="1" applyFont="1"/>
    <xf numFmtId="39" fontId="0" fillId="0" borderId="0" xfId="0" applyNumberFormat="1" applyFont="1" applyBorder="1"/>
    <xf numFmtId="169" fontId="5" fillId="0" borderId="0" xfId="0" applyNumberFormat="1" applyFont="1" applyFill="1" applyBorder="1"/>
    <xf numFmtId="210" fontId="0" fillId="0" borderId="0" xfId="0" applyNumberFormat="1" applyFont="1"/>
    <xf numFmtId="0" fontId="4" fillId="0" borderId="0" xfId="0" applyFont="1" applyFill="1" applyBorder="1" applyAlignment="1">
      <alignment horizontal="left" indent="1"/>
    </xf>
    <xf numFmtId="37" fontId="0" fillId="0" borderId="0" xfId="0" applyNumberFormat="1" applyFont="1" applyFill="1" applyBorder="1"/>
    <xf numFmtId="210" fontId="0" fillId="0" borderId="0" xfId="0" applyNumberFormat="1" applyFont="1" applyBorder="1"/>
    <xf numFmtId="37" fontId="0" fillId="0" borderId="2" xfId="0" applyNumberFormat="1" applyFont="1" applyBorder="1"/>
    <xf numFmtId="0" fontId="0" fillId="0" borderId="0" xfId="0" quotePrefix="1" applyFont="1" applyBorder="1" applyAlignment="1">
      <alignment horizontal="left" indent="2"/>
    </xf>
    <xf numFmtId="169" fontId="1" fillId="0" borderId="0" xfId="0" applyNumberFormat="1" applyFont="1" applyBorder="1"/>
    <xf numFmtId="0" fontId="68" fillId="0" borderId="0" xfId="0" applyFont="1" applyBorder="1" applyAlignment="1">
      <alignment horizontal="left" indent="3"/>
    </xf>
    <xf numFmtId="0" fontId="68" fillId="0" borderId="0" xfId="0" applyFont="1" applyBorder="1" applyAlignment="1">
      <alignment horizontal="left" indent="2"/>
    </xf>
    <xf numFmtId="0" fontId="1" fillId="0" borderId="0" xfId="0" applyFont="1" applyAlignment="1">
      <alignment horizontal="left"/>
    </xf>
    <xf numFmtId="175" fontId="5" fillId="0" borderId="0" xfId="0" applyNumberFormat="1" applyFont="1"/>
    <xf numFmtId="0" fontId="68" fillId="0" borderId="0" xfId="0" applyFont="1" applyBorder="1" applyAlignment="1">
      <alignment horizontal="left" indent="1"/>
    </xf>
    <xf numFmtId="175" fontId="69" fillId="0" borderId="0" xfId="0" applyNumberFormat="1" applyFont="1"/>
    <xf numFmtId="0" fontId="1" fillId="0" borderId="2" xfId="0" applyFont="1" applyBorder="1" applyAlignment="1">
      <alignment horizontal="left"/>
    </xf>
    <xf numFmtId="210" fontId="5" fillId="0" borderId="2" xfId="0" applyNumberFormat="1" applyFont="1" applyBorder="1"/>
    <xf numFmtId="0" fontId="6" fillId="0" borderId="2" xfId="0" applyFont="1" applyFill="1" applyBorder="1"/>
    <xf numFmtId="37" fontId="3" fillId="0" borderId="0" xfId="0" applyNumberFormat="1" applyFont="1"/>
    <xf numFmtId="0" fontId="70" fillId="0" borderId="0" xfId="0" applyFont="1" applyAlignment="1">
      <alignment horizontal="left" indent="1"/>
    </xf>
    <xf numFmtId="0" fontId="4" fillId="0" borderId="0" xfId="0" applyFont="1" applyFill="1" applyBorder="1" applyAlignment="1">
      <alignment horizontal="left" indent="2"/>
    </xf>
    <xf numFmtId="167" fontId="1" fillId="0" borderId="0" xfId="0" applyNumberFormat="1" applyFont="1"/>
    <xf numFmtId="0" fontId="3" fillId="0" borderId="0" xfId="0" applyFont="1" applyFill="1" applyBorder="1" applyAlignment="1">
      <alignment horizontal="left" indent="1"/>
    </xf>
    <xf numFmtId="0" fontId="4" fillId="0" borderId="0" xfId="0" applyFont="1" applyBorder="1" applyAlignment="1">
      <alignment horizontal="left" indent="1"/>
    </xf>
    <xf numFmtId="0" fontId="84" fillId="0" borderId="0" xfId="0" applyFont="1" applyBorder="1"/>
    <xf numFmtId="0" fontId="84" fillId="0" borderId="0" xfId="0" applyFont="1"/>
    <xf numFmtId="37" fontId="72" fillId="0" borderId="0" xfId="0" applyNumberFormat="1" applyFont="1" applyBorder="1"/>
    <xf numFmtId="0" fontId="4" fillId="0" borderId="0" xfId="0" applyFont="1" applyBorder="1" applyAlignment="1">
      <alignment horizontal="center"/>
    </xf>
    <xf numFmtId="210" fontId="1" fillId="0" borderId="0" xfId="0" applyNumberFormat="1" applyFont="1" applyBorder="1"/>
    <xf numFmtId="0" fontId="1" fillId="0" borderId="0" xfId="0" applyFont="1" applyBorder="1" applyAlignment="1">
      <alignment horizontal="center"/>
    </xf>
    <xf numFmtId="9" fontId="0" fillId="0" borderId="0" xfId="0" applyNumberFormat="1" applyFont="1" applyBorder="1" applyAlignment="1">
      <alignment horizontal="center"/>
    </xf>
    <xf numFmtId="9" fontId="1" fillId="0" borderId="0" xfId="0" applyNumberFormat="1" applyFont="1" applyBorder="1" applyAlignment="1">
      <alignment horizontal="center"/>
    </xf>
    <xf numFmtId="37" fontId="67" fillId="0" borderId="0" xfId="0" applyNumberFormat="1" applyFont="1" applyBorder="1"/>
    <xf numFmtId="230" fontId="1" fillId="0" borderId="0" xfId="0" applyNumberFormat="1" applyFont="1" applyBorder="1"/>
    <xf numFmtId="0" fontId="0" fillId="0" borderId="0" xfId="0" applyFont="1" applyBorder="1" applyAlignment="1">
      <alignment horizontal="center"/>
    </xf>
    <xf numFmtId="230" fontId="0" fillId="0" borderId="0" xfId="0" applyNumberFormat="1" applyFont="1" applyBorder="1" applyAlignment="1">
      <alignment horizontal="center"/>
    </xf>
    <xf numFmtId="37" fontId="0" fillId="0" borderId="0" xfId="0" applyNumberFormat="1" applyFont="1" applyAlignment="1">
      <alignment horizontal="center"/>
    </xf>
    <xf numFmtId="0" fontId="0" fillId="0" borderId="0" xfId="0" applyFont="1" applyAlignment="1">
      <alignment horizontal="center"/>
    </xf>
    <xf numFmtId="169" fontId="0" fillId="0" borderId="0" xfId="0" applyNumberFormat="1" applyFont="1" applyAlignment="1">
      <alignment horizontal="center"/>
    </xf>
    <xf numFmtId="37" fontId="1" fillId="0" borderId="0" xfId="0" applyNumberFormat="1" applyFont="1" applyAlignment="1">
      <alignment horizontal="center"/>
    </xf>
    <xf numFmtId="169" fontId="1" fillId="0" borderId="0" xfId="0" applyNumberFormat="1" applyFont="1" applyAlignment="1">
      <alignment horizontal="center"/>
    </xf>
    <xf numFmtId="172" fontId="0" fillId="0" borderId="0" xfId="0" applyNumberFormat="1" applyFont="1" applyBorder="1" applyAlignment="1">
      <alignment horizontal="center"/>
    </xf>
    <xf numFmtId="230" fontId="0" fillId="0" borderId="0" xfId="0" applyNumberFormat="1" applyFont="1" applyBorder="1" applyAlignment="1">
      <alignment horizontal="left" indent="1"/>
    </xf>
    <xf numFmtId="172" fontId="0" fillId="0" borderId="0" xfId="0" applyNumberFormat="1" applyFont="1" applyAlignment="1">
      <alignment horizontal="center"/>
    </xf>
    <xf numFmtId="169" fontId="4" fillId="0" borderId="0" xfId="0" applyNumberFormat="1" applyFont="1" applyBorder="1" applyAlignment="1">
      <alignment horizontal="center"/>
    </xf>
    <xf numFmtId="0" fontId="70" fillId="0" borderId="4" xfId="0" applyFont="1" applyBorder="1" applyAlignment="1">
      <alignment horizontal="center"/>
    </xf>
    <xf numFmtId="0" fontId="70" fillId="0" borderId="33" xfId="0" applyFont="1" applyBorder="1" applyAlignment="1">
      <alignment horizontal="center"/>
    </xf>
    <xf numFmtId="0" fontId="70" fillId="0" borderId="34" xfId="0" applyFont="1" applyBorder="1" applyAlignment="1">
      <alignment horizontal="center"/>
    </xf>
    <xf numFmtId="169" fontId="0" fillId="0" borderId="23" xfId="0" applyNumberFormat="1" applyFont="1" applyBorder="1" applyAlignment="1">
      <alignment horizontal="center"/>
    </xf>
    <xf numFmtId="37" fontId="5" fillId="0" borderId="31" xfId="0" applyNumberFormat="1" applyFont="1" applyFill="1" applyBorder="1" applyAlignment="1">
      <alignment horizontal="center"/>
    </xf>
    <xf numFmtId="37" fontId="5" fillId="0" borderId="32" xfId="0" applyNumberFormat="1" applyFont="1" applyFill="1" applyBorder="1" applyAlignment="1">
      <alignment horizontal="center"/>
    </xf>
    <xf numFmtId="169" fontId="4" fillId="0" borderId="2" xfId="0" applyNumberFormat="1" applyFont="1" applyBorder="1" applyAlignment="1">
      <alignment horizontal="center"/>
    </xf>
    <xf numFmtId="230" fontId="1" fillId="0" borderId="29" xfId="0" applyNumberFormat="1" applyFont="1" applyBorder="1"/>
    <xf numFmtId="0" fontId="0" fillId="0" borderId="33" xfId="0" applyFont="1" applyBorder="1"/>
    <xf numFmtId="0" fontId="68" fillId="0" borderId="0" xfId="0" applyFont="1" applyFill="1" applyBorder="1" applyAlignment="1">
      <alignment horizontal="left" indent="2"/>
    </xf>
    <xf numFmtId="0" fontId="0" fillId="0" borderId="0" xfId="0" applyFont="1" applyFill="1"/>
    <xf numFmtId="0" fontId="0" fillId="0" borderId="0" xfId="0" quotePrefix="1" applyFont="1" applyFill="1" applyBorder="1" applyAlignment="1">
      <alignment horizontal="left" indent="1"/>
    </xf>
    <xf numFmtId="0" fontId="1" fillId="0" borderId="0" xfId="0" applyFont="1" applyFill="1" applyBorder="1" applyAlignment="1">
      <alignment horizontal="left" indent="1"/>
    </xf>
    <xf numFmtId="9" fontId="69" fillId="0" borderId="0" xfId="0" applyNumberFormat="1" applyFont="1" applyFill="1" applyBorder="1" applyAlignment="1">
      <alignment horizontal="right"/>
    </xf>
    <xf numFmtId="0" fontId="70" fillId="0" borderId="0" xfId="0" applyFont="1" applyFill="1" applyBorder="1" applyAlignment="1">
      <alignment horizontal="right"/>
    </xf>
    <xf numFmtId="37" fontId="4" fillId="0" borderId="0" xfId="0" applyNumberFormat="1" applyFont="1" applyFill="1" applyBorder="1"/>
    <xf numFmtId="0" fontId="70" fillId="0" borderId="0" xfId="0" applyFont="1" applyFill="1" applyBorder="1" applyAlignment="1">
      <alignment horizontal="left" indent="2"/>
    </xf>
    <xf numFmtId="0" fontId="68" fillId="0" borderId="0" xfId="0" applyFont="1" applyFill="1" applyBorder="1" applyAlignment="1">
      <alignment horizontal="right"/>
    </xf>
    <xf numFmtId="0" fontId="1" fillId="0" borderId="0" xfId="0" applyFont="1" applyFill="1" applyBorder="1" applyAlignment="1">
      <alignment horizontal="center"/>
    </xf>
    <xf numFmtId="175" fontId="69" fillId="0" borderId="0" xfId="0" applyNumberFormat="1" applyFont="1" applyFill="1" applyBorder="1"/>
    <xf numFmtId="9" fontId="69" fillId="0" borderId="0" xfId="0" applyNumberFormat="1" applyFont="1" applyFill="1" applyBorder="1"/>
    <xf numFmtId="0" fontId="68" fillId="0" borderId="0" xfId="0" applyFont="1" applyFill="1" applyBorder="1" applyAlignment="1">
      <alignment horizontal="left" indent="1"/>
    </xf>
    <xf numFmtId="0" fontId="86" fillId="0" borderId="0" xfId="0" applyFont="1" applyFill="1" applyBorder="1" applyAlignment="1">
      <alignment horizontal="left" indent="1"/>
    </xf>
    <xf numFmtId="0" fontId="5" fillId="0" borderId="0" xfId="0" applyFont="1"/>
    <xf numFmtId="175" fontId="4" fillId="0" borderId="0" xfId="0" applyNumberFormat="1" applyFont="1"/>
    <xf numFmtId="165" fontId="4" fillId="0" borderId="0" xfId="0" applyNumberFormat="1" applyFont="1"/>
    <xf numFmtId="0" fontId="68" fillId="0" borderId="2" xfId="0" applyFont="1" applyBorder="1" applyAlignment="1">
      <alignment horizontal="centerContinuous"/>
    </xf>
    <xf numFmtId="0" fontId="68" fillId="0" borderId="0" xfId="0" applyFont="1" applyBorder="1" applyAlignment="1">
      <alignment horizontal="centerContinuous"/>
    </xf>
    <xf numFmtId="0" fontId="86" fillId="0" borderId="0" xfId="0" applyFont="1" applyBorder="1" applyAlignment="1">
      <alignment horizontal="centerContinuous"/>
    </xf>
    <xf numFmtId="0" fontId="1" fillId="0" borderId="0" xfId="0" applyFont="1" applyBorder="1" applyAlignment="1">
      <alignment horizontal="centerContinuous"/>
    </xf>
    <xf numFmtId="0" fontId="1" fillId="0" borderId="0" xfId="0" applyFont="1" applyAlignment="1">
      <alignment horizontal="centerContinuous"/>
    </xf>
    <xf numFmtId="9" fontId="3" fillId="0" borderId="0" xfId="0" applyNumberFormat="1" applyFont="1" applyBorder="1"/>
    <xf numFmtId="9" fontId="6" fillId="0" borderId="0" xfId="0" applyNumberFormat="1" applyFont="1" applyBorder="1"/>
    <xf numFmtId="174" fontId="4" fillId="0" borderId="0" xfId="0" applyNumberFormat="1" applyFont="1"/>
    <xf numFmtId="174" fontId="5" fillId="0" borderId="0" xfId="0" applyNumberFormat="1" applyFont="1" applyBorder="1" applyAlignment="1">
      <alignment horizontal="right"/>
    </xf>
    <xf numFmtId="169" fontId="4" fillId="0" borderId="0" xfId="0" applyNumberFormat="1" applyFont="1" applyFill="1" applyBorder="1"/>
    <xf numFmtId="210" fontId="7" fillId="0" borderId="0" xfId="0" applyNumberFormat="1" applyFont="1"/>
    <xf numFmtId="210" fontId="7" fillId="0" borderId="0" xfId="0" applyNumberFormat="1" applyFont="1" applyFill="1" applyAlignment="1"/>
    <xf numFmtId="210" fontId="6" fillId="0" borderId="0" xfId="0" applyNumberFormat="1" applyFont="1" applyFill="1" applyBorder="1"/>
    <xf numFmtId="210" fontId="5" fillId="0" borderId="0" xfId="0" applyNumberFormat="1" applyFont="1" applyFill="1" applyBorder="1"/>
    <xf numFmtId="210" fontId="4" fillId="0" borderId="0" xfId="0" applyNumberFormat="1" applyFont="1" applyBorder="1"/>
    <xf numFmtId="210" fontId="6" fillId="0" borderId="0" xfId="0" applyNumberFormat="1" applyFont="1" applyBorder="1"/>
    <xf numFmtId="210" fontId="5" fillId="0" borderId="0" xfId="0" applyNumberFormat="1" applyFont="1"/>
    <xf numFmtId="210" fontId="6" fillId="0" borderId="0" xfId="0" applyNumberFormat="1" applyFont="1"/>
    <xf numFmtId="210" fontId="5" fillId="0" borderId="0" xfId="0" applyNumberFormat="1" applyFont="1" applyFill="1"/>
    <xf numFmtId="210" fontId="1" fillId="0" borderId="0" xfId="0" applyNumberFormat="1" applyFont="1"/>
    <xf numFmtId="210" fontId="4" fillId="0" borderId="0" xfId="0" applyNumberFormat="1" applyFont="1"/>
    <xf numFmtId="37" fontId="5" fillId="0" borderId="0" xfId="0" applyNumberFormat="1" applyFont="1" applyFill="1"/>
    <xf numFmtId="175" fontId="5" fillId="0" borderId="0" xfId="0" applyNumberFormat="1" applyFont="1" applyFill="1"/>
    <xf numFmtId="169" fontId="5" fillId="0" borderId="0" xfId="0" applyNumberFormat="1" applyFont="1" applyFill="1"/>
    <xf numFmtId="169" fontId="4" fillId="0" borderId="0" xfId="0" applyNumberFormat="1" applyFont="1" applyFill="1"/>
    <xf numFmtId="37" fontId="75" fillId="0" borderId="0" xfId="0" applyNumberFormat="1" applyFont="1" applyFill="1"/>
    <xf numFmtId="170" fontId="5" fillId="0" borderId="0" xfId="0" applyNumberFormat="1" applyFont="1"/>
    <xf numFmtId="0" fontId="83" fillId="0" borderId="0" xfId="0" applyFont="1" applyBorder="1" applyAlignment="1">
      <alignment horizontal="right"/>
    </xf>
    <xf numFmtId="37" fontId="87" fillId="0" borderId="0" xfId="0" applyNumberFormat="1" applyFont="1" applyFill="1" applyBorder="1"/>
    <xf numFmtId="234" fontId="5" fillId="0" borderId="0" xfId="0" applyNumberFormat="1" applyFont="1" applyFill="1" applyAlignment="1">
      <alignment horizontal="right"/>
    </xf>
    <xf numFmtId="169" fontId="69" fillId="0" borderId="0" xfId="0" applyNumberFormat="1" applyFont="1" applyAlignment="1">
      <alignment horizontal="right"/>
    </xf>
    <xf numFmtId="230" fontId="5" fillId="0" borderId="0" xfId="0" applyNumberFormat="1" applyFont="1" applyAlignment="1">
      <alignment horizontal="right"/>
    </xf>
    <xf numFmtId="235" fontId="5" fillId="0" borderId="0" xfId="0" applyNumberFormat="1" applyFont="1" applyFill="1"/>
    <xf numFmtId="0" fontId="70" fillId="0" borderId="0" xfId="0" applyFont="1" applyAlignment="1">
      <alignment horizontal="left"/>
    </xf>
    <xf numFmtId="232" fontId="72" fillId="0" borderId="0" xfId="0" applyNumberFormat="1" applyFont="1"/>
    <xf numFmtId="0" fontId="70" fillId="0" borderId="0" xfId="0" applyFont="1" applyBorder="1" applyAlignment="1">
      <alignment horizontal="left" indent="1"/>
    </xf>
    <xf numFmtId="165" fontId="0" fillId="0" borderId="0" xfId="0" applyNumberFormat="1" applyFont="1"/>
    <xf numFmtId="0" fontId="0" fillId="0" borderId="0" xfId="0" applyBorder="1"/>
    <xf numFmtId="164" fontId="7" fillId="0" borderId="0" xfId="0" applyNumberFormat="1" applyFont="1"/>
    <xf numFmtId="210" fontId="72" fillId="0" borderId="0" xfId="0" applyNumberFormat="1" applyFont="1"/>
    <xf numFmtId="210" fontId="0" fillId="0" borderId="2" xfId="0" applyNumberFormat="1" applyFont="1" applyBorder="1"/>
    <xf numFmtId="210" fontId="0" fillId="0" borderId="0" xfId="0" applyNumberFormat="1" applyFont="1" applyAlignment="1">
      <alignment horizontal="right"/>
    </xf>
    <xf numFmtId="175" fontId="0" fillId="0" borderId="0" xfId="0" applyNumberFormat="1" applyFont="1" applyFill="1" applyBorder="1"/>
    <xf numFmtId="175" fontId="4" fillId="0" borderId="0" xfId="0" applyNumberFormat="1" applyFont="1" applyAlignment="1">
      <alignment horizontal="right"/>
    </xf>
    <xf numFmtId="236" fontId="1" fillId="0" borderId="0" xfId="0" applyNumberFormat="1" applyFont="1"/>
    <xf numFmtId="236" fontId="1" fillId="0" borderId="0" xfId="0" applyNumberFormat="1" applyFont="1" applyAlignment="1">
      <alignment horizontal="right"/>
    </xf>
    <xf numFmtId="0" fontId="89" fillId="0" borderId="0" xfId="0" applyFont="1" applyAlignment="1">
      <alignment horizontal="right"/>
    </xf>
    <xf numFmtId="210" fontId="5" fillId="0" borderId="0" xfId="0" applyNumberFormat="1" applyFont="1" applyBorder="1"/>
    <xf numFmtId="210" fontId="68" fillId="0" borderId="0" xfId="0" applyNumberFormat="1" applyFont="1"/>
    <xf numFmtId="37" fontId="4" fillId="0" borderId="0" xfId="0" applyNumberFormat="1" applyFont="1" applyFill="1" applyAlignment="1">
      <alignment horizontal="right"/>
    </xf>
    <xf numFmtId="165" fontId="1" fillId="0" borderId="0" xfId="0" applyNumberFormat="1" applyFont="1"/>
    <xf numFmtId="0" fontId="1" fillId="0" borderId="0" xfId="0" applyNumberFormat="1" applyFont="1"/>
    <xf numFmtId="168" fontId="0" fillId="0" borderId="2" xfId="0" applyNumberFormat="1" applyFont="1" applyBorder="1"/>
    <xf numFmtId="0" fontId="90" fillId="0" borderId="0" xfId="0" applyFont="1" applyBorder="1" applyAlignment="1">
      <alignment horizontal="centerContinuous"/>
    </xf>
    <xf numFmtId="0" fontId="88" fillId="0" borderId="22" xfId="0" applyFont="1" applyBorder="1" applyAlignment="1">
      <alignment horizontal="center"/>
    </xf>
    <xf numFmtId="210" fontId="0" fillId="0" borderId="0" xfId="0" applyNumberFormat="1" applyFont="1" applyAlignment="1">
      <alignment horizontal="center"/>
    </xf>
    <xf numFmtId="0" fontId="0" fillId="0" borderId="2" xfId="0" applyFont="1" applyBorder="1" applyAlignment="1">
      <alignment horizontal="center"/>
    </xf>
    <xf numFmtId="210" fontId="0" fillId="0" borderId="2" xfId="0" applyNumberFormat="1" applyFont="1" applyBorder="1" applyAlignment="1">
      <alignment horizontal="center"/>
    </xf>
    <xf numFmtId="39" fontId="0" fillId="0" borderId="2" xfId="0" applyNumberFormat="1" applyFont="1" applyBorder="1" applyAlignment="1">
      <alignment horizontal="center"/>
    </xf>
    <xf numFmtId="210" fontId="0" fillId="0" borderId="0" xfId="0" applyNumberFormat="1" applyFont="1" applyBorder="1" applyAlignment="1">
      <alignment horizontal="center"/>
    </xf>
    <xf numFmtId="0" fontId="90" fillId="0" borderId="0" xfId="0" applyFont="1" applyBorder="1"/>
    <xf numFmtId="0" fontId="86" fillId="0" borderId="0" xfId="0" applyFont="1" applyAlignment="1">
      <alignment horizontal="right"/>
    </xf>
    <xf numFmtId="210" fontId="68" fillId="0" borderId="2" xfId="0" applyNumberFormat="1" applyFont="1" applyBorder="1"/>
    <xf numFmtId="166" fontId="1" fillId="0" borderId="0" xfId="0" applyNumberFormat="1" applyFont="1"/>
    <xf numFmtId="237" fontId="5" fillId="0" borderId="0" xfId="0" applyNumberFormat="1" applyFont="1"/>
    <xf numFmtId="210" fontId="0" fillId="0" borderId="29" xfId="0" applyNumberFormat="1" applyFont="1" applyBorder="1"/>
    <xf numFmtId="210" fontId="0" fillId="0" borderId="0" xfId="0" applyNumberFormat="1" applyFont="1" applyFill="1" applyBorder="1"/>
    <xf numFmtId="210" fontId="4" fillId="0" borderId="0" xfId="0" applyNumberFormat="1" applyFont="1" applyFill="1" applyBorder="1"/>
    <xf numFmtId="210" fontId="70" fillId="0" borderId="0" xfId="0" applyNumberFormat="1" applyFont="1" applyFill="1" applyBorder="1"/>
    <xf numFmtId="210" fontId="68" fillId="0" borderId="0" xfId="0" applyNumberFormat="1" applyFont="1" applyFill="1" applyBorder="1"/>
    <xf numFmtId="210" fontId="0" fillId="0" borderId="29" xfId="0" applyNumberFormat="1" applyFont="1" applyFill="1" applyBorder="1"/>
    <xf numFmtId="210" fontId="1" fillId="0" borderId="0" xfId="0" applyNumberFormat="1" applyFont="1" applyFill="1" applyBorder="1"/>
    <xf numFmtId="210" fontId="68" fillId="0" borderId="0" xfId="0" applyNumberFormat="1" applyFont="1" applyFill="1" applyBorder="1" applyAlignment="1">
      <alignment horizontal="right"/>
    </xf>
    <xf numFmtId="210" fontId="3" fillId="0" borderId="0" xfId="0" applyNumberFormat="1" applyFont="1" applyFill="1" applyBorder="1"/>
    <xf numFmtId="210" fontId="4" fillId="0" borderId="29" xfId="0" applyNumberFormat="1" applyFont="1" applyBorder="1"/>
    <xf numFmtId="210" fontId="72" fillId="0" borderId="0" xfId="0" applyNumberFormat="1" applyFont="1" applyBorder="1"/>
    <xf numFmtId="210" fontId="1" fillId="0" borderId="0" xfId="0" applyNumberFormat="1" applyFont="1" applyAlignment="1">
      <alignment horizontal="center"/>
    </xf>
    <xf numFmtId="172" fontId="6" fillId="0" borderId="0" xfId="0" applyNumberFormat="1" applyFont="1" applyBorder="1"/>
    <xf numFmtId="39" fontId="6" fillId="0" borderId="0" xfId="0" applyNumberFormat="1" applyFont="1" applyBorder="1" applyAlignment="1">
      <alignment horizontal="right"/>
    </xf>
    <xf numFmtId="0" fontId="68" fillId="0" borderId="0" xfId="0" applyFont="1" applyBorder="1" applyAlignment="1">
      <alignment horizontal="right" vertical="center" wrapText="1"/>
    </xf>
    <xf numFmtId="172" fontId="6" fillId="0" borderId="0" xfId="0" applyNumberFormat="1" applyFont="1" applyBorder="1" applyAlignment="1">
      <alignment horizontal="right"/>
    </xf>
    <xf numFmtId="175" fontId="6" fillId="0" borderId="0" xfId="0" applyNumberFormat="1" applyFont="1" applyBorder="1" applyAlignment="1">
      <alignment horizontal="right"/>
    </xf>
    <xf numFmtId="0" fontId="91" fillId="0" borderId="0" xfId="0" applyFont="1" applyFill="1" applyBorder="1" applyAlignment="1">
      <alignment horizontal="centerContinuous"/>
    </xf>
    <xf numFmtId="0" fontId="0" fillId="0" borderId="0" xfId="0" applyFont="1" applyFill="1" applyBorder="1" applyAlignment="1">
      <alignment horizontal="centerContinuous"/>
    </xf>
    <xf numFmtId="172" fontId="7" fillId="0" borderId="0" xfId="0" applyNumberFormat="1" applyFont="1" applyBorder="1"/>
    <xf numFmtId="164" fontId="7" fillId="0" borderId="0" xfId="0" applyNumberFormat="1" applyFont="1" applyBorder="1"/>
    <xf numFmtId="175" fontId="7" fillId="0" borderId="0" xfId="0" applyNumberFormat="1" applyFont="1" applyBorder="1"/>
    <xf numFmtId="210" fontId="4" fillId="0" borderId="0" xfId="0" applyNumberFormat="1" applyFont="1" applyAlignment="1">
      <alignment horizontal="right"/>
    </xf>
    <xf numFmtId="210" fontId="7" fillId="0" borderId="0" xfId="0" applyNumberFormat="1" applyFont="1" applyBorder="1"/>
    <xf numFmtId="0" fontId="84" fillId="0" borderId="0" xfId="0" applyFont="1" applyAlignment="1">
      <alignment horizontal="right"/>
    </xf>
    <xf numFmtId="239" fontId="0" fillId="0" borderId="0" xfId="0" applyNumberFormat="1" applyAlignment="1">
      <alignment horizontal="left"/>
    </xf>
    <xf numFmtId="0" fontId="5" fillId="0" borderId="0" xfId="0" applyFont="1" applyAlignment="1">
      <alignment horizontal="right" indent="1"/>
    </xf>
    <xf numFmtId="0" fontId="0" fillId="0" borderId="0" xfId="0" applyFont="1" applyAlignment="1">
      <alignment horizontal="right" indent="1"/>
    </xf>
    <xf numFmtId="0" fontId="0" fillId="0" borderId="2" xfId="0" applyFont="1" applyBorder="1" applyAlignment="1">
      <alignment horizontal="right" indent="1"/>
    </xf>
    <xf numFmtId="0" fontId="1" fillId="0" borderId="0" xfId="0" applyFont="1" applyAlignment="1">
      <alignment horizontal="right" indent="1"/>
    </xf>
    <xf numFmtId="14" fontId="68" fillId="0" borderId="0" xfId="0" applyNumberFormat="1" applyFont="1" applyAlignment="1">
      <alignment horizontal="left"/>
    </xf>
    <xf numFmtId="164" fontId="76" fillId="0" borderId="0" xfId="0" applyNumberFormat="1" applyFont="1" applyAlignment="1">
      <alignment horizontal="right"/>
    </xf>
    <xf numFmtId="0" fontId="76" fillId="0" borderId="0" xfId="0" applyFont="1" applyAlignment="1">
      <alignment horizontal="left" indent="1"/>
    </xf>
    <xf numFmtId="0" fontId="0" fillId="0" borderId="1" xfId="0" applyBorder="1"/>
    <xf numFmtId="39" fontId="0" fillId="0" borderId="23" xfId="0" applyNumberFormat="1" applyFont="1" applyBorder="1"/>
    <xf numFmtId="39" fontId="1" fillId="0" borderId="0" xfId="0" applyNumberFormat="1" applyFont="1"/>
    <xf numFmtId="231" fontId="0" fillId="0" borderId="23" xfId="0" applyNumberFormat="1" applyFont="1" applyBorder="1"/>
    <xf numFmtId="231" fontId="0" fillId="0" borderId="2" xfId="0" applyNumberFormat="1" applyFont="1" applyBorder="1"/>
    <xf numFmtId="231" fontId="0" fillId="0" borderId="25" xfId="0" applyNumberFormat="1" applyFont="1" applyBorder="1"/>
    <xf numFmtId="3" fontId="6" fillId="0" borderId="2" xfId="0" applyNumberFormat="1" applyFont="1" applyBorder="1"/>
    <xf numFmtId="0" fontId="1" fillId="0" borderId="2" xfId="0" applyFont="1" applyFill="1" applyBorder="1" applyAlignment="1">
      <alignment horizontal="left"/>
    </xf>
    <xf numFmtId="210" fontId="68" fillId="0" borderId="0" xfId="0" applyNumberFormat="1" applyFont="1" applyBorder="1"/>
    <xf numFmtId="0" fontId="1" fillId="0" borderId="22" xfId="0" applyFont="1" applyBorder="1" applyAlignment="1">
      <alignment horizontal="center"/>
    </xf>
    <xf numFmtId="0" fontId="1" fillId="0" borderId="22" xfId="0" applyFont="1" applyBorder="1" applyAlignment="1">
      <alignment horizontal="right"/>
    </xf>
    <xf numFmtId="167" fontId="1" fillId="0" borderId="22" xfId="0" applyNumberFormat="1" applyFont="1" applyBorder="1"/>
    <xf numFmtId="0" fontId="1" fillId="0" borderId="2" xfId="0" applyFont="1" applyFill="1" applyBorder="1"/>
    <xf numFmtId="174" fontId="69" fillId="0" borderId="0" xfId="0" applyNumberFormat="1" applyFont="1" applyBorder="1" applyAlignment="1">
      <alignment horizontal="centerContinuous"/>
    </xf>
    <xf numFmtId="0" fontId="86" fillId="0" borderId="2" xfId="0" applyFont="1" applyBorder="1" applyAlignment="1">
      <alignment horizontal="centerContinuous"/>
    </xf>
    <xf numFmtId="174" fontId="69" fillId="0" borderId="2" xfId="0" applyNumberFormat="1" applyFont="1" applyBorder="1" applyAlignment="1">
      <alignment horizontal="centerContinuous"/>
    </xf>
    <xf numFmtId="0" fontId="70" fillId="0" borderId="0" xfId="0" applyFont="1" applyFill="1"/>
    <xf numFmtId="9" fontId="5" fillId="0" borderId="0" xfId="0" applyNumberFormat="1" applyFont="1" applyFill="1" applyAlignment="1">
      <alignment horizontal="center"/>
    </xf>
    <xf numFmtId="169" fontId="5" fillId="31" borderId="23" xfId="0" applyNumberFormat="1" applyFont="1" applyFill="1" applyBorder="1" applyAlignment="1">
      <alignment horizontal="center"/>
    </xf>
    <xf numFmtId="169" fontId="5" fillId="31" borderId="25" xfId="0" applyNumberFormat="1" applyFont="1" applyFill="1" applyBorder="1" applyAlignment="1">
      <alignment horizontal="center"/>
    </xf>
    <xf numFmtId="238" fontId="5" fillId="0" borderId="0" xfId="0" applyNumberFormat="1" applyFont="1" applyFill="1"/>
    <xf numFmtId="233" fontId="93" fillId="0" borderId="0" xfId="186" applyNumberFormat="1" applyFont="1" applyBorder="1" applyAlignment="1" applyProtection="1">
      <alignment horizontal="center"/>
    </xf>
    <xf numFmtId="233" fontId="69" fillId="0" borderId="0" xfId="186" applyNumberFormat="1" applyFont="1" applyBorder="1" applyAlignment="1" applyProtection="1">
      <alignment horizontal="center"/>
    </xf>
    <xf numFmtId="233" fontId="87" fillId="0" borderId="0" xfId="186" applyNumberFormat="1" applyFont="1" applyBorder="1" applyAlignment="1" applyProtection="1">
      <alignment horizontal="center"/>
      <protection locked="0"/>
    </xf>
    <xf numFmtId="233" fontId="87" fillId="0" borderId="0" xfId="186" applyNumberFormat="1" applyFont="1" applyFill="1" applyBorder="1" applyAlignment="1" applyProtection="1">
      <alignment horizontal="center"/>
      <protection locked="0"/>
    </xf>
    <xf numFmtId="233" fontId="94" fillId="0" borderId="0" xfId="186" applyNumberFormat="1" applyFont="1" applyBorder="1" applyAlignment="1" applyProtection="1">
      <alignment horizontal="center"/>
    </xf>
    <xf numFmtId="210" fontId="4" fillId="0" borderId="2" xfId="0" applyNumberFormat="1" applyFont="1" applyBorder="1" applyAlignment="1">
      <alignment horizontal="right"/>
    </xf>
    <xf numFmtId="0" fontId="1" fillId="0" borderId="0" xfId="0" applyFont="1" applyAlignment="1">
      <alignment horizontal="left" indent="2"/>
    </xf>
    <xf numFmtId="170" fontId="5" fillId="0" borderId="0" xfId="0" applyNumberFormat="1" applyFont="1" applyBorder="1"/>
    <xf numFmtId="37" fontId="0" fillId="0" borderId="31" xfId="0" applyNumberFormat="1" applyFont="1" applyBorder="1"/>
    <xf numFmtId="39" fontId="0" fillId="0" borderId="31" xfId="0" applyNumberFormat="1" applyFont="1" applyBorder="1"/>
    <xf numFmtId="175" fontId="68" fillId="0" borderId="31" xfId="0" applyNumberFormat="1" applyFont="1" applyBorder="1"/>
    <xf numFmtId="37" fontId="1" fillId="0" borderId="31" xfId="0" applyNumberFormat="1" applyFont="1" applyBorder="1"/>
    <xf numFmtId="230" fontId="0" fillId="0" borderId="32" xfId="0" applyNumberFormat="1" applyFont="1" applyBorder="1"/>
    <xf numFmtId="175" fontId="68" fillId="0" borderId="0" xfId="0" applyNumberFormat="1" applyFont="1" applyBorder="1"/>
    <xf numFmtId="236" fontId="7" fillId="31" borderId="29" xfId="0" applyNumberFormat="1" applyFont="1" applyFill="1" applyBorder="1" applyAlignment="1">
      <alignment horizontal="center"/>
    </xf>
    <xf numFmtId="230" fontId="89" fillId="0" borderId="0" xfId="0" applyNumberFormat="1" applyFont="1" applyFill="1" applyBorder="1" applyAlignment="1">
      <alignment horizontal="center"/>
    </xf>
    <xf numFmtId="165" fontId="0" fillId="0" borderId="24" xfId="0" applyNumberFormat="1" applyFont="1" applyBorder="1" applyAlignment="1">
      <alignment horizontal="center"/>
    </xf>
    <xf numFmtId="240" fontId="68" fillId="0" borderId="2" xfId="0" applyNumberFormat="1" applyFont="1" applyBorder="1" applyAlignment="1">
      <alignment horizontal="centerContinuous"/>
    </xf>
    <xf numFmtId="174" fontId="4" fillId="0" borderId="24" xfId="0" applyNumberFormat="1" applyFont="1" applyBorder="1" applyAlignment="1">
      <alignment horizontal="center"/>
    </xf>
    <xf numFmtId="37" fontId="0" fillId="0" borderId="24" xfId="0" applyNumberFormat="1" applyFont="1" applyBorder="1" applyAlignment="1">
      <alignment horizontal="center"/>
    </xf>
    <xf numFmtId="39" fontId="0" fillId="0" borderId="24" xfId="0" applyNumberFormat="1" applyFont="1" applyBorder="1" applyAlignment="1">
      <alignment horizontal="center"/>
    </xf>
    <xf numFmtId="175" fontId="68" fillId="0" borderId="24" xfId="0" applyNumberFormat="1" applyFont="1" applyBorder="1" applyAlignment="1">
      <alignment horizontal="center"/>
    </xf>
    <xf numFmtId="0" fontId="68" fillId="0" borderId="24" xfId="0" applyFont="1" applyBorder="1" applyAlignment="1">
      <alignment horizontal="center"/>
    </xf>
    <xf numFmtId="37" fontId="1" fillId="0" borderId="24" xfId="0" applyNumberFormat="1" applyFont="1" applyBorder="1" applyAlignment="1">
      <alignment horizontal="center"/>
    </xf>
    <xf numFmtId="0" fontId="1" fillId="0" borderId="29" xfId="0" applyFont="1" applyBorder="1" applyAlignment="1">
      <alignment horizontal="center"/>
    </xf>
    <xf numFmtId="230" fontId="0" fillId="0" borderId="26" xfId="0" applyNumberFormat="1" applyFont="1" applyBorder="1" applyAlignment="1">
      <alignment horizontal="center"/>
    </xf>
    <xf numFmtId="0" fontId="86" fillId="0" borderId="4" xfId="0" applyFont="1" applyBorder="1" applyAlignment="1">
      <alignment horizontal="centerContinuous"/>
    </xf>
    <xf numFmtId="0" fontId="0" fillId="0" borderId="33" xfId="0" applyFont="1" applyBorder="1" applyAlignment="1">
      <alignment horizontal="centerContinuous"/>
    </xf>
    <xf numFmtId="0" fontId="0" fillId="0" borderId="34" xfId="0" applyFont="1" applyBorder="1" applyAlignment="1">
      <alignment horizontal="centerContinuous"/>
    </xf>
    <xf numFmtId="174" fontId="5" fillId="0" borderId="4" xfId="0" applyNumberFormat="1" applyFont="1" applyBorder="1"/>
    <xf numFmtId="174" fontId="4" fillId="0" borderId="33" xfId="0" applyNumberFormat="1" applyFont="1" applyBorder="1"/>
    <xf numFmtId="174" fontId="4" fillId="0" borderId="34" xfId="0" applyNumberFormat="1" applyFont="1" applyBorder="1"/>
    <xf numFmtId="37" fontId="1" fillId="0" borderId="23" xfId="0" applyNumberFormat="1" applyFont="1" applyBorder="1"/>
    <xf numFmtId="37" fontId="0" fillId="0" borderId="23" xfId="0" applyNumberFormat="1" applyFont="1" applyBorder="1"/>
    <xf numFmtId="175" fontId="68" fillId="0" borderId="23" xfId="0" applyNumberFormat="1" applyFont="1" applyBorder="1"/>
    <xf numFmtId="230" fontId="0" fillId="0" borderId="2" xfId="0" applyNumberFormat="1" applyFont="1" applyBorder="1"/>
    <xf numFmtId="230" fontId="0" fillId="0" borderId="25" xfId="0" applyNumberFormat="1" applyFont="1" applyBorder="1"/>
    <xf numFmtId="0" fontId="1" fillId="0" borderId="30" xfId="0" applyFont="1" applyBorder="1" applyAlignment="1">
      <alignment horizontal="left"/>
    </xf>
    <xf numFmtId="174" fontId="7" fillId="0" borderId="26" xfId="0" applyNumberFormat="1" applyFont="1" applyBorder="1" applyAlignment="1">
      <alignment horizontal="left"/>
    </xf>
    <xf numFmtId="14" fontId="5" fillId="0" borderId="0" xfId="0" applyNumberFormat="1" applyFont="1"/>
    <xf numFmtId="2" fontId="7" fillId="0" borderId="0" xfId="0" applyNumberFormat="1" applyFont="1"/>
    <xf numFmtId="210" fontId="4" fillId="0" borderId="2" xfId="0" applyNumberFormat="1" applyFont="1" applyFill="1" applyBorder="1"/>
    <xf numFmtId="230" fontId="5" fillId="0" borderId="0" xfId="0" applyNumberFormat="1" applyFont="1" applyFill="1"/>
    <xf numFmtId="241" fontId="1" fillId="0" borderId="0" xfId="0" applyNumberFormat="1" applyFont="1" applyBorder="1"/>
    <xf numFmtId="210" fontId="0" fillId="0" borderId="0" xfId="0" applyNumberFormat="1"/>
    <xf numFmtId="210" fontId="6" fillId="0" borderId="0" xfId="0" applyNumberFormat="1" applyFont="1" applyFill="1" applyAlignment="1"/>
    <xf numFmtId="210" fontId="0" fillId="0" borderId="0" xfId="0" applyNumberFormat="1" applyFont="1" applyFill="1"/>
    <xf numFmtId="235" fontId="4" fillId="0" borderId="0" xfId="0" applyNumberFormat="1" applyFont="1" applyFill="1"/>
    <xf numFmtId="235" fontId="4" fillId="0" borderId="0" xfId="0" applyNumberFormat="1" applyFont="1" applyFill="1" applyBorder="1"/>
    <xf numFmtId="175" fontId="5" fillId="0" borderId="0" xfId="0" applyNumberFormat="1" applyFont="1" applyFill="1" applyBorder="1" applyAlignment="1">
      <alignment horizontal="right"/>
    </xf>
    <xf numFmtId="174" fontId="0" fillId="0" borderId="0" xfId="0" applyNumberFormat="1" applyFont="1"/>
    <xf numFmtId="210" fontId="0" fillId="0" borderId="31" xfId="0" applyNumberFormat="1" applyFont="1" applyBorder="1" applyAlignment="1">
      <alignment horizontal="center"/>
    </xf>
    <xf numFmtId="0" fontId="0" fillId="0" borderId="0" xfId="0" applyAlignment="1">
      <alignment horizontal="right"/>
    </xf>
    <xf numFmtId="170" fontId="0" fillId="0" borderId="0" xfId="0" applyNumberFormat="1" applyFont="1" applyAlignment="1">
      <alignment horizontal="center"/>
    </xf>
    <xf numFmtId="0" fontId="90" fillId="0" borderId="0" xfId="0" applyFont="1" applyAlignment="1">
      <alignment horizontal="right"/>
    </xf>
    <xf numFmtId="0" fontId="7" fillId="31" borderId="29" xfId="0" applyFont="1" applyFill="1" applyBorder="1" applyAlignment="1">
      <alignment horizontal="center" vertical="center"/>
    </xf>
    <xf numFmtId="242" fontId="80" fillId="0" borderId="0" xfId="0" applyNumberFormat="1" applyFont="1"/>
    <xf numFmtId="0" fontId="1" fillId="0" borderId="0" xfId="0" applyNumberFormat="1" applyFont="1" applyBorder="1"/>
    <xf numFmtId="0" fontId="88" fillId="0" borderId="0" xfId="0" applyFont="1" applyAlignment="1">
      <alignment horizontal="right"/>
    </xf>
    <xf numFmtId="165" fontId="5" fillId="0" borderId="0" xfId="0" applyNumberFormat="1" applyFont="1" applyFill="1"/>
    <xf numFmtId="165" fontId="5" fillId="0" borderId="0" xfId="0" applyNumberFormat="1" applyFont="1" applyFill="1" applyBorder="1"/>
    <xf numFmtId="165" fontId="1" fillId="0" borderId="0" xfId="0" applyNumberFormat="1" applyFont="1" applyBorder="1"/>
    <xf numFmtId="165" fontId="81" fillId="0" borderId="0" xfId="0" applyNumberFormat="1" applyFont="1"/>
    <xf numFmtId="165" fontId="96" fillId="0" borderId="0" xfId="0" applyNumberFormat="1" applyFont="1"/>
    <xf numFmtId="165" fontId="85" fillId="0" borderId="0" xfId="0" applyNumberFormat="1" applyFont="1" applyBorder="1"/>
    <xf numFmtId="210" fontId="70" fillId="0" borderId="0" xfId="0" applyNumberFormat="1" applyFont="1"/>
    <xf numFmtId="0" fontId="1" fillId="0" borderId="3" xfId="0" applyFont="1" applyBorder="1" applyAlignment="1">
      <alignment horizontal="left"/>
    </xf>
    <xf numFmtId="0" fontId="1" fillId="0" borderId="3" xfId="0" applyFont="1" applyBorder="1" applyAlignment="1">
      <alignment horizontal="center"/>
    </xf>
    <xf numFmtId="165" fontId="81" fillId="0" borderId="0" xfId="0" applyNumberFormat="1" applyFont="1" applyBorder="1"/>
    <xf numFmtId="210" fontId="81" fillId="0" borderId="0" xfId="0" applyNumberFormat="1" applyFont="1" applyBorder="1"/>
    <xf numFmtId="243" fontId="5" fillId="0" borderId="0" xfId="0" applyNumberFormat="1" applyFont="1" applyFill="1"/>
    <xf numFmtId="169" fontId="72" fillId="0" borderId="0" xfId="0" applyNumberFormat="1" applyFont="1"/>
    <xf numFmtId="232" fontId="4" fillId="0" borderId="0" xfId="0" applyNumberFormat="1" applyFont="1"/>
    <xf numFmtId="37" fontId="67" fillId="0" borderId="0" xfId="0" applyNumberFormat="1" applyFont="1"/>
    <xf numFmtId="0" fontId="77" fillId="0" borderId="0" xfId="0" applyFont="1"/>
    <xf numFmtId="169" fontId="0" fillId="0" borderId="0" xfId="0" applyNumberFormat="1" applyAlignment="1">
      <alignment horizontal="right"/>
    </xf>
  </cellXfs>
  <cellStyles count="187">
    <cellStyle name="$" xfId="1"/>
    <cellStyle name="$m" xfId="2"/>
    <cellStyle name="$q" xfId="3"/>
    <cellStyle name="$q*" xfId="4"/>
    <cellStyle name="$q_valuation" xfId="5"/>
    <cellStyle name="$qA" xfId="6"/>
    <cellStyle name="$qRange" xfId="7"/>
    <cellStyle name="%" xfId="8"/>
    <cellStyle name="******************************************" xfId="9"/>
    <cellStyle name="2 Decimal Places_MA Software Comps - List_AccretionDilution OTGS v16.xls Chart 1" xfId="10"/>
    <cellStyle name="20% - Accent1 2" xfId="11"/>
    <cellStyle name="20% - Accent2 2" xfId="12"/>
    <cellStyle name="20% - Accent3 2" xfId="13"/>
    <cellStyle name="20% - Accent4 2" xfId="14"/>
    <cellStyle name="20% - Accent5 2" xfId="15"/>
    <cellStyle name="20% - Accent6 2" xfId="16"/>
    <cellStyle name="40% - Accent1 2" xfId="17"/>
    <cellStyle name="40% - Accent2 2" xfId="18"/>
    <cellStyle name="40% - Accent3 2" xfId="19"/>
    <cellStyle name="40% - Accent4 2" xfId="20"/>
    <cellStyle name="40% - Accent5 2" xfId="21"/>
    <cellStyle name="40% - Accent6 2" xfId="22"/>
    <cellStyle name="60% - Accent1 2" xfId="23"/>
    <cellStyle name="60% - Accent2 2" xfId="24"/>
    <cellStyle name="60% - Accent3 2" xfId="25"/>
    <cellStyle name="60% - Accent4 2" xfId="26"/>
    <cellStyle name="60% - Accent5 2" xfId="27"/>
    <cellStyle name="60% - Accent6 2" xfId="28"/>
    <cellStyle name="Accent1 2" xfId="29"/>
    <cellStyle name="Accent2 2" xfId="30"/>
    <cellStyle name="Accent3 2" xfId="31"/>
    <cellStyle name="Accent4 2" xfId="32"/>
    <cellStyle name="Accent5 2" xfId="33"/>
    <cellStyle name="Accent6 2" xfId="34"/>
    <cellStyle name="AFE" xfId="35"/>
    <cellStyle name="Bad 2" xfId="36"/>
    <cellStyle name="Balance" xfId="37"/>
    <cellStyle name="BalanceSheet" xfId="38"/>
    <cellStyle name="Body_$Numeric" xfId="39"/>
    <cellStyle name="Bold Header" xfId="40"/>
    <cellStyle name="Calculation 2" xfId="41"/>
    <cellStyle name="CashFlow" xfId="42"/>
    <cellStyle name="Check" xfId="43"/>
    <cellStyle name="Check Cell 2" xfId="44"/>
    <cellStyle name="ColHeading" xfId="45"/>
    <cellStyle name="colheadleft" xfId="46"/>
    <cellStyle name="colheadright" xfId="47"/>
    <cellStyle name="Comma 2" xfId="48"/>
    <cellStyle name="Comma0" xfId="49"/>
    <cellStyle name="Comma2" xfId="50"/>
    <cellStyle name="Company" xfId="51"/>
    <cellStyle name="CurRatio" xfId="52"/>
    <cellStyle name="Currency [1]" xfId="53"/>
    <cellStyle name="Currency [2]" xfId="54"/>
    <cellStyle name="Currency0" xfId="55"/>
    <cellStyle name="Currency2" xfId="56"/>
    <cellStyle name="d_yield" xfId="57"/>
    <cellStyle name="d_yield_CW's MAKER MODEL" xfId="58"/>
    <cellStyle name="d_yield_valuation" xfId="59"/>
    <cellStyle name="Date [d-mmm-yy]" xfId="60"/>
    <cellStyle name="Date [mmm-d-yyyy]" xfId="61"/>
    <cellStyle name="Date [mmm-yyyy]" xfId="62"/>
    <cellStyle name="Dates" xfId="63"/>
    <cellStyle name="DateYear" xfId="64"/>
    <cellStyle name="Dezimal_Capital expenditure planning FY 2000" xfId="65"/>
    <cellStyle name="Dollar" xfId="66"/>
    <cellStyle name="Dollars" xfId="67"/>
    <cellStyle name="DollarWhole" xfId="68"/>
    <cellStyle name="eps" xfId="69"/>
    <cellStyle name="eps$" xfId="70"/>
    <cellStyle name="eps$A" xfId="71"/>
    <cellStyle name="eps$E" xfId="72"/>
    <cellStyle name="eps_CW's MAKER MODEL" xfId="73"/>
    <cellStyle name="epsA" xfId="74"/>
    <cellStyle name="EPSActual" xfId="75"/>
    <cellStyle name="epsE" xfId="76"/>
    <cellStyle name="EPSEstimate" xfId="77"/>
    <cellStyle name="Euro" xfId="78"/>
    <cellStyle name="Explanatory Text 2" xfId="79"/>
    <cellStyle name="fy_eps$" xfId="80"/>
    <cellStyle name="g_rate" xfId="81"/>
    <cellStyle name="g_rate_CW's MAKER MODEL" xfId="82"/>
    <cellStyle name="g_rate_valuation" xfId="83"/>
    <cellStyle name="General" xfId="84"/>
    <cellStyle name="Good 2" xfId="85"/>
    <cellStyle name="GrowthRate" xfId="86"/>
    <cellStyle name="GrowthSeq" xfId="87"/>
    <cellStyle name="Hard Number Input" xfId="88"/>
    <cellStyle name="Heading 1 2" xfId="89"/>
    <cellStyle name="Heading 2 2" xfId="90"/>
    <cellStyle name="Heading 3 2" xfId="91"/>
    <cellStyle name="Heading 4 2" xfId="92"/>
    <cellStyle name="Historical Number" xfId="93"/>
    <cellStyle name="iemens" xfId="94"/>
    <cellStyle name="Income" xfId="95"/>
    <cellStyle name="IncomeStatement" xfId="96"/>
    <cellStyle name="Input 2" xfId="97"/>
    <cellStyle name="Input Fixed [0]" xfId="98"/>
    <cellStyle name="Integer" xfId="99"/>
    <cellStyle name="Inverse Header" xfId="100"/>
    <cellStyle name="Item" xfId="101"/>
    <cellStyle name="ItemTypeClass" xfId="102"/>
    <cellStyle name="Linked Cell 2" xfId="103"/>
    <cellStyle name="LTGR" xfId="104"/>
    <cellStyle name="m" xfId="105"/>
    <cellStyle name="m$" xfId="106"/>
    <cellStyle name="m_CW's MAKER MODEL" xfId="107"/>
    <cellStyle name="m_valuation" xfId="108"/>
    <cellStyle name="Margin" xfId="109"/>
    <cellStyle name="Margins" xfId="110"/>
    <cellStyle name="mm" xfId="111"/>
    <cellStyle name="Multiple" xfId="112"/>
    <cellStyle name="NA is zero" xfId="113"/>
    <cellStyle name="Neutral 2" xfId="114"/>
    <cellStyle name="Normal" xfId="0" builtinId="0"/>
    <cellStyle name="Normal [0]" xfId="115"/>
    <cellStyle name="Normal [1]" xfId="116"/>
    <cellStyle name="Normal [2]" xfId="117"/>
    <cellStyle name="Normal [3]" xfId="118"/>
    <cellStyle name="Normal 2" xfId="119"/>
    <cellStyle name="Normal Bold" xfId="120"/>
    <cellStyle name="Normal Pct" xfId="121"/>
    <cellStyle name="Normal_Matrix LBO Model v2 - Tri-State_05_EBITDA" xfId="186"/>
    <cellStyle name="NormalX" xfId="122"/>
    <cellStyle name="Note 2" xfId="123"/>
    <cellStyle name="NPPESalesPct" xfId="124"/>
    <cellStyle name="Number" xfId="125"/>
    <cellStyle name="NWI%S" xfId="126"/>
    <cellStyle name="Output 2" xfId="127"/>
    <cellStyle name="P/E" xfId="128"/>
    <cellStyle name="Palatino" xfId="129"/>
    <cellStyle name="pc1" xfId="130"/>
    <cellStyle name="pe" xfId="131"/>
    <cellStyle name="PE/LTGR" xfId="132"/>
    <cellStyle name="PEG" xfId="133"/>
    <cellStyle name="Percent [0]" xfId="134"/>
    <cellStyle name="Percent [1]" xfId="135"/>
    <cellStyle name="Percent [2]" xfId="136"/>
    <cellStyle name="PercentChange" xfId="137"/>
    <cellStyle name="PercentPresentation" xfId="138"/>
    <cellStyle name="PerShare" xfId="139"/>
    <cellStyle name="POPS" xfId="140"/>
    <cellStyle name="Presentation" xfId="141"/>
    <cellStyle name="PresentationZero" xfId="142"/>
    <cellStyle name="price" xfId="143"/>
    <cellStyle name="q" xfId="144"/>
    <cellStyle name="q_CW's MAKER MODEL" xfId="145"/>
    <cellStyle name="QEPS-h" xfId="146"/>
    <cellStyle name="QEPS-H1" xfId="147"/>
    <cellStyle name="qRange" xfId="148"/>
    <cellStyle name="range" xfId="149"/>
    <cellStyle name="RatioX" xfId="150"/>
    <cellStyle name="Report" xfId="151"/>
    <cellStyle name="Right" xfId="152"/>
    <cellStyle name="SectionHeading" xfId="153"/>
    <cellStyle name="Shares" xfId="154"/>
    <cellStyle name="StockPrice" xfId="155"/>
    <cellStyle name="Style 1" xfId="156"/>
    <cellStyle name="Style 21" xfId="157"/>
    <cellStyle name="Style 22" xfId="158"/>
    <cellStyle name="Style 23" xfId="159"/>
    <cellStyle name="Style 24" xfId="160"/>
    <cellStyle name="Style 26" xfId="161"/>
    <cellStyle name="Style 27" xfId="162"/>
    <cellStyle name="Style 34" xfId="163"/>
    <cellStyle name="Style 37" xfId="164"/>
    <cellStyle name="Style 63" xfId="165"/>
    <cellStyle name="SubDollar" xfId="166"/>
    <cellStyle name="SubGrowth" xfId="167"/>
    <cellStyle name="SubGrowthRate" xfId="168"/>
    <cellStyle name="SubMargins" xfId="169"/>
    <cellStyle name="SubPenetration" xfId="170"/>
    <cellStyle name="Subscribers" xfId="171"/>
    <cellStyle name="SubVariable" xfId="172"/>
    <cellStyle name="tcn" xfId="173"/>
    <cellStyle name="Times [1]" xfId="174"/>
    <cellStyle name="Times [2]" xfId="175"/>
    <cellStyle name="Title 2" xfId="176"/>
    <cellStyle name="title2" xfId="177"/>
    <cellStyle name="TitleII" xfId="178"/>
    <cellStyle name="Titles" xfId="179"/>
    <cellStyle name="TitleSub" xfId="180"/>
    <cellStyle name="tn" xfId="181"/>
    <cellStyle name="Total 2" xfId="182"/>
    <cellStyle name="Warning Text 2" xfId="183"/>
    <cellStyle name="WholeNumber" xfId="184"/>
    <cellStyle name="Year&quot;E&quot;" xfId="185"/>
  </cellStyles>
  <dxfs count="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theme="0"/>
      </font>
    </dxf>
    <dxf>
      <font>
        <color theme="0" tint="-0.24994659260841701"/>
      </font>
      <fill>
        <patternFill>
          <bgColor theme="0" tint="-0.24994659260841701"/>
        </patternFill>
      </fill>
    </dxf>
    <dxf>
      <fill>
        <patternFill>
          <bgColor theme="0" tint="-0.14996795556505021"/>
        </patternFill>
      </fill>
      <border>
        <left style="dotted">
          <color auto="1"/>
        </left>
        <right style="dotted">
          <color auto="1"/>
        </right>
        <top style="dotted">
          <color auto="1"/>
        </top>
        <bottom style="dotted">
          <color auto="1"/>
        </bottom>
        <vertical/>
        <horizontal/>
      </border>
    </dxf>
    <dxf>
      <font>
        <color theme="0"/>
      </font>
    </dxf>
    <dxf>
      <font>
        <color theme="0" tint="-0.14996795556505021"/>
      </font>
      <fill>
        <patternFill>
          <bgColor theme="0" tint="-0.1499679555650502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5" Type="http://schemas.openxmlformats.org/officeDocument/2006/relationships/externalLink" Target="externalLinks/externalLink1.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00"/>
            </a:pPr>
            <a:r>
              <a:rPr lang="en-US" sz="1100"/>
              <a:t>DCF / LBO Football Field</a:t>
            </a:r>
          </a:p>
        </c:rich>
      </c:tx>
      <c:layout>
        <c:manualLayout>
          <c:xMode val="edge"/>
          <c:yMode val="edge"/>
          <c:x val="0.31291626892699836"/>
          <c:y val="0"/>
        </c:manualLayout>
      </c:layout>
      <c:overlay val="0"/>
    </c:title>
    <c:autoTitleDeleted val="0"/>
    <c:plotArea>
      <c:layout/>
      <c:barChart>
        <c:barDir val="col"/>
        <c:grouping val="stacked"/>
        <c:varyColors val="0"/>
        <c:ser>
          <c:idx val="0"/>
          <c:order val="0"/>
          <c:tx>
            <c:strRef>
              <c:f>DCF!$C$114</c:f>
              <c:strCache>
                <c:ptCount val="1"/>
                <c:pt idx="0">
                  <c:v>Low</c:v>
                </c:pt>
              </c:strCache>
            </c:strRef>
          </c:tx>
          <c:spPr>
            <a:noFill/>
          </c:spPr>
          <c:invertIfNegative val="0"/>
          <c:dLbls>
            <c:spPr>
              <a:noFill/>
              <a:ln>
                <a:noFill/>
              </a:ln>
              <a:effectLst/>
            </c:sp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DCF!$B$115:$B$118</c:f>
              <c:strCache>
                <c:ptCount val="4"/>
                <c:pt idx="0">
                  <c:v>DCF Value at 6.3x-8.3x Exit EBITDA Range</c:v>
                </c:pt>
                <c:pt idx="1">
                  <c:v>DCF Value at 2.0%-4.0% Perpetuity Range</c:v>
                </c:pt>
                <c:pt idx="2">
                  <c:v>LBO Value at 15.0%-35.0% Sponsor Hurdle Rate</c:v>
                </c:pt>
                <c:pt idx="3">
                  <c:v>52 Week Market High/Low</c:v>
                </c:pt>
              </c:strCache>
            </c:strRef>
          </c:cat>
          <c:val>
            <c:numRef>
              <c:f>DCF!$C$115:$C$118</c:f>
              <c:numCache>
                <c:formatCode>#,##0.0_);\(#,##0.0\);\-_);@_)</c:formatCode>
                <c:ptCount val="4"/>
                <c:pt idx="0">
                  <c:v>20.648302515968922</c:v>
                </c:pt>
                <c:pt idx="1">
                  <c:v>34.809382638558411</c:v>
                </c:pt>
                <c:pt idx="2">
                  <c:v>45.451042946760261</c:v>
                </c:pt>
                <c:pt idx="3">
                  <c:v>37.51</c:v>
                </c:pt>
              </c:numCache>
            </c:numRef>
          </c:val>
        </c:ser>
        <c:ser>
          <c:idx val="1"/>
          <c:order val="1"/>
          <c:tx>
            <c:strRef>
              <c:f>DCF!$D$114</c:f>
              <c:strCache>
                <c:ptCount val="1"/>
                <c:pt idx="0">
                  <c:v>Diff.</c:v>
                </c:pt>
              </c:strCache>
            </c:strRef>
          </c:tx>
          <c:invertIfNegative val="0"/>
          <c:cat>
            <c:strRef>
              <c:f>DCF!$B$115:$B$118</c:f>
              <c:strCache>
                <c:ptCount val="4"/>
                <c:pt idx="0">
                  <c:v>DCF Value at 6.3x-8.3x Exit EBITDA Range</c:v>
                </c:pt>
                <c:pt idx="1">
                  <c:v>DCF Value at 2.0%-4.0% Perpetuity Range</c:v>
                </c:pt>
                <c:pt idx="2">
                  <c:v>LBO Value at 15.0%-35.0% Sponsor Hurdle Rate</c:v>
                </c:pt>
                <c:pt idx="3">
                  <c:v>52 Week Market High/Low</c:v>
                </c:pt>
              </c:strCache>
            </c:strRef>
          </c:cat>
          <c:val>
            <c:numRef>
              <c:f>DCF!$D$115:$D$118</c:f>
              <c:numCache>
                <c:formatCode>#,##0.0_);\(#,##0.0\);\-_);@_)</c:formatCode>
                <c:ptCount val="4"/>
                <c:pt idx="0">
                  <c:v>11.064070794576843</c:v>
                </c:pt>
                <c:pt idx="1">
                  <c:v>16.337634375168825</c:v>
                </c:pt>
                <c:pt idx="2">
                  <c:v>13.019681990066729</c:v>
                </c:pt>
                <c:pt idx="3">
                  <c:v>8.82</c:v>
                </c:pt>
              </c:numCache>
            </c:numRef>
          </c:val>
        </c:ser>
        <c:ser>
          <c:idx val="2"/>
          <c:order val="2"/>
          <c:tx>
            <c:strRef>
              <c:f>DCF!$E$114</c:f>
              <c:strCache>
                <c:ptCount val="1"/>
                <c:pt idx="0">
                  <c:v>High</c:v>
                </c:pt>
              </c:strCache>
            </c:strRef>
          </c:tx>
          <c:spPr>
            <a:noFill/>
          </c:spPr>
          <c:invertIfNegative val="0"/>
          <c:dLbls>
            <c:spPr>
              <a:noFill/>
              <a:ln>
                <a:noFill/>
              </a:ln>
              <a:effectLst/>
            </c:spPr>
            <c:dLblPos val="inBase"/>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DCF!$B$115:$B$118</c:f>
              <c:strCache>
                <c:ptCount val="4"/>
                <c:pt idx="0">
                  <c:v>DCF Value at 6.3x-8.3x Exit EBITDA Range</c:v>
                </c:pt>
                <c:pt idx="1">
                  <c:v>DCF Value at 2.0%-4.0% Perpetuity Range</c:v>
                </c:pt>
                <c:pt idx="2">
                  <c:v>LBO Value at 15.0%-35.0% Sponsor Hurdle Rate</c:v>
                </c:pt>
                <c:pt idx="3">
                  <c:v>52 Week Market High/Low</c:v>
                </c:pt>
              </c:strCache>
            </c:strRef>
          </c:cat>
          <c:val>
            <c:numRef>
              <c:f>DCF!$E$115:$E$118</c:f>
              <c:numCache>
                <c:formatCode>#,##0.0_);\(#,##0.0\);\-_);@_)</c:formatCode>
                <c:ptCount val="4"/>
                <c:pt idx="0">
                  <c:v>31.712373310545765</c:v>
                </c:pt>
                <c:pt idx="1">
                  <c:v>51.147017013727236</c:v>
                </c:pt>
                <c:pt idx="2">
                  <c:v>58.470727202802323</c:v>
                </c:pt>
                <c:pt idx="3">
                  <c:v>46.33</c:v>
                </c:pt>
              </c:numCache>
            </c:numRef>
          </c:val>
        </c:ser>
        <c:dLbls>
          <c:showLegendKey val="0"/>
          <c:showVal val="0"/>
          <c:showCatName val="0"/>
          <c:showSerName val="0"/>
          <c:showPercent val="0"/>
          <c:showBubbleSize val="0"/>
        </c:dLbls>
        <c:gapWidth val="150"/>
        <c:overlap val="100"/>
        <c:axId val="1079266328"/>
        <c:axId val="1079269464"/>
      </c:barChart>
      <c:catAx>
        <c:axId val="1079266328"/>
        <c:scaling>
          <c:orientation val="minMax"/>
        </c:scaling>
        <c:delete val="0"/>
        <c:axPos val="b"/>
        <c:numFmt formatCode="General" sourceLinked="0"/>
        <c:majorTickMark val="out"/>
        <c:minorTickMark val="none"/>
        <c:tickLblPos val="nextTo"/>
        <c:crossAx val="1079269464"/>
        <c:crosses val="autoZero"/>
        <c:auto val="1"/>
        <c:lblAlgn val="ctr"/>
        <c:lblOffset val="100"/>
        <c:noMultiLvlLbl val="0"/>
      </c:catAx>
      <c:valAx>
        <c:axId val="1079269464"/>
        <c:scaling>
          <c:orientation val="minMax"/>
          <c:max val="60"/>
          <c:min val="10"/>
        </c:scaling>
        <c:delete val="0"/>
        <c:axPos val="l"/>
        <c:numFmt formatCode="#,##0.0_);\(#,##0.0\);\-_);@_)" sourceLinked="1"/>
        <c:majorTickMark val="out"/>
        <c:minorTickMark val="none"/>
        <c:tickLblPos val="nextTo"/>
        <c:crossAx val="1079266328"/>
        <c:crosses val="autoZero"/>
        <c:crossBetween val="between"/>
      </c:valAx>
    </c:plotArea>
    <c:plotVisOnly val="1"/>
    <c:dispBlanksAs val="gap"/>
    <c:showDLblsOverMax val="0"/>
  </c:chart>
  <c:spPr>
    <a:ln>
      <a:noFill/>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53578</xdr:colOff>
      <xdr:row>93</xdr:row>
      <xdr:rowOff>149424</xdr:rowOff>
    </xdr:from>
    <xdr:to>
      <xdr:col>4</xdr:col>
      <xdr:colOff>654844</xdr:colOff>
      <xdr:row>112</xdr:row>
      <xdr:rowOff>53578</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OCUME~1/Owner/LOCALS~1/Temp/Rar$DI00.921/Valuation_2010_Model.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nkumar.WSP/Downloads/DataSet1.xlsb"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istorical Data"/>
      <sheetName val="Forecast Drivers"/>
      <sheetName val="Results"/>
      <sheetName val="Valuation Summary"/>
    </sheetNames>
    <sheetDataSet>
      <sheetData sheetId="0" refreshError="1"/>
      <sheetData sheetId="1">
        <row r="25">
          <cell r="E25">
            <v>0</v>
          </cell>
          <cell r="F25">
            <v>0</v>
          </cell>
          <cell r="G25">
            <v>0</v>
          </cell>
          <cell r="H25">
            <v>0</v>
          </cell>
          <cell r="I25">
            <v>0</v>
          </cell>
          <cell r="J25">
            <v>0</v>
          </cell>
          <cell r="K25">
            <v>0</v>
          </cell>
          <cell r="L25">
            <v>0</v>
          </cell>
          <cell r="M25">
            <v>0</v>
          </cell>
          <cell r="N25">
            <v>0</v>
          </cell>
          <cell r="O25">
            <v>0</v>
          </cell>
          <cell r="P25">
            <v>0</v>
          </cell>
          <cell r="Q25">
            <v>0</v>
          </cell>
          <cell r="R25">
            <v>0</v>
          </cell>
          <cell r="S25">
            <v>0</v>
          </cell>
        </row>
        <row r="330">
          <cell r="D330">
            <v>1</v>
          </cell>
        </row>
      </sheetData>
      <sheetData sheetId="2">
        <row r="142">
          <cell r="F142">
            <v>0</v>
          </cell>
        </row>
        <row r="145">
          <cell r="F145">
            <v>0</v>
          </cell>
          <cell r="G145">
            <v>0</v>
          </cell>
          <cell r="H145">
            <v>0</v>
          </cell>
          <cell r="I145">
            <v>0</v>
          </cell>
          <cell r="J145">
            <v>0</v>
          </cell>
          <cell r="K145">
            <v>0</v>
          </cell>
          <cell r="L145">
            <v>0</v>
          </cell>
          <cell r="M145">
            <v>0</v>
          </cell>
          <cell r="N145">
            <v>0</v>
          </cell>
          <cell r="O145">
            <v>0</v>
          </cell>
          <cell r="P145">
            <v>0</v>
          </cell>
          <cell r="Q145">
            <v>0</v>
          </cell>
          <cell r="R145">
            <v>0</v>
          </cell>
          <cell r="S145">
            <v>0</v>
          </cell>
          <cell r="T145">
            <v>0</v>
          </cell>
          <cell r="U145">
            <v>0</v>
          </cell>
          <cell r="V145">
            <v>0</v>
          </cell>
          <cell r="W145">
            <v>0</v>
          </cell>
          <cell r="X145">
            <v>0</v>
          </cell>
          <cell r="Y145">
            <v>0</v>
          </cell>
          <cell r="Z145">
            <v>0</v>
          </cell>
          <cell r="AA145">
            <v>0</v>
          </cell>
          <cell r="AB145">
            <v>0</v>
          </cell>
          <cell r="AC145">
            <v>0</v>
          </cell>
          <cell r="AD145">
            <v>0</v>
          </cell>
        </row>
        <row r="182">
          <cell r="E182">
            <v>0</v>
          </cell>
          <cell r="F182">
            <v>0</v>
          </cell>
          <cell r="G182">
            <v>0</v>
          </cell>
          <cell r="H182">
            <v>0</v>
          </cell>
          <cell r="I182">
            <v>0</v>
          </cell>
          <cell r="J182">
            <v>0</v>
          </cell>
          <cell r="K182">
            <v>0</v>
          </cell>
          <cell r="L182">
            <v>0</v>
          </cell>
          <cell r="M182">
            <v>0</v>
          </cell>
          <cell r="N182">
            <v>0</v>
          </cell>
          <cell r="O182">
            <v>0</v>
          </cell>
          <cell r="P182">
            <v>0</v>
          </cell>
          <cell r="Q182">
            <v>0</v>
          </cell>
          <cell r="R182">
            <v>0</v>
          </cell>
          <cell r="S182">
            <v>0</v>
          </cell>
          <cell r="T182">
            <v>0</v>
          </cell>
          <cell r="U182">
            <v>0</v>
          </cell>
          <cell r="V182">
            <v>0</v>
          </cell>
          <cell r="W182">
            <v>0</v>
          </cell>
          <cell r="X182">
            <v>0</v>
          </cell>
          <cell r="Y182">
            <v>0</v>
          </cell>
          <cell r="Z182">
            <v>0</v>
          </cell>
          <cell r="AA182">
            <v>0</v>
          </cell>
          <cell r="AB182">
            <v>0</v>
          </cell>
          <cell r="AC182">
            <v>0</v>
          </cell>
          <cell r="AD182">
            <v>0</v>
          </cell>
        </row>
      </sheetData>
      <sheetData sheetId="3"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irc_ans"/>
      <sheetName val="Circ"/>
      <sheetName val="Reg 0"/>
      <sheetName val="Reg_ans"/>
      <sheetName val="CF"/>
      <sheetName val="CF_ans"/>
      <sheetName val="BoostToolkitClipBoard2010"/>
      <sheetName val="DS0"/>
      <sheetName val="DS0_ans"/>
      <sheetName val="Data Set1"/>
      <sheetName val="DataSet2"/>
      <sheetName val="DataSet3"/>
      <sheetName val="Other"/>
      <sheetName val="DataSet4"/>
      <sheetName val="Array0"/>
      <sheetName val="Array1"/>
      <sheetName val="Array2"/>
      <sheetName val="Array3"/>
      <sheetName val="Array4"/>
      <sheetName val="Array5"/>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row r="5">
          <cell r="B5" t="str">
            <v>iPad</v>
          </cell>
          <cell r="C5">
            <v>500</v>
          </cell>
        </row>
        <row r="6">
          <cell r="B6" t="str">
            <v>iPod</v>
          </cell>
          <cell r="C6">
            <v>200</v>
          </cell>
        </row>
        <row r="7">
          <cell r="B7" t="str">
            <v>iPhone</v>
          </cell>
          <cell r="C7">
            <v>400</v>
          </cell>
        </row>
      </sheetData>
      <sheetData sheetId="15"/>
      <sheetData sheetId="16"/>
      <sheetData sheetId="17"/>
      <sheetData sheetId="18"/>
      <sheetData sheetId="19"/>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393"/>
  <sheetViews>
    <sheetView tabSelected="1" zoomScaleNormal="100" workbookViewId="0"/>
  </sheetViews>
  <sheetFormatPr defaultRowHeight="15"/>
  <cols>
    <col min="1" max="1" width="1.7109375" style="8" customWidth="1"/>
    <col min="2" max="2" width="44.140625" style="8" customWidth="1"/>
    <col min="3" max="10" width="15.7109375" style="8" customWidth="1"/>
    <col min="11" max="12" width="12.85546875" style="8" customWidth="1"/>
    <col min="13" max="16384" width="9.140625" style="8"/>
  </cols>
  <sheetData>
    <row r="1" spans="2:10" ht="15.75" thickBot="1"/>
    <row r="2" spans="2:10" ht="27" thickBot="1">
      <c r="B2" s="1" t="str">
        <f>"Leveraged buyout model for "&amp;D6</f>
        <v>Leveraged buyout model for BMC</v>
      </c>
      <c r="C2" s="9"/>
      <c r="D2" s="9"/>
      <c r="E2" s="9"/>
      <c r="F2" s="9"/>
      <c r="G2" s="9"/>
      <c r="H2" s="9"/>
      <c r="I2" s="9"/>
      <c r="J2" s="9"/>
    </row>
    <row r="3" spans="2:10">
      <c r="B3" s="2" t="s">
        <v>0</v>
      </c>
      <c r="C3" s="10"/>
      <c r="F3" s="11"/>
      <c r="G3" s="11"/>
      <c r="H3" s="11"/>
      <c r="I3" s="11"/>
      <c r="J3" s="11"/>
    </row>
    <row r="4" spans="2:10">
      <c r="B4" s="12"/>
      <c r="D4" s="10"/>
    </row>
    <row r="5" spans="2:10">
      <c r="B5" s="13" t="s">
        <v>180</v>
      </c>
      <c r="C5" s="15"/>
      <c r="D5" s="15"/>
      <c r="E5" s="11"/>
      <c r="F5" s="153" t="s">
        <v>181</v>
      </c>
      <c r="G5" s="15"/>
      <c r="H5" s="15"/>
      <c r="I5" s="15"/>
      <c r="J5" s="15"/>
    </row>
    <row r="6" spans="2:10">
      <c r="B6" s="159" t="s">
        <v>1</v>
      </c>
      <c r="D6" s="378" t="s">
        <v>226</v>
      </c>
      <c r="E6" s="11"/>
    </row>
    <row r="7" spans="2:10">
      <c r="B7" s="159" t="s">
        <v>178</v>
      </c>
      <c r="D7" s="378" t="s">
        <v>226</v>
      </c>
      <c r="E7" s="11"/>
      <c r="F7" s="72" t="s">
        <v>252</v>
      </c>
      <c r="H7" s="340">
        <v>2</v>
      </c>
      <c r="I7" s="251">
        <v>1</v>
      </c>
      <c r="J7" s="252">
        <v>2</v>
      </c>
    </row>
    <row r="8" spans="2:10">
      <c r="B8" s="139" t="s">
        <v>179</v>
      </c>
      <c r="D8" s="135">
        <v>45.42</v>
      </c>
      <c r="E8" s="11"/>
      <c r="H8" s="341" t="str">
        <f>CHOOSE(H7,I8,J8)</f>
        <v>Explicit offer/share</v>
      </c>
      <c r="I8" s="253" t="s">
        <v>254</v>
      </c>
      <c r="J8" s="253" t="s">
        <v>255</v>
      </c>
    </row>
    <row r="9" spans="2:10">
      <c r="B9" s="159" t="s">
        <v>251</v>
      </c>
      <c r="D9" s="365">
        <v>41400</v>
      </c>
      <c r="E9" s="11"/>
      <c r="H9" s="11"/>
    </row>
    <row r="10" spans="2:10">
      <c r="B10" s="139" t="s">
        <v>4</v>
      </c>
      <c r="D10" s="5" t="s">
        <v>5</v>
      </c>
      <c r="E10" s="11"/>
      <c r="F10" s="4" t="s">
        <v>123</v>
      </c>
      <c r="H10" s="85">
        <f>D13</f>
        <v>882.70000000000027</v>
      </c>
      <c r="I10" s="41">
        <f>D13</f>
        <v>882.70000000000027</v>
      </c>
      <c r="J10" s="85">
        <f>D13</f>
        <v>882.70000000000027</v>
      </c>
    </row>
    <row r="11" spans="2:10">
      <c r="E11" s="11"/>
      <c r="F11" s="4" t="s">
        <v>175</v>
      </c>
      <c r="H11" s="92">
        <f>CHOOSE(H7,I11,J11)</f>
        <v>7.3252818058230416</v>
      </c>
      <c r="I11" s="74">
        <v>7.3</v>
      </c>
      <c r="J11" s="92">
        <f>J12/J10</f>
        <v>7.3252818058230416</v>
      </c>
    </row>
    <row r="12" spans="2:10">
      <c r="B12" s="13" t="s">
        <v>295</v>
      </c>
      <c r="C12" s="15"/>
      <c r="D12" s="13"/>
      <c r="E12" s="11"/>
      <c r="F12" s="3" t="s">
        <v>97</v>
      </c>
      <c r="H12" s="57">
        <f>H10*H11</f>
        <v>6466.0262500000008</v>
      </c>
      <c r="I12" s="57">
        <f>I10*I11</f>
        <v>6443.7100000000019</v>
      </c>
      <c r="J12" s="57">
        <f>J17-J14-J15</f>
        <v>6466.0262500000008</v>
      </c>
    </row>
    <row r="13" spans="2:10">
      <c r="B13" s="139" t="s">
        <v>293</v>
      </c>
      <c r="D13" s="227">
        <f>E62</f>
        <v>882.70000000000027</v>
      </c>
      <c r="E13" s="11"/>
      <c r="H13"/>
      <c r="I13"/>
      <c r="J13"/>
    </row>
    <row r="14" spans="2:10">
      <c r="B14" s="139" t="s">
        <v>305</v>
      </c>
      <c r="D14" s="51">
        <v>-1306</v>
      </c>
      <c r="E14" s="11"/>
      <c r="F14" s="139" t="s">
        <v>250</v>
      </c>
      <c r="H14" s="85">
        <f>D14</f>
        <v>-1306</v>
      </c>
      <c r="I14" s="85">
        <f>D14</f>
        <v>-1306</v>
      </c>
      <c r="J14" s="85">
        <f>D14</f>
        <v>-1306</v>
      </c>
    </row>
    <row r="15" spans="2:10">
      <c r="B15" s="139" t="s">
        <v>52</v>
      </c>
      <c r="D15" s="51">
        <f>1379.2+131.2+71.5</f>
        <v>1581.9</v>
      </c>
      <c r="E15" s="11"/>
      <c r="F15" s="139" t="s">
        <v>248</v>
      </c>
      <c r="H15" s="85">
        <f>D15</f>
        <v>1581.9</v>
      </c>
      <c r="I15" s="85">
        <f>D15</f>
        <v>1581.9</v>
      </c>
      <c r="J15" s="85">
        <f>D15</f>
        <v>1581.9</v>
      </c>
    </row>
    <row r="16" spans="2:10">
      <c r="B16" s="34" t="s">
        <v>294</v>
      </c>
      <c r="D16" s="228">
        <v>180</v>
      </c>
      <c r="E16" s="11"/>
      <c r="H16"/>
      <c r="I16"/>
      <c r="J16"/>
    </row>
    <row r="17" spans="2:18">
      <c r="B17" s="139" t="s">
        <v>253</v>
      </c>
      <c r="D17" s="368">
        <v>7.3</v>
      </c>
      <c r="E17" s="11"/>
      <c r="F17" s="3" t="s">
        <v>126</v>
      </c>
      <c r="H17" s="57">
        <f>H12+H14+H15</f>
        <v>6741.9262500000004</v>
      </c>
      <c r="I17" s="57">
        <f>I12+I14+I15</f>
        <v>6719.6100000000024</v>
      </c>
      <c r="J17" s="57">
        <f>J20*J18</f>
        <v>6741.9262500000004</v>
      </c>
    </row>
    <row r="18" spans="2:18">
      <c r="C18" s="233"/>
      <c r="F18" s="8" t="s">
        <v>20</v>
      </c>
      <c r="H18" s="246">
        <f>Shares!E14</f>
        <v>145.77137837837839</v>
      </c>
      <c r="I18" s="227">
        <f>$H$18</f>
        <v>145.77137837837839</v>
      </c>
      <c r="J18" s="227">
        <f t="shared" ref="J18" si="0">$H$18</f>
        <v>145.77137837837839</v>
      </c>
      <c r="K18" s="250"/>
      <c r="L18" s="250"/>
    </row>
    <row r="19" spans="2:18">
      <c r="B19" s="153" t="s">
        <v>214</v>
      </c>
      <c r="C19" s="15"/>
      <c r="D19" s="15"/>
      <c r="H19"/>
      <c r="I19"/>
      <c r="J19"/>
      <c r="K19" s="250"/>
      <c r="L19" s="250"/>
    </row>
    <row r="20" spans="2:18">
      <c r="B20" s="32" t="s">
        <v>127</v>
      </c>
      <c r="D20" s="141">
        <f>H17</f>
        <v>6741.9262500000004</v>
      </c>
      <c r="E20" s="6"/>
      <c r="F20" s="3" t="s">
        <v>176</v>
      </c>
      <c r="H20" s="307">
        <f>H17/H18</f>
        <v>46.25</v>
      </c>
      <c r="I20" s="307">
        <f>I17/I18</f>
        <v>46.096909247561122</v>
      </c>
      <c r="J20" s="366">
        <v>46.25</v>
      </c>
      <c r="K20" s="250"/>
      <c r="L20" s="250"/>
    </row>
    <row r="21" spans="2:18">
      <c r="B21" s="32" t="s">
        <v>129</v>
      </c>
      <c r="D21" s="141">
        <f>-(D14)</f>
        <v>1306</v>
      </c>
      <c r="E21" s="6"/>
      <c r="F21" s="158" t="s">
        <v>177</v>
      </c>
      <c r="H21" s="6">
        <f>H20/$D$8-1</f>
        <v>1.8273888154997753E-2</v>
      </c>
      <c r="I21" s="6">
        <f>I20/$D$8-1</f>
        <v>1.4903329977127289E-2</v>
      </c>
      <c r="J21" s="6">
        <f>J20/$D$8-1</f>
        <v>1.8273888154997753E-2</v>
      </c>
      <c r="K21" s="250"/>
      <c r="L21" s="250"/>
    </row>
    <row r="22" spans="2:18">
      <c r="B22" s="32" t="s">
        <v>300</v>
      </c>
      <c r="D22" s="367">
        <f>H33+H36</f>
        <v>204.52769000000004</v>
      </c>
      <c r="H22" s="158"/>
      <c r="J22" s="249"/>
      <c r="K22" s="250"/>
      <c r="L22" s="250"/>
    </row>
    <row r="23" spans="2:18">
      <c r="B23" s="24" t="s">
        <v>131</v>
      </c>
      <c r="D23" s="164">
        <f>SUM(D20:D22)</f>
        <v>8252.4539400000012</v>
      </c>
      <c r="H23" s="158"/>
      <c r="J23" s="249"/>
      <c r="K23" s="250"/>
      <c r="L23" s="250"/>
    </row>
    <row r="24" spans="2:18">
      <c r="C24" s="233"/>
      <c r="H24" s="158"/>
      <c r="J24" s="249"/>
      <c r="K24" s="250"/>
      <c r="L24" s="250"/>
    </row>
    <row r="25" spans="2:18">
      <c r="B25" s="153" t="s">
        <v>213</v>
      </c>
      <c r="C25" s="15"/>
      <c r="D25" s="15"/>
      <c r="E25" s="141"/>
      <c r="F25" s="13" t="s">
        <v>296</v>
      </c>
      <c r="G25" s="15"/>
      <c r="H25" s="15"/>
      <c r="I25" s="15"/>
      <c r="J25" s="15"/>
    </row>
    <row r="26" spans="2:18" ht="16.5">
      <c r="C26" s="160" t="s">
        <v>186</v>
      </c>
      <c r="D26" s="161" t="s">
        <v>187</v>
      </c>
      <c r="G26" s="296" t="s">
        <v>280</v>
      </c>
      <c r="H26" s="296" t="s">
        <v>298</v>
      </c>
      <c r="I26" s="296" t="s">
        <v>279</v>
      </c>
      <c r="J26" s="296" t="s">
        <v>283</v>
      </c>
    </row>
    <row r="27" spans="2:18">
      <c r="B27" s="139" t="s">
        <v>128</v>
      </c>
      <c r="C27" s="326">
        <f>D27/D13</f>
        <v>1.5881953098447941</v>
      </c>
      <c r="D27" s="138">
        <f>MAX(D15-D16,0)</f>
        <v>1401.9</v>
      </c>
      <c r="F27" s="72" t="s">
        <v>278</v>
      </c>
    </row>
    <row r="28" spans="2:18">
      <c r="B28" s="139" t="s">
        <v>32</v>
      </c>
      <c r="C28" s="327">
        <v>0</v>
      </c>
      <c r="D28" s="141">
        <f>C28*$D$13</f>
        <v>0</v>
      </c>
      <c r="F28" s="34" t="str">
        <f>B28</f>
        <v>Revolver</v>
      </c>
      <c r="G28" s="230">
        <v>0.01</v>
      </c>
      <c r="H28" s="138">
        <f>D28*G28</f>
        <v>0</v>
      </c>
      <c r="I28" s="325">
        <v>5</v>
      </c>
      <c r="J28" s="294">
        <f>IFERROR(G28*D28/I28, "NM")</f>
        <v>0</v>
      </c>
    </row>
    <row r="29" spans="2:18">
      <c r="B29" s="30" t="s">
        <v>142</v>
      </c>
      <c r="C29" s="328">
        <v>3.27</v>
      </c>
      <c r="D29" s="141">
        <f t="shared" ref="D29:D34" si="1">C29*$D$13</f>
        <v>2886.429000000001</v>
      </c>
      <c r="F29" s="34" t="str">
        <f>B29</f>
        <v>Term Loan A</v>
      </c>
      <c r="G29" s="230">
        <v>1.4999999999999999E-2</v>
      </c>
      <c r="H29" s="138">
        <f>D29*G29</f>
        <v>43.296435000000017</v>
      </c>
      <c r="I29" s="325">
        <v>7</v>
      </c>
      <c r="J29" s="294">
        <f>IFERROR(G29*D29/I29, "NM")</f>
        <v>6.1852050000000025</v>
      </c>
    </row>
    <row r="30" spans="2:18">
      <c r="B30" s="30" t="s">
        <v>143</v>
      </c>
      <c r="C30" s="328">
        <v>0.76</v>
      </c>
      <c r="D30" s="141">
        <f t="shared" si="1"/>
        <v>670.8520000000002</v>
      </c>
      <c r="F30" s="34" t="str">
        <f>B30</f>
        <v>Term Loan B</v>
      </c>
      <c r="G30" s="230">
        <v>1.4999999999999999E-2</v>
      </c>
      <c r="H30" s="138">
        <f>D30*G30</f>
        <v>10.062780000000002</v>
      </c>
      <c r="I30" s="325">
        <v>7</v>
      </c>
      <c r="J30" s="294">
        <f>IFERROR(G30*D30/I30, "NM")</f>
        <v>1.4375400000000003</v>
      </c>
      <c r="P30" s="24"/>
      <c r="R30" s="164"/>
    </row>
    <row r="31" spans="2:18">
      <c r="B31" s="30" t="s">
        <v>144</v>
      </c>
      <c r="C31" s="328">
        <v>1.85</v>
      </c>
      <c r="D31" s="141">
        <f t="shared" si="1"/>
        <v>1632.9950000000006</v>
      </c>
      <c r="F31" s="34" t="str">
        <f>B31</f>
        <v>Senior Note</v>
      </c>
      <c r="G31" s="230">
        <v>0.01</v>
      </c>
      <c r="H31" s="138">
        <f>D31*G31</f>
        <v>16.329950000000007</v>
      </c>
      <c r="I31" s="325">
        <v>8</v>
      </c>
      <c r="J31" s="294">
        <f>IFERROR(G31*D31/I31, "NM")</f>
        <v>2.0412437500000009</v>
      </c>
      <c r="P31" s="24"/>
      <c r="R31" s="164"/>
    </row>
    <row r="32" spans="2:18">
      <c r="B32" s="30" t="s">
        <v>145</v>
      </c>
      <c r="C32" s="328">
        <v>0</v>
      </c>
      <c r="D32" s="141">
        <f t="shared" si="1"/>
        <v>0</v>
      </c>
      <c r="F32" s="34" t="str">
        <f>B32</f>
        <v>Sub Note</v>
      </c>
      <c r="G32" s="230">
        <v>0</v>
      </c>
      <c r="H32" s="247">
        <f>D32*G32</f>
        <v>0</v>
      </c>
      <c r="I32" s="325"/>
      <c r="J32" s="331" t="str">
        <f>IFERROR(G32*D32/I32, "NM")</f>
        <v>NM</v>
      </c>
      <c r="P32" s="24"/>
      <c r="R32" s="164"/>
    </row>
    <row r="33" spans="1:18">
      <c r="B33" s="30" t="s">
        <v>170</v>
      </c>
      <c r="C33" s="328">
        <v>0</v>
      </c>
      <c r="D33" s="141">
        <f t="shared" si="1"/>
        <v>0</v>
      </c>
      <c r="F33" s="332" t="s">
        <v>278</v>
      </c>
      <c r="H33" s="226">
        <f>SUM(H28:H32)</f>
        <v>69.689165000000031</v>
      </c>
      <c r="I33" s="83"/>
      <c r="J33" s="138">
        <f>SUM(J28:J32)</f>
        <v>9.6639887500000032</v>
      </c>
      <c r="P33" s="24"/>
      <c r="R33" s="164"/>
    </row>
    <row r="34" spans="1:18">
      <c r="B34" s="32" t="s">
        <v>216</v>
      </c>
      <c r="C34" s="329">
        <v>0</v>
      </c>
      <c r="D34" s="273">
        <f t="shared" si="1"/>
        <v>0</v>
      </c>
      <c r="H34" s="226"/>
      <c r="P34" s="24"/>
      <c r="R34" s="164"/>
    </row>
    <row r="35" spans="1:18" ht="16.5">
      <c r="B35" s="30" t="s">
        <v>130</v>
      </c>
      <c r="C35" s="326">
        <f>D35/D13</f>
        <v>1.8809085079868568</v>
      </c>
      <c r="D35" s="247">
        <f>D23-SUM(D27:D34)</f>
        <v>1660.277939999999</v>
      </c>
      <c r="F35" s="34"/>
      <c r="G35" s="296" t="s">
        <v>297</v>
      </c>
      <c r="H35" s="296" t="s">
        <v>298</v>
      </c>
      <c r="P35" s="24"/>
      <c r="R35" s="164"/>
    </row>
    <row r="36" spans="1:18">
      <c r="B36" s="45" t="s">
        <v>188</v>
      </c>
      <c r="C36" s="330">
        <f>SUM(C27:C35)</f>
        <v>9.3491038178316508</v>
      </c>
      <c r="D36" s="278">
        <f>SUM(D27:D35)</f>
        <v>8252.4539400000012</v>
      </c>
      <c r="F36" s="332" t="s">
        <v>299</v>
      </c>
      <c r="G36" s="333">
        <v>0.02</v>
      </c>
      <c r="H36" s="226">
        <f>G36*H17</f>
        <v>134.838525</v>
      </c>
    </row>
    <row r="37" spans="1:18">
      <c r="E37" s="11"/>
      <c r="K37" s="11"/>
    </row>
    <row r="38" spans="1:18">
      <c r="A38" s="8" t="s">
        <v>94</v>
      </c>
      <c r="B38" s="13" t="s">
        <v>6</v>
      </c>
      <c r="C38" s="14"/>
      <c r="D38" s="15"/>
      <c r="E38" s="15"/>
      <c r="F38" s="15"/>
      <c r="G38" s="15"/>
      <c r="H38" s="15"/>
      <c r="I38" s="15"/>
      <c r="J38" s="15"/>
      <c r="K38" s="11"/>
    </row>
    <row r="39" spans="1:18">
      <c r="B39" s="11" t="s">
        <v>7</v>
      </c>
      <c r="C39" s="16">
        <f>D39-1</f>
        <v>2011</v>
      </c>
      <c r="D39" s="16">
        <f>E39-1</f>
        <v>2012</v>
      </c>
      <c r="E39" s="369">
        <f>YEAR(E40)</f>
        <v>2013</v>
      </c>
      <c r="F39" s="17">
        <f>E39+1</f>
        <v>2014</v>
      </c>
      <c r="G39" s="17">
        <f>F39+1</f>
        <v>2015</v>
      </c>
      <c r="H39" s="17">
        <f>G39+1</f>
        <v>2016</v>
      </c>
      <c r="I39" s="17">
        <f>H39+1</f>
        <v>2017</v>
      </c>
      <c r="J39" s="17">
        <f>I39+1</f>
        <v>2018</v>
      </c>
      <c r="K39" s="11"/>
    </row>
    <row r="40" spans="1:18">
      <c r="B40" s="18" t="s">
        <v>8</v>
      </c>
      <c r="C40" s="19">
        <v>40633</v>
      </c>
      <c r="D40" s="19">
        <v>40999</v>
      </c>
      <c r="E40" s="19">
        <v>41364</v>
      </c>
      <c r="F40" s="20">
        <f>EOMONTH(E40,12)</f>
        <v>41729</v>
      </c>
      <c r="G40" s="20">
        <f>EOMONTH(F40,12)</f>
        <v>42094</v>
      </c>
      <c r="H40" s="20">
        <f>EOMONTH(G40,12)</f>
        <v>42460</v>
      </c>
      <c r="I40" s="20">
        <f>EOMONTH(H40,12)</f>
        <v>42825</v>
      </c>
      <c r="J40" s="20">
        <f>EOMONTH(I40,12)</f>
        <v>43190</v>
      </c>
      <c r="K40" s="11"/>
    </row>
    <row r="41" spans="1:18">
      <c r="B41" s="21"/>
      <c r="C41" s="22"/>
      <c r="D41" s="22"/>
      <c r="E41" s="23"/>
      <c r="F41" s="23"/>
      <c r="G41" s="23"/>
      <c r="H41" s="23"/>
      <c r="I41" s="23"/>
      <c r="J41" s="23"/>
      <c r="K41" s="11"/>
    </row>
    <row r="42" spans="1:18">
      <c r="B42" s="11" t="s">
        <v>9</v>
      </c>
      <c r="C42" s="220">
        <v>2065.3000000000002</v>
      </c>
      <c r="D42" s="220">
        <v>2172</v>
      </c>
      <c r="E42" s="220">
        <v>2201.4</v>
      </c>
      <c r="F42" s="221">
        <f>E42*(1+F65)</f>
        <v>2278.4490000000001</v>
      </c>
      <c r="G42" s="221">
        <f>F42*(1+G65)</f>
        <v>2403.7636950000001</v>
      </c>
      <c r="H42" s="221">
        <f>G42*(1+H65)</f>
        <v>2547.9895167000004</v>
      </c>
      <c r="I42" s="221">
        <f>H42*(1+I65)</f>
        <v>2675.3889925350004</v>
      </c>
      <c r="J42" s="221">
        <f>I42*(1+J65)</f>
        <v>2803.8076641766806</v>
      </c>
    </row>
    <row r="43" spans="1:18">
      <c r="B43" s="11" t="s">
        <v>10</v>
      </c>
      <c r="C43" s="220">
        <f>-(129.8+169.4+186)</f>
        <v>-485.20000000000005</v>
      </c>
      <c r="D43" s="220">
        <f>-(158.4+198.5+212)</f>
        <v>-568.9</v>
      </c>
      <c r="E43" s="220">
        <f>-(159.6+208.4+224)</f>
        <v>-592</v>
      </c>
      <c r="F43" s="221">
        <f>F44-F42</f>
        <v>-581.59219970234994</v>
      </c>
      <c r="G43" s="221">
        <f t="shared" ref="G43:J43" si="2">G44-G42</f>
        <v>-601.56095221097917</v>
      </c>
      <c r="H43" s="221">
        <f t="shared" si="2"/>
        <v>-624.91466176013796</v>
      </c>
      <c r="I43" s="221">
        <f t="shared" si="2"/>
        <v>-642.78344988546974</v>
      </c>
      <c r="J43" s="221">
        <f t="shared" si="2"/>
        <v>-659.61801715908905</v>
      </c>
    </row>
    <row r="44" spans="1:18">
      <c r="B44" s="24" t="s">
        <v>11</v>
      </c>
      <c r="C44" s="219">
        <f>SUM(C42:C43)</f>
        <v>1580.1000000000001</v>
      </c>
      <c r="D44" s="219">
        <f>SUM(D42:D43)</f>
        <v>1603.1</v>
      </c>
      <c r="E44" s="219">
        <f>SUM(E42:E43)</f>
        <v>1609.4</v>
      </c>
      <c r="F44" s="219">
        <f>F66*F42</f>
        <v>1696.8568002976501</v>
      </c>
      <c r="G44" s="219">
        <f>G66*G42</f>
        <v>1802.2027427890209</v>
      </c>
      <c r="H44" s="219">
        <f>H66*H42</f>
        <v>1923.0748549398625</v>
      </c>
      <c r="I44" s="219">
        <f>I66*I42</f>
        <v>2032.6055426495307</v>
      </c>
      <c r="J44" s="219">
        <f>J66*J42</f>
        <v>2144.1896470175916</v>
      </c>
    </row>
    <row r="45" spans="1:18">
      <c r="B45" s="25" t="s">
        <v>12</v>
      </c>
      <c r="C45" s="220">
        <v>-181.6</v>
      </c>
      <c r="D45" s="220">
        <v>-165.2</v>
      </c>
      <c r="E45" s="220">
        <v>-174.6</v>
      </c>
      <c r="F45" s="221">
        <f>-(F67*F42)</f>
        <v>-184.78313334862591</v>
      </c>
      <c r="G45" s="221">
        <f>-(G67*G42)</f>
        <v>-194.94620568280035</v>
      </c>
      <c r="H45" s="221">
        <f>-(H67*H42)</f>
        <v>-206.64297802376839</v>
      </c>
      <c r="I45" s="221">
        <f>-(I67*I42)</f>
        <v>-216.97512692495681</v>
      </c>
      <c r="J45" s="221">
        <f>-(J67*J42)</f>
        <v>-227.38993301735476</v>
      </c>
    </row>
    <row r="46" spans="1:18">
      <c r="B46" s="25" t="s">
        <v>13</v>
      </c>
      <c r="C46" s="220">
        <f>-(611.4+220.7+33.6)</f>
        <v>-865.69999999999993</v>
      </c>
      <c r="D46" s="220">
        <f>-(634+217.9+42.1)</f>
        <v>-894</v>
      </c>
      <c r="E46" s="220">
        <f>-(686.9+238.7+43.8)</f>
        <v>-969.39999999999986</v>
      </c>
      <c r="F46" s="221">
        <f>-(F68*F42)</f>
        <v>-965.39603068528015</v>
      </c>
      <c r="G46" s="221">
        <f>-(G68*G42)</f>
        <v>-994.45517542297057</v>
      </c>
      <c r="H46" s="221">
        <f>-(H68*H42)</f>
        <v>-1028.6425907813489</v>
      </c>
      <c r="I46" s="221">
        <f>-(I68*I42)</f>
        <v>-1053.3208303950664</v>
      </c>
      <c r="J46" s="221">
        <f>-(J68*J42)</f>
        <v>-1075.8421536122628</v>
      </c>
    </row>
    <row r="47" spans="1:18">
      <c r="B47" s="25" t="s">
        <v>326</v>
      </c>
      <c r="C47" s="220"/>
      <c r="D47" s="220"/>
      <c r="E47" s="220"/>
      <c r="F47" s="221">
        <f>F198-SUM($E$391:$E$392)</f>
        <v>-52.997322083333337</v>
      </c>
      <c r="G47" s="221">
        <f t="shared" ref="G47:J47" si="3">G198-SUM($E$391:$E$392)</f>
        <v>-52.997322083333337</v>
      </c>
      <c r="H47" s="221">
        <f t="shared" si="3"/>
        <v>-52.997322083333337</v>
      </c>
      <c r="I47" s="221">
        <f t="shared" si="3"/>
        <v>-52.997322083333337</v>
      </c>
      <c r="J47" s="221">
        <f t="shared" si="3"/>
        <v>-52.997322083333337</v>
      </c>
    </row>
    <row r="48" spans="1:18">
      <c r="B48" s="24" t="s">
        <v>14</v>
      </c>
      <c r="C48" s="219">
        <f t="shared" ref="C48:E48" si="4">SUM(C44:C47)</f>
        <v>532.8000000000003</v>
      </c>
      <c r="D48" s="219">
        <f t="shared" si="4"/>
        <v>543.89999999999986</v>
      </c>
      <c r="E48" s="219">
        <f t="shared" si="4"/>
        <v>465.40000000000032</v>
      </c>
      <c r="F48" s="219">
        <f>SUM(F44:F47)</f>
        <v>493.68031418041079</v>
      </c>
      <c r="G48" s="219">
        <f t="shared" ref="G48:J48" si="5">SUM(G44:G47)</f>
        <v>559.80403959991668</v>
      </c>
      <c r="H48" s="219">
        <f t="shared" si="5"/>
        <v>634.79196405141192</v>
      </c>
      <c r="I48" s="219">
        <f t="shared" si="5"/>
        <v>709.3122632461741</v>
      </c>
      <c r="J48" s="219">
        <f t="shared" si="5"/>
        <v>787.96023830464082</v>
      </c>
      <c r="K48" s="41"/>
    </row>
    <row r="49" spans="2:16">
      <c r="B49" s="11" t="s">
        <v>15</v>
      </c>
      <c r="C49" s="220">
        <v>15</v>
      </c>
      <c r="D49" s="220">
        <v>10.6</v>
      </c>
      <c r="E49" s="220">
        <v>8.3000000000000007</v>
      </c>
      <c r="F49" s="141">
        <f ca="1">F146</f>
        <v>0.92867132867132884</v>
      </c>
      <c r="G49" s="141">
        <f t="shared" ref="G49:J49" ca="1" si="6">G146</f>
        <v>0.92867132867132673</v>
      </c>
      <c r="H49" s="141">
        <f t="shared" ca="1" si="6"/>
        <v>0.92867132867124558</v>
      </c>
      <c r="I49" s="141">
        <f t="shared" ca="1" si="6"/>
        <v>0.92867132940564379</v>
      </c>
      <c r="J49" s="141">
        <f t="shared" ca="1" si="6"/>
        <v>0.92867167222441804</v>
      </c>
    </row>
    <row r="50" spans="2:16">
      <c r="B50" s="11" t="s">
        <v>16</v>
      </c>
      <c r="C50" s="220">
        <v>-19.8</v>
      </c>
      <c r="D50" s="220">
        <v>-23.3</v>
      </c>
      <c r="E50" s="220">
        <v>-47.8</v>
      </c>
      <c r="F50" s="141">
        <f ca="1">-(SUM(F207:F212))</f>
        <v>-296.94126079648021</v>
      </c>
      <c r="G50" s="141">
        <f t="shared" ref="G50" ca="1" si="7">-(SUM(G207:G212))</f>
        <v>-275.9548849256559</v>
      </c>
      <c r="H50" s="141">
        <f ca="1">-(SUM(H207:H212))</f>
        <v>-256.90762688959495</v>
      </c>
      <c r="I50" s="141">
        <f ca="1">-(SUM(I207:I212))</f>
        <v>-230.97058476750078</v>
      </c>
      <c r="J50" s="141">
        <f ca="1">-(SUM(J207:J212))</f>
        <v>-192.50624461695026</v>
      </c>
    </row>
    <row r="51" spans="2:16">
      <c r="B51" s="25" t="s">
        <v>227</v>
      </c>
      <c r="C51" s="220">
        <v>3.3</v>
      </c>
      <c r="D51" s="220">
        <v>-1.2</v>
      </c>
      <c r="E51" s="220">
        <v>2</v>
      </c>
      <c r="F51" s="254">
        <v>0</v>
      </c>
      <c r="G51" s="254">
        <v>0</v>
      </c>
      <c r="H51" s="254">
        <v>0</v>
      </c>
      <c r="I51" s="254">
        <v>0</v>
      </c>
      <c r="J51" s="254">
        <v>0</v>
      </c>
    </row>
    <row r="52" spans="2:16">
      <c r="B52" s="24" t="s">
        <v>17</v>
      </c>
      <c r="C52" s="219">
        <f t="shared" ref="C52:F52" si="8">SUM(C48:C51)</f>
        <v>531.3000000000003</v>
      </c>
      <c r="D52" s="219">
        <f t="shared" si="8"/>
        <v>529.99999999999989</v>
      </c>
      <c r="E52" s="219">
        <f t="shared" si="8"/>
        <v>427.90000000000032</v>
      </c>
      <c r="F52" s="219">
        <f t="shared" ca="1" si="8"/>
        <v>197.66772471260191</v>
      </c>
      <c r="G52" s="219">
        <f t="shared" ref="G52" ca="1" si="9">SUM(G48:G51)</f>
        <v>284.77782600293204</v>
      </c>
      <c r="H52" s="219">
        <f t="shared" ref="H52" ca="1" si="10">SUM(H48:H51)</f>
        <v>378.81300849048824</v>
      </c>
      <c r="I52" s="219">
        <f t="shared" ref="I52" ca="1" si="11">SUM(I48:I51)</f>
        <v>479.270349808079</v>
      </c>
      <c r="J52" s="219">
        <f t="shared" ref="J52" ca="1" si="12">SUM(J48:J51)</f>
        <v>596.38266535991488</v>
      </c>
    </row>
    <row r="53" spans="2:16">
      <c r="B53" s="11" t="s">
        <v>18</v>
      </c>
      <c r="C53" s="220">
        <v>-75.099999999999994</v>
      </c>
      <c r="D53" s="220">
        <v>-129</v>
      </c>
      <c r="E53" s="220">
        <v>-96.9</v>
      </c>
      <c r="F53" s="221">
        <f ca="1">-(F69*F52)</f>
        <v>-44.762800945667479</v>
      </c>
      <c r="G53" s="221">
        <f ca="1">-(G69*G52)</f>
        <v>-64.489299695452431</v>
      </c>
      <c r="H53" s="221">
        <f ca="1">-(H69*H52)</f>
        <v>-85.784016178378792</v>
      </c>
      <c r="I53" s="221">
        <f ca="1">-(I69*I52)</f>
        <v>-108.5330612208526</v>
      </c>
      <c r="J53" s="221">
        <f ca="1">-(J69*J52)</f>
        <v>-135.05370477535806</v>
      </c>
    </row>
    <row r="54" spans="2:16">
      <c r="B54" s="24" t="s">
        <v>19</v>
      </c>
      <c r="C54" s="222">
        <f t="shared" ref="C54:F54" si="13">SUM(C52:C53)</f>
        <v>456.20000000000027</v>
      </c>
      <c r="D54" s="222">
        <f t="shared" si="13"/>
        <v>400.99999999999989</v>
      </c>
      <c r="E54" s="222">
        <f t="shared" si="13"/>
        <v>331.00000000000034</v>
      </c>
      <c r="F54" s="222">
        <f t="shared" ca="1" si="13"/>
        <v>152.90492376693442</v>
      </c>
      <c r="G54" s="222">
        <f t="shared" ref="G54" ca="1" si="14">SUM(G52:G53)</f>
        <v>220.28852630747963</v>
      </c>
      <c r="H54" s="222">
        <f t="shared" ref="H54" ca="1" si="15">SUM(H52:H53)</f>
        <v>293.02899231210944</v>
      </c>
      <c r="I54" s="222">
        <f t="shared" ref="I54" ca="1" si="16">SUM(I52:I53)</f>
        <v>370.73728858722643</v>
      </c>
      <c r="J54" s="222">
        <f t="shared" ref="J54" ca="1" si="17">SUM(J52:J53)</f>
        <v>461.32896058455685</v>
      </c>
    </row>
    <row r="55" spans="2:16">
      <c r="C55" s="41"/>
      <c r="D55" s="41"/>
      <c r="E55" s="41"/>
      <c r="F55" s="138"/>
      <c r="G55" s="41"/>
      <c r="H55" s="41"/>
      <c r="I55" s="41"/>
      <c r="J55" s="41"/>
    </row>
    <row r="56" spans="2:16">
      <c r="B56" s="33" t="s">
        <v>232</v>
      </c>
      <c r="C56" s="41"/>
      <c r="D56" s="41"/>
      <c r="E56" s="41"/>
      <c r="L56" s="67"/>
      <c r="M56" s="67"/>
      <c r="N56" s="67"/>
      <c r="O56" s="67"/>
      <c r="P56" s="67"/>
    </row>
    <row r="57" spans="2:16">
      <c r="B57" s="54" t="s">
        <v>231</v>
      </c>
      <c r="C57" s="226">
        <f t="shared" ref="C57:J57" si="18">C48</f>
        <v>532.8000000000003</v>
      </c>
      <c r="D57" s="226">
        <f t="shared" si="18"/>
        <v>543.89999999999986</v>
      </c>
      <c r="E57" s="226">
        <f t="shared" si="18"/>
        <v>465.40000000000032</v>
      </c>
      <c r="F57" s="226">
        <f t="shared" si="18"/>
        <v>493.68031418041079</v>
      </c>
      <c r="G57" s="226">
        <f t="shared" si="18"/>
        <v>559.80403959991668</v>
      </c>
      <c r="H57" s="226">
        <f t="shared" si="18"/>
        <v>634.79196405141192</v>
      </c>
      <c r="I57" s="226">
        <f t="shared" si="18"/>
        <v>709.3122632461741</v>
      </c>
      <c r="J57" s="226">
        <f t="shared" si="18"/>
        <v>787.96023830464082</v>
      </c>
      <c r="K57"/>
    </row>
    <row r="58" spans="2:16">
      <c r="B58" s="34" t="s">
        <v>42</v>
      </c>
      <c r="C58" s="225">
        <v>190</v>
      </c>
      <c r="D58" s="225">
        <f>224.6</f>
        <v>224.6</v>
      </c>
      <c r="E58" s="225">
        <f>229</f>
        <v>229</v>
      </c>
      <c r="F58" s="370">
        <f>-(F93+F99+F105)</f>
        <v>223.94686822877298</v>
      </c>
      <c r="G58" s="370">
        <f t="shared" ref="G58:J58" si="19">-(G93+G99+G105)</f>
        <v>220.60103174603177</v>
      </c>
      <c r="H58" s="370">
        <f t="shared" si="19"/>
        <v>222.40078105316201</v>
      </c>
      <c r="I58" s="370">
        <f t="shared" si="19"/>
        <v>224.19373141849334</v>
      </c>
      <c r="J58" s="370">
        <f t="shared" si="19"/>
        <v>223.00000000000003</v>
      </c>
      <c r="K58"/>
    </row>
    <row r="59" spans="2:16">
      <c r="B59" s="32" t="s">
        <v>327</v>
      </c>
      <c r="C59" s="225"/>
      <c r="D59" s="225"/>
      <c r="E59" s="225"/>
      <c r="F59" s="227">
        <f>-(F47)</f>
        <v>52.997322083333337</v>
      </c>
      <c r="G59" s="227">
        <f>-(G47)</f>
        <v>52.997322083333337</v>
      </c>
      <c r="H59" s="227">
        <f>-(H47)</f>
        <v>52.997322083333337</v>
      </c>
      <c r="I59" s="227">
        <f>-(I47)</f>
        <v>52.997322083333337</v>
      </c>
      <c r="J59" s="227">
        <f>-(J47)</f>
        <v>52.997322083333337</v>
      </c>
      <c r="K59"/>
    </row>
    <row r="60" spans="2:16">
      <c r="B60" s="34" t="s">
        <v>27</v>
      </c>
      <c r="C60" s="223">
        <v>106.5</v>
      </c>
      <c r="D60" s="223">
        <v>127.2</v>
      </c>
      <c r="E60" s="223">
        <v>147.4</v>
      </c>
      <c r="F60" s="138">
        <f>-(F70*SUM(F43,F45:F46))</f>
        <v>161.0547368274718</v>
      </c>
      <c r="G60" s="138">
        <f>-(G70*SUM(G43,G45:G46))</f>
        <v>162.08209116516588</v>
      </c>
      <c r="H60" s="138">
        <f>-(H70*SUM(H43,H45:H46))</f>
        <v>163.69762028974245</v>
      </c>
      <c r="I60" s="138">
        <f>-(I70*SUM(I43,I45:I46))</f>
        <v>163.56828931606964</v>
      </c>
      <c r="J60" s="138">
        <f>-(J70*SUM(J43,J45:J46))</f>
        <v>162.91655861446264</v>
      </c>
      <c r="K60"/>
    </row>
    <row r="61" spans="2:16">
      <c r="B61" s="34" t="s">
        <v>228</v>
      </c>
      <c r="C61" s="223">
        <v>14.3</v>
      </c>
      <c r="D61" s="223">
        <v>10.8</v>
      </c>
      <c r="E61" s="223">
        <f>36+4.9</f>
        <v>40.9</v>
      </c>
      <c r="F61" s="223">
        <v>16</v>
      </c>
      <c r="G61" s="223">
        <v>5</v>
      </c>
      <c r="H61" s="223">
        <v>5</v>
      </c>
      <c r="I61" s="223">
        <v>0</v>
      </c>
      <c r="J61" s="223">
        <v>0</v>
      </c>
      <c r="K61"/>
    </row>
    <row r="62" spans="2:16">
      <c r="B62" s="147" t="s">
        <v>28</v>
      </c>
      <c r="C62" s="224">
        <f t="shared" ref="C62:J62" si="20">SUM(C57:C61)</f>
        <v>843.60000000000025</v>
      </c>
      <c r="D62" s="224">
        <f t="shared" si="20"/>
        <v>906.49999999999989</v>
      </c>
      <c r="E62" s="224">
        <f t="shared" si="20"/>
        <v>882.70000000000027</v>
      </c>
      <c r="F62" s="224">
        <f t="shared" si="20"/>
        <v>947.67924131998893</v>
      </c>
      <c r="G62" s="224">
        <f t="shared" si="20"/>
        <v>1000.4844845944476</v>
      </c>
      <c r="H62" s="224">
        <f t="shared" si="20"/>
        <v>1078.8876874776497</v>
      </c>
      <c r="I62" s="224">
        <f t="shared" si="20"/>
        <v>1150.0716060640705</v>
      </c>
      <c r="J62" s="224">
        <f t="shared" si="20"/>
        <v>1226.8741190024368</v>
      </c>
      <c r="K62"/>
    </row>
    <row r="63" spans="2:16">
      <c r="B63" s="35"/>
      <c r="C63"/>
      <c r="D63"/>
      <c r="E63"/>
      <c r="F63"/>
      <c r="G63"/>
      <c r="H63"/>
      <c r="I63"/>
      <c r="J63"/>
      <c r="K63"/>
    </row>
    <row r="64" spans="2:16">
      <c r="B64" s="29" t="s">
        <v>21</v>
      </c>
      <c r="C64"/>
      <c r="D64"/>
      <c r="E64"/>
      <c r="F64" s="138"/>
      <c r="K64" s="131" t="s">
        <v>191</v>
      </c>
    </row>
    <row r="65" spans="2:11">
      <c r="B65" s="46" t="s">
        <v>22</v>
      </c>
      <c r="C65" s="6"/>
      <c r="D65" s="6">
        <f>D42/C42-1</f>
        <v>5.1663196630029384E-2</v>
      </c>
      <c r="E65" s="6">
        <f>E42/D42-1</f>
        <v>1.3535911602210016E-2</v>
      </c>
      <c r="F65" s="137">
        <v>3.5000000000000003E-2</v>
      </c>
      <c r="G65" s="137">
        <v>5.5E-2</v>
      </c>
      <c r="H65" s="137">
        <v>0.06</v>
      </c>
      <c r="I65" s="137">
        <v>0.05</v>
      </c>
      <c r="J65" s="137">
        <v>4.8000000000000001E-2</v>
      </c>
      <c r="K65" s="42"/>
    </row>
    <row r="66" spans="2:11">
      <c r="B66" s="46" t="s">
        <v>23</v>
      </c>
      <c r="C66" s="6">
        <f>C44/C42</f>
        <v>0.76507044981358641</v>
      </c>
      <c r="D66" s="6">
        <f>D44/D42</f>
        <v>0.7380755064456721</v>
      </c>
      <c r="E66" s="6">
        <f>E44/E42</f>
        <v>0.73108022167711462</v>
      </c>
      <c r="F66" s="216">
        <f>AVERAGE(C66:E66)</f>
        <v>0.74474205931212423</v>
      </c>
      <c r="G66" s="216">
        <f t="shared" ref="G66:J70" si="21">F66+$K66</f>
        <v>0.74974205931212423</v>
      </c>
      <c r="H66" s="216">
        <f t="shared" si="21"/>
        <v>0.75474205931212424</v>
      </c>
      <c r="I66" s="216">
        <f t="shared" si="21"/>
        <v>0.75974205931212424</v>
      </c>
      <c r="J66" s="216">
        <f t="shared" si="21"/>
        <v>0.76474205931212424</v>
      </c>
      <c r="K66" s="42">
        <v>5.0000000000000001E-3</v>
      </c>
    </row>
    <row r="67" spans="2:11">
      <c r="B67" s="44" t="s">
        <v>24</v>
      </c>
      <c r="C67" s="6">
        <f>-(C45/C42)</f>
        <v>8.7929114414370776E-2</v>
      </c>
      <c r="D67" s="6">
        <f>-(D45/D42)</f>
        <v>7.605893186003683E-2</v>
      </c>
      <c r="E67" s="6">
        <f>-(E45/E42)</f>
        <v>7.9313164349959109E-2</v>
      </c>
      <c r="F67" s="216">
        <f>AVERAGE(C67:E67)</f>
        <v>8.1100403541455576E-2</v>
      </c>
      <c r="G67" s="216">
        <f t="shared" si="21"/>
        <v>8.1100403541455576E-2</v>
      </c>
      <c r="H67" s="216">
        <f t="shared" si="21"/>
        <v>8.1100403541455576E-2</v>
      </c>
      <c r="I67" s="216">
        <f t="shared" si="21"/>
        <v>8.1100403541455576E-2</v>
      </c>
      <c r="J67" s="216">
        <f t="shared" si="21"/>
        <v>8.1100403541455576E-2</v>
      </c>
      <c r="K67" s="42">
        <v>0</v>
      </c>
    </row>
    <row r="68" spans="2:11">
      <c r="B68" s="46" t="s">
        <v>25</v>
      </c>
      <c r="C68" s="6">
        <f>-(C46/C42)</f>
        <v>0.41916428606013645</v>
      </c>
      <c r="D68" s="6">
        <f>-(D46/D42)</f>
        <v>0.41160220994475138</v>
      </c>
      <c r="E68" s="6">
        <f>-(E46/E42)</f>
        <v>0.44035613700372483</v>
      </c>
      <c r="F68" s="216">
        <f>AVERAGE(C68:E68)</f>
        <v>0.42370754433620422</v>
      </c>
      <c r="G68" s="216">
        <f t="shared" si="21"/>
        <v>0.41370754433620421</v>
      </c>
      <c r="H68" s="216">
        <f t="shared" si="21"/>
        <v>0.4037075443362042</v>
      </c>
      <c r="I68" s="216">
        <f t="shared" si="21"/>
        <v>0.3937075443362042</v>
      </c>
      <c r="J68" s="216">
        <f t="shared" si="21"/>
        <v>0.38370754433620419</v>
      </c>
      <c r="K68" s="42">
        <v>-0.01</v>
      </c>
    </row>
    <row r="69" spans="2:11">
      <c r="B69" s="46" t="s">
        <v>26</v>
      </c>
      <c r="C69" s="6">
        <f>-(C53/C52)</f>
        <v>0.14135140222096734</v>
      </c>
      <c r="D69" s="6">
        <f>-(D53/D52)</f>
        <v>0.2433962264150944</v>
      </c>
      <c r="E69" s="6">
        <f>-(E53/E52)</f>
        <v>0.2264547791540078</v>
      </c>
      <c r="F69" s="137">
        <f>E69</f>
        <v>0.2264547791540078</v>
      </c>
      <c r="G69" s="216">
        <f t="shared" si="21"/>
        <v>0.2264547791540078</v>
      </c>
      <c r="H69" s="216">
        <f t="shared" si="21"/>
        <v>0.2264547791540078</v>
      </c>
      <c r="I69" s="216">
        <f t="shared" si="21"/>
        <v>0.2264547791540078</v>
      </c>
      <c r="J69" s="216">
        <f t="shared" si="21"/>
        <v>0.2264547791540078</v>
      </c>
      <c r="K69" s="42">
        <v>0</v>
      </c>
    </row>
    <row r="70" spans="2:11">
      <c r="B70" s="46" t="s">
        <v>40</v>
      </c>
      <c r="C70" s="6">
        <f>-(C60/SUM(C43,C45:C46))</f>
        <v>6.949429037520391E-2</v>
      </c>
      <c r="D70" s="6">
        <f>-(D60/SUM(D43,D45:D46))</f>
        <v>7.8127879122904004E-2</v>
      </c>
      <c r="E70" s="6">
        <f>-(E60/SUM(E43,E45:E46))</f>
        <v>8.4907834101382487E-2</v>
      </c>
      <c r="F70" s="137">
        <v>9.2999999999999999E-2</v>
      </c>
      <c r="G70" s="216">
        <f t="shared" si="21"/>
        <v>9.0499999999999997E-2</v>
      </c>
      <c r="H70" s="216">
        <f t="shared" si="21"/>
        <v>8.7999999999999995E-2</v>
      </c>
      <c r="I70" s="216">
        <f t="shared" si="21"/>
        <v>8.5499999999999993E-2</v>
      </c>
      <c r="J70" s="216">
        <f t="shared" si="21"/>
        <v>8.299999999999999E-2</v>
      </c>
      <c r="K70" s="42">
        <v>-2.5000000000000001E-3</v>
      </c>
    </row>
    <row r="71" spans="2:11">
      <c r="B71" s="35"/>
      <c r="C71" s="36"/>
      <c r="D71" s="36"/>
      <c r="E71" s="36"/>
      <c r="F71" s="36"/>
      <c r="G71" s="36"/>
      <c r="H71" s="36"/>
      <c r="I71" s="36"/>
      <c r="J71" s="36"/>
    </row>
    <row r="72" spans="2:11">
      <c r="B72" s="151" t="s">
        <v>34</v>
      </c>
      <c r="C72" s="311"/>
      <c r="D72" s="311"/>
      <c r="E72" s="311"/>
      <c r="F72" s="311"/>
      <c r="G72" s="311"/>
      <c r="H72" s="311"/>
      <c r="I72" s="311"/>
      <c r="J72" s="311"/>
    </row>
    <row r="73" spans="2:11">
      <c r="B73" s="11" t="s">
        <v>7</v>
      </c>
      <c r="C73" s="36"/>
      <c r="D73" s="16">
        <f>D$39</f>
        <v>2012</v>
      </c>
      <c r="E73" s="16">
        <f t="shared" ref="E73:J73" si="22">E$39</f>
        <v>2013</v>
      </c>
      <c r="F73" s="17">
        <f t="shared" si="22"/>
        <v>2014</v>
      </c>
      <c r="G73" s="17">
        <f t="shared" si="22"/>
        <v>2015</v>
      </c>
      <c r="H73" s="17">
        <f t="shared" si="22"/>
        <v>2016</v>
      </c>
      <c r="I73" s="17">
        <f t="shared" si="22"/>
        <v>2017</v>
      </c>
      <c r="J73" s="17">
        <f t="shared" si="22"/>
        <v>2018</v>
      </c>
    </row>
    <row r="74" spans="2:11">
      <c r="B74" s="18" t="s">
        <v>8</v>
      </c>
      <c r="C74" s="311"/>
      <c r="D74" s="20">
        <f>D$40</f>
        <v>40999</v>
      </c>
      <c r="E74" s="20">
        <f t="shared" ref="E74:J74" si="23">E$40</f>
        <v>41364</v>
      </c>
      <c r="F74" s="20">
        <f t="shared" si="23"/>
        <v>41729</v>
      </c>
      <c r="G74" s="20">
        <f t="shared" si="23"/>
        <v>42094</v>
      </c>
      <c r="H74" s="20">
        <f t="shared" si="23"/>
        <v>42460</v>
      </c>
      <c r="I74" s="20">
        <f t="shared" si="23"/>
        <v>42825</v>
      </c>
      <c r="J74" s="20">
        <f t="shared" si="23"/>
        <v>43190</v>
      </c>
    </row>
    <row r="75" spans="2:11">
      <c r="B75" s="21"/>
      <c r="C75" s="36"/>
      <c r="D75" s="36"/>
      <c r="E75" s="36"/>
      <c r="F75" s="36"/>
      <c r="G75" s="36"/>
      <c r="H75" s="36"/>
      <c r="I75" s="36"/>
      <c r="J75" s="36"/>
    </row>
    <row r="76" spans="2:11">
      <c r="B76" s="58" t="s">
        <v>134</v>
      </c>
      <c r="C76" s="48"/>
      <c r="D76" s="217">
        <f>296.7+108+80.1</f>
        <v>484.79999999999995</v>
      </c>
      <c r="E76" s="217">
        <f>265.5+110.4+67.8</f>
        <v>443.7</v>
      </c>
      <c r="F76" s="226">
        <f>IF(F77,F77*F42,E76*(1+F65))</f>
        <v>459.22949999999997</v>
      </c>
      <c r="G76" s="226">
        <f>IF(G77,G77*G42,F76*(1+G65))</f>
        <v>484.4871225</v>
      </c>
      <c r="H76" s="226">
        <f>IF(H77,H77*H42,G76*(1+H65))</f>
        <v>513.55634985000006</v>
      </c>
      <c r="I76" s="226">
        <f>IF(I77,I77*I42,H76*(1+I65))</f>
        <v>539.23416734250009</v>
      </c>
      <c r="J76" s="226">
        <f>IF(J77,J77*J42,I76*(1+J65))</f>
        <v>565.11740737494006</v>
      </c>
    </row>
    <row r="77" spans="2:11">
      <c r="B77" s="64" t="s">
        <v>36</v>
      </c>
      <c r="C77" s="50"/>
      <c r="D77" s="6">
        <f>D76/D42</f>
        <v>0.22320441988950274</v>
      </c>
      <c r="E77" s="6">
        <f>E76/E42</f>
        <v>0.20155355682747342</v>
      </c>
      <c r="F77" s="42">
        <f>E77</f>
        <v>0.20155355682747342</v>
      </c>
      <c r="G77" s="42">
        <f t="shared" ref="G77:J77" si="24">F77</f>
        <v>0.20155355682747342</v>
      </c>
      <c r="H77" s="42">
        <f t="shared" si="24"/>
        <v>0.20155355682747342</v>
      </c>
      <c r="I77" s="42">
        <f t="shared" si="24"/>
        <v>0.20155355682747342</v>
      </c>
      <c r="J77" s="42">
        <f t="shared" si="24"/>
        <v>0.20155355682747342</v>
      </c>
    </row>
    <row r="78" spans="2:11">
      <c r="B78" s="58" t="s">
        <v>229</v>
      </c>
      <c r="C78" s="48"/>
      <c r="D78" s="217">
        <v>195.1</v>
      </c>
      <c r="E78" s="217">
        <v>213.1</v>
      </c>
      <c r="F78" s="226">
        <f>IF(F79,F79*F42,E78*(1+F65))</f>
        <v>220.55850000000001</v>
      </c>
      <c r="G78" s="226">
        <f>IF(G79,G79*G42,F78*(1+G65))</f>
        <v>232.68921750000001</v>
      </c>
      <c r="H78" s="226">
        <f>IF(H79,H79*H42,G78*(1+H65))</f>
        <v>246.65057055000003</v>
      </c>
      <c r="I78" s="226">
        <f>IF(I79,I79*I42,H78*(1+I65))</f>
        <v>258.98309907750001</v>
      </c>
      <c r="J78" s="226">
        <f>IF(J79,J79*J42,I78*(1+J65))</f>
        <v>271.41428783322004</v>
      </c>
    </row>
    <row r="79" spans="2:11">
      <c r="B79" s="64" t="s">
        <v>230</v>
      </c>
      <c r="C79" s="50"/>
      <c r="D79" s="6">
        <f>D78/D42</f>
        <v>8.9825046040515652E-2</v>
      </c>
      <c r="E79" s="6">
        <f>E78/E42</f>
        <v>9.6802035068592709E-2</v>
      </c>
      <c r="F79" s="42">
        <f>E79</f>
        <v>9.6802035068592709E-2</v>
      </c>
      <c r="G79" s="42">
        <f t="shared" ref="G79:J79" si="25">F79</f>
        <v>9.6802035068592709E-2</v>
      </c>
      <c r="H79" s="42">
        <f t="shared" si="25"/>
        <v>9.6802035068592709E-2</v>
      </c>
      <c r="I79" s="42">
        <f t="shared" si="25"/>
        <v>9.6802035068592709E-2</v>
      </c>
      <c r="J79" s="42">
        <f t="shared" si="25"/>
        <v>9.6802035068592709E-2</v>
      </c>
    </row>
    <row r="80" spans="2:11">
      <c r="B80" s="58" t="s">
        <v>133</v>
      </c>
      <c r="C80" s="48"/>
      <c r="D80" s="217">
        <f>31.5+1.2</f>
        <v>32.700000000000003</v>
      </c>
      <c r="E80" s="217">
        <f>31.6+10.5</f>
        <v>42.1</v>
      </c>
      <c r="F80" s="226">
        <f>IF(F81,-(F81*F43),E80*F43/E43)</f>
        <v>41.35985068829212</v>
      </c>
      <c r="G80" s="226">
        <f>IF(G81,-(G81*G43),F80*G43/F43)</f>
        <v>42.77992582446322</v>
      </c>
      <c r="H80" s="226">
        <f>IF(H81,-(H81*H43),G80*H43/G43)</f>
        <v>44.440721723144954</v>
      </c>
      <c r="I80" s="226">
        <f>IF(I81,-(I81*I43),H80*I43/H43)</f>
        <v>45.711458175976823</v>
      </c>
      <c r="J80" s="226">
        <f>IF(J81,-(J81*J43),I80*J43/I43)</f>
        <v>46.908646152698736</v>
      </c>
    </row>
    <row r="81" spans="2:12">
      <c r="B81" s="64" t="s">
        <v>37</v>
      </c>
      <c r="C81" s="50"/>
      <c r="D81" s="6">
        <f>-(D80/D43)</f>
        <v>5.7479346106521362E-2</v>
      </c>
      <c r="E81" s="6">
        <f>-(E80/E43)</f>
        <v>7.1114864864864874E-2</v>
      </c>
      <c r="F81" s="42">
        <f>E81</f>
        <v>7.1114864864864874E-2</v>
      </c>
      <c r="G81" s="42">
        <f t="shared" ref="G81:J81" si="26">F81</f>
        <v>7.1114864864864874E-2</v>
      </c>
      <c r="H81" s="42">
        <f t="shared" si="26"/>
        <v>7.1114864864864874E-2</v>
      </c>
      <c r="I81" s="42">
        <f t="shared" si="26"/>
        <v>7.1114864864864874E-2</v>
      </c>
      <c r="J81" s="42">
        <f t="shared" si="26"/>
        <v>7.1114864864864874E-2</v>
      </c>
    </row>
    <row r="82" spans="2:12">
      <c r="B82" s="58" t="s">
        <v>132</v>
      </c>
      <c r="C82" s="144"/>
      <c r="D82" s="217">
        <f>319.4+1059.5+934.4</f>
        <v>2313.3000000000002</v>
      </c>
      <c r="E82" s="217">
        <f>326.4+1038.6+936.7</f>
        <v>2301.6999999999998</v>
      </c>
      <c r="F82" s="226">
        <f>IF(F83,F83*F42,E82*(1+F65))</f>
        <v>2382.2594999999997</v>
      </c>
      <c r="G82" s="226">
        <f>IF(G83,G83*G42,F82*(1+G65))</f>
        <v>2513.2837724999995</v>
      </c>
      <c r="H82" s="226">
        <f>IF(H83,H83*H42,G82*(1+H65))</f>
        <v>2664.0807988500001</v>
      </c>
      <c r="I82" s="226">
        <f>IF(I83,I83*I42,H82*(1+I65))</f>
        <v>2797.2848387925001</v>
      </c>
      <c r="J82" s="226">
        <f>IF(J83,J83*J42,I82*(1+J65))</f>
        <v>2931.5545110545399</v>
      </c>
    </row>
    <row r="83" spans="2:12">
      <c r="B83" s="64" t="s">
        <v>140</v>
      </c>
      <c r="C83" s="50"/>
      <c r="D83" s="6">
        <f>D82/D42</f>
        <v>1.0650552486187845</v>
      </c>
      <c r="E83" s="7">
        <f>E82/E42</f>
        <v>1.0455619151449076</v>
      </c>
      <c r="F83" s="233">
        <f>E83</f>
        <v>1.0455619151449076</v>
      </c>
      <c r="G83" s="233">
        <f t="shared" ref="G83:J83" si="27">F83</f>
        <v>1.0455619151449076</v>
      </c>
      <c r="H83" s="233">
        <f t="shared" si="27"/>
        <v>1.0455619151449076</v>
      </c>
      <c r="I83" s="233">
        <f t="shared" si="27"/>
        <v>1.0455619151449076</v>
      </c>
      <c r="J83" s="233">
        <f t="shared" si="27"/>
        <v>1.0455619151449076</v>
      </c>
    </row>
    <row r="84" spans="2:12">
      <c r="B84" s="64"/>
      <c r="C84" s="50"/>
      <c r="D84" s="6"/>
      <c r="E84" s="7"/>
      <c r="F84"/>
      <c r="G84"/>
      <c r="H84"/>
      <c r="I84"/>
      <c r="J84"/>
    </row>
    <row r="85" spans="2:12">
      <c r="B85" s="202" t="s">
        <v>183</v>
      </c>
      <c r="C85" s="21"/>
      <c r="D85" s="313">
        <f t="shared" ref="D85:E85" si="28">D76+D78+-D80-D82</f>
        <v>-1666.1000000000004</v>
      </c>
      <c r="E85" s="313">
        <f t="shared" si="28"/>
        <v>-1687</v>
      </c>
      <c r="F85" s="370">
        <f>F76+F78-F80-F82</f>
        <v>-1743.8313506882919</v>
      </c>
      <c r="G85" s="370">
        <f t="shared" ref="G85:J85" si="29">G76+G78-G80-G82</f>
        <v>-1838.8873583244626</v>
      </c>
      <c r="H85" s="370">
        <f t="shared" si="29"/>
        <v>-1948.314600173145</v>
      </c>
      <c r="I85" s="370">
        <f t="shared" si="29"/>
        <v>-2044.7790305484768</v>
      </c>
      <c r="J85" s="370">
        <f t="shared" si="29"/>
        <v>-2141.9314619990787</v>
      </c>
    </row>
    <row r="86" spans="2:12">
      <c r="B86" s="25"/>
      <c r="D86" s="51"/>
      <c r="E86" s="51"/>
      <c r="F86" s="41"/>
      <c r="G86" s="41"/>
      <c r="H86" s="41"/>
      <c r="I86" s="41"/>
      <c r="J86" s="41"/>
    </row>
    <row r="87" spans="2:12">
      <c r="B87" s="312" t="s">
        <v>238</v>
      </c>
      <c r="C87" s="152"/>
      <c r="D87" s="152"/>
      <c r="E87" s="152"/>
      <c r="F87" s="142"/>
      <c r="G87" s="142"/>
      <c r="H87" s="142"/>
      <c r="I87" s="142"/>
      <c r="J87" s="142"/>
    </row>
    <row r="88" spans="2:12">
      <c r="B88" s="11" t="s">
        <v>7</v>
      </c>
      <c r="C88" s="16">
        <f>C$39</f>
        <v>2011</v>
      </c>
      <c r="D88" s="16">
        <f>D$39</f>
        <v>2012</v>
      </c>
      <c r="E88" s="16">
        <f t="shared" ref="E88:J88" si="30">E$39</f>
        <v>2013</v>
      </c>
      <c r="F88" s="17">
        <f t="shared" si="30"/>
        <v>2014</v>
      </c>
      <c r="G88" s="17">
        <f t="shared" si="30"/>
        <v>2015</v>
      </c>
      <c r="H88" s="17">
        <f t="shared" si="30"/>
        <v>2016</v>
      </c>
      <c r="I88" s="17">
        <f t="shared" si="30"/>
        <v>2017</v>
      </c>
      <c r="J88" s="17">
        <f t="shared" si="30"/>
        <v>2018</v>
      </c>
    </row>
    <row r="89" spans="2:12">
      <c r="B89" s="18" t="s">
        <v>8</v>
      </c>
      <c r="C89" s="20">
        <f>C$40</f>
        <v>40633</v>
      </c>
      <c r="D89" s="20">
        <f>D$40</f>
        <v>40999</v>
      </c>
      <c r="E89" s="20">
        <f t="shared" ref="E89:J89" si="31">E$40</f>
        <v>41364</v>
      </c>
      <c r="F89" s="20">
        <f t="shared" si="31"/>
        <v>41729</v>
      </c>
      <c r="G89" s="20">
        <f t="shared" si="31"/>
        <v>42094</v>
      </c>
      <c r="H89" s="20">
        <f t="shared" si="31"/>
        <v>42460</v>
      </c>
      <c r="I89" s="20">
        <f t="shared" si="31"/>
        <v>42825</v>
      </c>
      <c r="J89" s="20">
        <f t="shared" si="31"/>
        <v>43190</v>
      </c>
    </row>
    <row r="90" spans="2:12">
      <c r="B90" s="145"/>
    </row>
    <row r="91" spans="2:12">
      <c r="B91" s="58" t="s">
        <v>137</v>
      </c>
      <c r="C91" s="28"/>
      <c r="D91" s="217">
        <v>87.8</v>
      </c>
      <c r="E91" s="217">
        <v>85.2</v>
      </c>
      <c r="F91" s="226">
        <f>E91+F92+F93</f>
        <v>73.144489795918361</v>
      </c>
      <c r="G91" s="226">
        <f t="shared" ref="G91:J91" si="32">F91+G92+G93</f>
        <v>63.407346938775504</v>
      </c>
      <c r="H91" s="226">
        <f t="shared" si="32"/>
        <v>56.452244897959183</v>
      </c>
      <c r="I91" s="226">
        <f t="shared" si="32"/>
        <v>53.090612244897969</v>
      </c>
      <c r="J91" s="226">
        <f t="shared" si="32"/>
        <v>53.090612244897976</v>
      </c>
      <c r="L91" s="226"/>
    </row>
    <row r="92" spans="2:12">
      <c r="B92" s="143" t="s">
        <v>44</v>
      </c>
      <c r="C92" s="223">
        <v>22</v>
      </c>
      <c r="D92" s="223">
        <v>26.5</v>
      </c>
      <c r="E92" s="223">
        <v>24.5</v>
      </c>
      <c r="F92" s="223">
        <v>26</v>
      </c>
      <c r="G92" s="223">
        <v>28</v>
      </c>
      <c r="H92" s="223">
        <v>30</v>
      </c>
      <c r="I92" s="223">
        <v>29</v>
      </c>
      <c r="J92" s="223">
        <v>31</v>
      </c>
      <c r="L92" s="370"/>
    </row>
    <row r="93" spans="2:12">
      <c r="B93" s="143" t="s">
        <v>136</v>
      </c>
      <c r="C93" s="223">
        <v>-39.1</v>
      </c>
      <c r="D93" s="223">
        <v>-37.799999999999997</v>
      </c>
      <c r="E93" s="223">
        <v>-38.700000000000003</v>
      </c>
      <c r="F93" s="227">
        <f>-(F92*F95)</f>
        <v>-38.055510204081635</v>
      </c>
      <c r="G93" s="227">
        <f>-(G92*G95)</f>
        <v>-37.737142857142857</v>
      </c>
      <c r="H93" s="227">
        <f>-(H92*H95)</f>
        <v>-36.955102040816321</v>
      </c>
      <c r="I93" s="227">
        <f>-(I92*I95)</f>
        <v>-32.361632653061221</v>
      </c>
      <c r="J93" s="227">
        <f>-(J92*J95)</f>
        <v>-30.999999999999993</v>
      </c>
      <c r="K93" s="131" t="s">
        <v>236</v>
      </c>
      <c r="L93" s="370"/>
    </row>
    <row r="94" spans="2:12">
      <c r="B94" s="145" t="s">
        <v>239</v>
      </c>
      <c r="C94" s="7">
        <f t="shared" ref="C94:J94" si="33">C92/C42</f>
        <v>1.0652205490727738E-2</v>
      </c>
      <c r="D94" s="7">
        <f t="shared" si="33"/>
        <v>1.220073664825046E-2</v>
      </c>
      <c r="E94" s="7">
        <f t="shared" si="33"/>
        <v>1.1129281366403197E-2</v>
      </c>
      <c r="F94" s="7">
        <f t="shared" si="33"/>
        <v>1.1411271439474836E-2</v>
      </c>
      <c r="G94" s="7">
        <f t="shared" si="33"/>
        <v>1.1648399573652766E-2</v>
      </c>
      <c r="H94" s="7">
        <f t="shared" si="33"/>
        <v>1.177398878738487E-2</v>
      </c>
      <c r="I94" s="7">
        <f t="shared" si="33"/>
        <v>1.0839545232830516E-2</v>
      </c>
      <c r="J94" s="7">
        <f t="shared" si="33"/>
        <v>1.1056393202742366E-2</v>
      </c>
      <c r="K94" s="237" t="s">
        <v>217</v>
      </c>
    </row>
    <row r="95" spans="2:12">
      <c r="B95" s="145" t="s">
        <v>215</v>
      </c>
      <c r="C95" s="90">
        <f>-(C93/C92)</f>
        <v>1.7772727272727273</v>
      </c>
      <c r="D95" s="90">
        <f>-(D93/D92)</f>
        <v>1.4264150943396225</v>
      </c>
      <c r="E95" s="90">
        <f>-(E93/E92)</f>
        <v>1.5795918367346939</v>
      </c>
      <c r="F95" s="90">
        <f>E95+$K$95</f>
        <v>1.4636734693877551</v>
      </c>
      <c r="G95" s="90">
        <f t="shared" ref="G95:J95" si="34">F95+$K$95</f>
        <v>1.3477551020408163</v>
      </c>
      <c r="H95" s="90">
        <f t="shared" si="34"/>
        <v>1.2318367346938774</v>
      </c>
      <c r="I95" s="90">
        <f t="shared" si="34"/>
        <v>1.1159183673469386</v>
      </c>
      <c r="J95" s="90">
        <f t="shared" si="34"/>
        <v>0.99999999999999978</v>
      </c>
      <c r="K95" s="205">
        <f>IF(K94="Yes",(1-E95)/COLUMNS(F95:J95),0)</f>
        <v>-0.11591836734693879</v>
      </c>
    </row>
    <row r="96" spans="2:12">
      <c r="B96" s="145"/>
      <c r="C96" s="90"/>
      <c r="D96" s="90"/>
      <c r="E96" s="90"/>
      <c r="F96"/>
      <c r="G96"/>
      <c r="H96"/>
      <c r="I96"/>
      <c r="J96"/>
      <c r="K96"/>
    </row>
    <row r="97" spans="2:11">
      <c r="B97" s="58" t="s">
        <v>256</v>
      </c>
      <c r="C97" s="57"/>
      <c r="D97" s="217">
        <v>244.7</v>
      </c>
      <c r="E97" s="217">
        <v>271.39999999999998</v>
      </c>
      <c r="F97" s="226">
        <f>E97+F98+F99</f>
        <v>286.50864197530859</v>
      </c>
      <c r="G97" s="226">
        <f t="shared" ref="G97" si="35">F97+G98+G99</f>
        <v>297.64475308641971</v>
      </c>
      <c r="H97" s="226">
        <f t="shared" ref="H97" si="36">G97+H98+H99</f>
        <v>305.19907407407402</v>
      </c>
      <c r="I97" s="226">
        <f t="shared" ref="I97" si="37">H97+I98+I99</f>
        <v>309.36697530864188</v>
      </c>
      <c r="J97" s="226">
        <f t="shared" ref="J97" si="38">I97+J98+J99</f>
        <v>309.36697530864183</v>
      </c>
    </row>
    <row r="98" spans="2:11">
      <c r="B98" s="143" t="s">
        <v>233</v>
      </c>
      <c r="C98" s="223">
        <v>115.8</v>
      </c>
      <c r="D98" s="223">
        <f>132.5</f>
        <v>132.5</v>
      </c>
      <c r="E98" s="223">
        <f>129.6</f>
        <v>129.6</v>
      </c>
      <c r="F98" s="223">
        <v>116</v>
      </c>
      <c r="G98" s="223">
        <v>114</v>
      </c>
      <c r="H98" s="223">
        <v>116</v>
      </c>
      <c r="I98" s="223">
        <v>128</v>
      </c>
      <c r="J98" s="223">
        <v>135</v>
      </c>
    </row>
    <row r="99" spans="2:11">
      <c r="B99" s="143" t="s">
        <v>135</v>
      </c>
      <c r="C99" s="225">
        <v>-75.7</v>
      </c>
      <c r="D99" s="223">
        <v>-93.6</v>
      </c>
      <c r="E99" s="223">
        <v>-108.5</v>
      </c>
      <c r="F99" s="138">
        <f>-(F101*F98)</f>
        <v>-100.89135802469136</v>
      </c>
      <c r="G99" s="138">
        <f t="shared" ref="G99:J99" si="39">-(G101*G98)</f>
        <v>-102.86388888888889</v>
      </c>
      <c r="H99" s="138">
        <f t="shared" si="39"/>
        <v>-108.44567901234569</v>
      </c>
      <c r="I99" s="138">
        <f t="shared" si="39"/>
        <v>-123.83209876543212</v>
      </c>
      <c r="J99" s="138">
        <f t="shared" si="39"/>
        <v>-135.00000000000003</v>
      </c>
      <c r="K99" s="131" t="s">
        <v>236</v>
      </c>
    </row>
    <row r="100" spans="2:11">
      <c r="B100" s="145" t="s">
        <v>234</v>
      </c>
      <c r="C100" s="231">
        <f t="shared" ref="C100:J100" si="40">C98/C42</f>
        <v>5.6069336173921458E-2</v>
      </c>
      <c r="D100" s="231">
        <f t="shared" si="40"/>
        <v>6.1003683241252299E-2</v>
      </c>
      <c r="E100" s="231">
        <f t="shared" si="40"/>
        <v>5.8871627146361398E-2</v>
      </c>
      <c r="F100" s="88">
        <f t="shared" si="40"/>
        <v>5.0911826422272342E-2</v>
      </c>
      <c r="G100" s="88">
        <f t="shared" si="40"/>
        <v>4.7425626835586265E-2</v>
      </c>
      <c r="H100" s="88">
        <f t="shared" si="40"/>
        <v>4.5526089977888165E-2</v>
      </c>
      <c r="I100" s="88">
        <f t="shared" si="40"/>
        <v>4.7843509993182966E-2</v>
      </c>
      <c r="J100" s="88">
        <f t="shared" si="40"/>
        <v>4.8148809108716752E-2</v>
      </c>
      <c r="K100" s="237" t="s">
        <v>217</v>
      </c>
    </row>
    <row r="101" spans="2:11">
      <c r="B101" s="145" t="s">
        <v>235</v>
      </c>
      <c r="C101" s="90">
        <f>-(C99/C98)</f>
        <v>0.65371329879101903</v>
      </c>
      <c r="D101" s="90">
        <f>-(D99/D98)</f>
        <v>0.70641509433962257</v>
      </c>
      <c r="E101" s="90">
        <f>-(E99/E98)</f>
        <v>0.83719135802469136</v>
      </c>
      <c r="F101" s="90">
        <f>E101+$K$101</f>
        <v>0.86975308641975313</v>
      </c>
      <c r="G101" s="90">
        <f t="shared" ref="G101:J101" si="41">F101+$K$101</f>
        <v>0.9023148148148149</v>
      </c>
      <c r="H101" s="90">
        <f t="shared" si="41"/>
        <v>0.93487654320987668</v>
      </c>
      <c r="I101" s="90">
        <f t="shared" si="41"/>
        <v>0.96743827160493845</v>
      </c>
      <c r="J101" s="90">
        <f t="shared" si="41"/>
        <v>1.0000000000000002</v>
      </c>
      <c r="K101" s="205">
        <f>IF(K100="Yes",(1-E101)/COLUMNS(F101:J101),0)</f>
        <v>3.2561728395061731E-2</v>
      </c>
    </row>
    <row r="102" spans="2:11">
      <c r="B102" s="145"/>
      <c r="C102" s="90"/>
      <c r="D102" s="90"/>
      <c r="E102" s="90"/>
      <c r="F102"/>
      <c r="G102"/>
      <c r="H102"/>
      <c r="I102"/>
      <c r="J102"/>
      <c r="K102"/>
    </row>
    <row r="103" spans="2:11">
      <c r="B103" s="58" t="s">
        <v>237</v>
      </c>
      <c r="D103" s="217">
        <v>257.5</v>
      </c>
      <c r="E103" s="217">
        <v>189.8</v>
      </c>
      <c r="F103" s="226">
        <f>E103+F104+F105</f>
        <v>189.8</v>
      </c>
      <c r="G103" s="226">
        <f t="shared" ref="G103:J103" si="42">F103+G104+G105</f>
        <v>189.8</v>
      </c>
      <c r="H103" s="226">
        <f t="shared" si="42"/>
        <v>189.8</v>
      </c>
      <c r="I103" s="226">
        <f t="shared" si="42"/>
        <v>189.8</v>
      </c>
      <c r="J103" s="226">
        <f t="shared" si="42"/>
        <v>189.8</v>
      </c>
      <c r="K103"/>
    </row>
    <row r="104" spans="2:11">
      <c r="B104" s="143" t="s">
        <v>233</v>
      </c>
      <c r="C104" s="271">
        <v>0</v>
      </c>
      <c r="D104" s="223">
        <v>0</v>
      </c>
      <c r="E104" s="223">
        <v>0</v>
      </c>
      <c r="F104" s="223">
        <f>-(F105)</f>
        <v>85</v>
      </c>
      <c r="G104" s="223">
        <f t="shared" ref="G104:J104" si="43">-(G105)</f>
        <v>80</v>
      </c>
      <c r="H104" s="223">
        <f t="shared" si="43"/>
        <v>77</v>
      </c>
      <c r="I104" s="223">
        <f t="shared" si="43"/>
        <v>68</v>
      </c>
      <c r="J104" s="223">
        <f t="shared" si="43"/>
        <v>57</v>
      </c>
      <c r="K104"/>
    </row>
    <row r="105" spans="2:11">
      <c r="B105" s="143" t="s">
        <v>135</v>
      </c>
      <c r="C105" s="223">
        <v>-79.099999999999994</v>
      </c>
      <c r="D105" s="223">
        <v>-97.7</v>
      </c>
      <c r="E105" s="223">
        <v>-86.9</v>
      </c>
      <c r="F105" s="223">
        <v>-85</v>
      </c>
      <c r="G105" s="223">
        <v>-80</v>
      </c>
      <c r="H105" s="223">
        <v>-77</v>
      </c>
      <c r="I105" s="223">
        <v>-68</v>
      </c>
      <c r="J105" s="223">
        <v>-57</v>
      </c>
      <c r="K105"/>
    </row>
    <row r="106" spans="2:11">
      <c r="B106" s="34"/>
      <c r="C106" s="141"/>
      <c r="D106" s="141"/>
      <c r="E106" s="141"/>
      <c r="F106"/>
      <c r="G106"/>
      <c r="H106"/>
      <c r="I106"/>
      <c r="J106"/>
      <c r="K106"/>
    </row>
    <row r="107" spans="2:11">
      <c r="B107" s="193" t="s">
        <v>261</v>
      </c>
      <c r="D107" s="217">
        <f>240.2+1700.1</f>
        <v>1940.3</v>
      </c>
      <c r="E107" s="217">
        <f>229.3+1705.9</f>
        <v>1935.2</v>
      </c>
      <c r="F107" s="217">
        <f>E107</f>
        <v>1935.2</v>
      </c>
      <c r="G107" s="217">
        <f t="shared" ref="G107:J107" si="44">F107</f>
        <v>1935.2</v>
      </c>
      <c r="H107" s="217">
        <f t="shared" si="44"/>
        <v>1935.2</v>
      </c>
      <c r="I107" s="217">
        <f t="shared" si="44"/>
        <v>1935.2</v>
      </c>
      <c r="J107" s="217">
        <f t="shared" si="44"/>
        <v>1935.2</v>
      </c>
      <c r="K107"/>
    </row>
    <row r="108" spans="2:11">
      <c r="B108" s="193"/>
      <c r="D108" s="217"/>
      <c r="E108" s="217"/>
      <c r="F108" s="217"/>
      <c r="G108" s="217"/>
      <c r="H108" s="217"/>
      <c r="I108" s="217"/>
      <c r="J108" s="217"/>
      <c r="K108"/>
    </row>
    <row r="109" spans="2:11">
      <c r="B109" s="58" t="s">
        <v>139</v>
      </c>
      <c r="D109" s="217">
        <v>232.4</v>
      </c>
      <c r="E109" s="217">
        <v>252</v>
      </c>
      <c r="F109" s="224">
        <f>E109</f>
        <v>252</v>
      </c>
      <c r="G109" s="224">
        <f t="shared" ref="G109:J109" si="45">F109</f>
        <v>252</v>
      </c>
      <c r="H109" s="224">
        <f t="shared" si="45"/>
        <v>252</v>
      </c>
      <c r="I109" s="224">
        <f t="shared" si="45"/>
        <v>252</v>
      </c>
      <c r="J109" s="224">
        <f t="shared" si="45"/>
        <v>252</v>
      </c>
      <c r="K109"/>
    </row>
    <row r="110" spans="2:11">
      <c r="B110" s="30"/>
      <c r="C110" s="51"/>
      <c r="D110" s="51"/>
      <c r="E110" s="51"/>
      <c r="F110" s="41"/>
      <c r="G110" s="41"/>
      <c r="H110" s="41"/>
      <c r="I110" s="41"/>
      <c r="J110" s="41"/>
    </row>
    <row r="111" spans="2:11">
      <c r="B111" s="13" t="s">
        <v>41</v>
      </c>
      <c r="C111" s="20"/>
      <c r="D111" s="20"/>
      <c r="E111" s="20"/>
      <c r="F111" s="20"/>
      <c r="G111" s="20"/>
      <c r="H111" s="20"/>
      <c r="I111" s="20"/>
      <c r="J111" s="20"/>
    </row>
    <row r="112" spans="2:11">
      <c r="B112" s="43" t="str">
        <f>B39</f>
        <v xml:space="preserve">Fiscal year  </v>
      </c>
      <c r="C112" s="37"/>
      <c r="D112" s="37"/>
      <c r="E112" s="37"/>
      <c r="F112" s="38">
        <f t="shared" ref="F112:J113" si="46">F39</f>
        <v>2014</v>
      </c>
      <c r="G112" s="38">
        <f t="shared" si="46"/>
        <v>2015</v>
      </c>
      <c r="H112" s="38">
        <f t="shared" si="46"/>
        <v>2016</v>
      </c>
      <c r="I112" s="38">
        <f t="shared" si="46"/>
        <v>2017</v>
      </c>
      <c r="J112" s="38">
        <f t="shared" si="46"/>
        <v>2018</v>
      </c>
    </row>
    <row r="113" spans="2:10">
      <c r="B113" s="15" t="str">
        <f>B40</f>
        <v>Fiscal year end date</v>
      </c>
      <c r="C113" s="39"/>
      <c r="D113" s="39"/>
      <c r="E113" s="39"/>
      <c r="F113" s="39">
        <f t="shared" si="46"/>
        <v>41729</v>
      </c>
      <c r="G113" s="39">
        <f t="shared" si="46"/>
        <v>42094</v>
      </c>
      <c r="H113" s="39">
        <f t="shared" si="46"/>
        <v>42460</v>
      </c>
      <c r="I113" s="39">
        <f t="shared" si="46"/>
        <v>42825</v>
      </c>
      <c r="J113" s="39">
        <f t="shared" si="46"/>
        <v>43190</v>
      </c>
    </row>
    <row r="115" spans="2:10">
      <c r="B115" s="11" t="s">
        <v>19</v>
      </c>
      <c r="C115" s="55"/>
      <c r="D115" s="55"/>
      <c r="E115" s="55"/>
      <c r="F115" s="141">
        <f ca="1">F54</f>
        <v>152.90492376693442</v>
      </c>
      <c r="G115" s="141">
        <f ca="1">G54</f>
        <v>220.28852630747963</v>
      </c>
      <c r="H115" s="141">
        <f ca="1">H54</f>
        <v>293.02899231210944</v>
      </c>
      <c r="I115" s="141">
        <f ca="1">I54</f>
        <v>370.73728858722643</v>
      </c>
      <c r="J115" s="141">
        <f ca="1">J54</f>
        <v>461.32896058455685</v>
      </c>
    </row>
    <row r="116" spans="2:10">
      <c r="B116" s="11" t="s">
        <v>42</v>
      </c>
      <c r="C116" s="55"/>
      <c r="D116" s="55"/>
      <c r="E116" s="55"/>
      <c r="F116" s="49">
        <f>F58</f>
        <v>223.94686822877298</v>
      </c>
      <c r="G116" s="49">
        <f>G58</f>
        <v>220.60103174603177</v>
      </c>
      <c r="H116" s="49">
        <f>H58</f>
        <v>222.40078105316201</v>
      </c>
      <c r="I116" s="49">
        <f>I58</f>
        <v>224.19373141849334</v>
      </c>
      <c r="J116" s="49">
        <f>J58</f>
        <v>223.00000000000003</v>
      </c>
    </row>
    <row r="117" spans="2:10">
      <c r="B117" s="44" t="s">
        <v>327</v>
      </c>
      <c r="C117" s="55"/>
      <c r="D117" s="55"/>
      <c r="E117" s="55"/>
      <c r="F117" s="49">
        <f>F59</f>
        <v>52.997322083333337</v>
      </c>
      <c r="G117" s="49">
        <f t="shared" ref="G117:J117" si="47">G59</f>
        <v>52.997322083333337</v>
      </c>
      <c r="H117" s="49">
        <f t="shared" si="47"/>
        <v>52.997322083333337</v>
      </c>
      <c r="I117" s="49">
        <f t="shared" si="47"/>
        <v>52.997322083333337</v>
      </c>
      <c r="J117" s="49">
        <f t="shared" si="47"/>
        <v>52.997322083333337</v>
      </c>
    </row>
    <row r="118" spans="2:10">
      <c r="B118" s="11" t="s">
        <v>27</v>
      </c>
      <c r="C118" s="55"/>
      <c r="D118" s="55"/>
      <c r="E118" s="55"/>
      <c r="F118" s="141">
        <f>F60</f>
        <v>161.0547368274718</v>
      </c>
      <c r="G118" s="141">
        <f>G60</f>
        <v>162.08209116516588</v>
      </c>
      <c r="H118" s="141">
        <f>H60</f>
        <v>163.69762028974245</v>
      </c>
      <c r="I118" s="141">
        <f>I60</f>
        <v>163.56828931606964</v>
      </c>
      <c r="J118" s="141">
        <f>J60</f>
        <v>162.91655861446264</v>
      </c>
    </row>
    <row r="119" spans="2:10">
      <c r="B119" s="11" t="s">
        <v>138</v>
      </c>
      <c r="C119" s="26"/>
      <c r="D119" s="26"/>
      <c r="E119" s="26"/>
      <c r="F119" s="141">
        <f>E85-F85</f>
        <v>56.831350688291877</v>
      </c>
      <c r="G119" s="141">
        <f>F85-G85</f>
        <v>95.056007636170762</v>
      </c>
      <c r="H119" s="141">
        <f>G85-H85</f>
        <v>109.42724184868234</v>
      </c>
      <c r="I119" s="141">
        <f>H85-I85</f>
        <v>96.464430375331858</v>
      </c>
      <c r="J119" s="141">
        <f>I85-J85</f>
        <v>97.152431450601853</v>
      </c>
    </row>
    <row r="120" spans="2:10">
      <c r="B120" s="25" t="s">
        <v>184</v>
      </c>
      <c r="C120" s="26"/>
      <c r="D120" s="26"/>
      <c r="E120" s="26"/>
      <c r="F120" s="141">
        <f>E107-F107+F109-E109</f>
        <v>0</v>
      </c>
      <c r="G120" s="141">
        <f t="shared" ref="G120:J120" si="48">F107-G107+G109-F109</f>
        <v>0</v>
      </c>
      <c r="H120" s="141">
        <f t="shared" si="48"/>
        <v>0</v>
      </c>
      <c r="I120" s="141">
        <f t="shared" si="48"/>
        <v>0</v>
      </c>
      <c r="J120" s="141">
        <f t="shared" si="48"/>
        <v>0</v>
      </c>
    </row>
    <row r="121" spans="2:10">
      <c r="B121" s="25" t="s">
        <v>325</v>
      </c>
      <c r="C121" s="26"/>
      <c r="D121" s="26"/>
      <c r="E121" s="26"/>
      <c r="F121" s="141">
        <f>-$E$393</f>
        <v>-9.8130404300070051</v>
      </c>
      <c r="G121" s="141">
        <f>-$E$393</f>
        <v>-9.8130404300070051</v>
      </c>
      <c r="H121" s="141">
        <f>-$E$393</f>
        <v>-9.8130404300070051</v>
      </c>
      <c r="I121" s="141">
        <f>-$E$393</f>
        <v>-9.8130404300070051</v>
      </c>
      <c r="J121" s="141">
        <f>-$E$393</f>
        <v>-9.8130404300070051</v>
      </c>
    </row>
    <row r="122" spans="2:10">
      <c r="B122" s="25" t="s">
        <v>205</v>
      </c>
      <c r="C122" s="26"/>
      <c r="D122" s="26"/>
      <c r="E122" s="26"/>
      <c r="F122" s="273">
        <f>F212</f>
        <v>0</v>
      </c>
      <c r="G122" s="273">
        <f t="shared" ref="G122:J122" si="49">G212</f>
        <v>0</v>
      </c>
      <c r="H122" s="273">
        <f t="shared" si="49"/>
        <v>0</v>
      </c>
      <c r="I122" s="273">
        <f t="shared" si="49"/>
        <v>0</v>
      </c>
      <c r="J122" s="273">
        <f t="shared" si="49"/>
        <v>0</v>
      </c>
    </row>
    <row r="123" spans="2:10">
      <c r="B123" s="24" t="s">
        <v>43</v>
      </c>
      <c r="F123" s="164">
        <f ca="1">SUM(F115:F122)</f>
        <v>637.92216116479744</v>
      </c>
      <c r="G123" s="164">
        <f ca="1">SUM(G115:G122)</f>
        <v>741.2119385081744</v>
      </c>
      <c r="H123" s="164">
        <f ca="1">SUM(H115:H122)</f>
        <v>831.73891715702246</v>
      </c>
      <c r="I123" s="164">
        <f ca="1">SUM(I115:I122)</f>
        <v>898.14802135044761</v>
      </c>
      <c r="J123" s="164">
        <f ca="1">SUM(J115:J122)</f>
        <v>987.58223230294766</v>
      </c>
    </row>
    <row r="124" spans="2:10">
      <c r="B124" s="11"/>
    </row>
    <row r="125" spans="2:10">
      <c r="B125" s="11" t="s">
        <v>44</v>
      </c>
      <c r="F125" s="138">
        <f>-(F92)</f>
        <v>-26</v>
      </c>
      <c r="G125" s="138">
        <f>-(G92)</f>
        <v>-28</v>
      </c>
      <c r="H125" s="138">
        <f>-(H92)</f>
        <v>-30</v>
      </c>
      <c r="I125" s="138">
        <f>-(I92)</f>
        <v>-29</v>
      </c>
      <c r="J125" s="138">
        <f>-(J92)</f>
        <v>-31</v>
      </c>
    </row>
    <row r="126" spans="2:10">
      <c r="B126" s="11" t="s">
        <v>273</v>
      </c>
      <c r="F126" s="138">
        <f>-(F98+F104)</f>
        <v>-201</v>
      </c>
      <c r="G126" s="138">
        <f>-(G98+G104)</f>
        <v>-194</v>
      </c>
      <c r="H126" s="138">
        <f>-(H98+H104)</f>
        <v>-193</v>
      </c>
      <c r="I126" s="138">
        <f>-(I98+I104)</f>
        <v>-196</v>
      </c>
      <c r="J126" s="138">
        <f>-(J98+J104)</f>
        <v>-192</v>
      </c>
    </row>
    <row r="127" spans="2:10">
      <c r="B127" s="24" t="s">
        <v>45</v>
      </c>
      <c r="F127" s="226">
        <f>SUM(F125:F126)</f>
        <v>-227</v>
      </c>
      <c r="G127" s="226">
        <f>SUM(G125:G126)</f>
        <v>-222</v>
      </c>
      <c r="H127" s="226">
        <f>SUM(H125:H126)</f>
        <v>-223</v>
      </c>
      <c r="I127" s="226">
        <f>SUM(I125:I126)</f>
        <v>-225</v>
      </c>
      <c r="J127" s="226">
        <f>SUM(J125:J126)</f>
        <v>-223</v>
      </c>
    </row>
    <row r="128" spans="2:10">
      <c r="B128" s="11"/>
    </row>
    <row r="129" spans="2:10">
      <c r="B129" s="11" t="s">
        <v>154</v>
      </c>
      <c r="F129" s="138">
        <f>-(F163+F171+F179+F185)</f>
        <v>-322.1855000000001</v>
      </c>
      <c r="G129" s="138">
        <f ca="1">-(G163+G171+G179+G185)</f>
        <v>-177.86405000000008</v>
      </c>
      <c r="H129" s="138">
        <f ca="1">-(H163+H171+H179+H185)</f>
        <v>-177.86405000000008</v>
      </c>
      <c r="I129" s="138">
        <f ca="1">-(I163+I171+I179+I185)</f>
        <v>-177.86405000000008</v>
      </c>
      <c r="J129" s="138">
        <f ca="1">-(J163+J171+J179+J185)</f>
        <v>-177.86405000000008</v>
      </c>
    </row>
    <row r="130" spans="2:10">
      <c r="B130" s="25" t="s">
        <v>218</v>
      </c>
      <c r="F130" s="372">
        <f>-F194</f>
        <v>0</v>
      </c>
      <c r="G130" s="372">
        <f t="shared" ref="G130:J130" si="50">-G194</f>
        <v>0</v>
      </c>
      <c r="H130" s="372">
        <f t="shared" si="50"/>
        <v>0</v>
      </c>
      <c r="I130" s="372">
        <f t="shared" si="50"/>
        <v>0</v>
      </c>
      <c r="J130" s="372">
        <f t="shared" si="50"/>
        <v>0</v>
      </c>
    </row>
    <row r="131" spans="2:10">
      <c r="B131" s="203" t="s">
        <v>159</v>
      </c>
      <c r="C131" s="28"/>
      <c r="D131" s="28"/>
      <c r="E131" s="28"/>
      <c r="F131" s="226">
        <f ca="1">F123+F127+SUM(F129:F130)</f>
        <v>88.73666116479734</v>
      </c>
      <c r="G131" s="226">
        <f ca="1">G123+G127+SUM(G129:G130)</f>
        <v>341.34788850817432</v>
      </c>
      <c r="H131" s="226">
        <f ca="1">H123+H127+SUM(H129:H130)</f>
        <v>430.87486715702238</v>
      </c>
      <c r="I131" s="226">
        <f ca="1">I123+I127+SUM(I129:I130)</f>
        <v>495.28397135044753</v>
      </c>
      <c r="J131" s="226">
        <f ca="1">J123+J127+SUM(J129:J130)</f>
        <v>586.71818230294753</v>
      </c>
    </row>
    <row r="132" spans="2:10">
      <c r="B132" s="11" t="s">
        <v>32</v>
      </c>
      <c r="F132" s="141">
        <f ca="1">F156</f>
        <v>0</v>
      </c>
      <c r="G132" s="141">
        <f ca="1">G156</f>
        <v>0</v>
      </c>
      <c r="H132" s="141">
        <f ca="1">H156</f>
        <v>0</v>
      </c>
      <c r="I132" s="141">
        <f ca="1">I156</f>
        <v>0</v>
      </c>
      <c r="J132" s="141">
        <f ca="1">J156</f>
        <v>0</v>
      </c>
    </row>
    <row r="133" spans="2:10">
      <c r="B133" s="203" t="s">
        <v>156</v>
      </c>
      <c r="C133" s="28"/>
      <c r="D133" s="28"/>
      <c r="E133" s="28"/>
      <c r="F133" s="164">
        <f ca="1">SUM(F131:F132)</f>
        <v>88.73666116479734</v>
      </c>
      <c r="G133" s="164">
        <f ca="1">SUM(G131:G132)</f>
        <v>341.34788850817432</v>
      </c>
      <c r="H133" s="164">
        <f ca="1">SUM(H131:H132)</f>
        <v>430.87486715702238</v>
      </c>
      <c r="I133" s="164">
        <f ca="1">SUM(I131:I132)</f>
        <v>495.28397135044753</v>
      </c>
      <c r="J133" s="164">
        <f ca="1">SUM(J131:J132)</f>
        <v>586.71818230294753</v>
      </c>
    </row>
    <row r="134" spans="2:10">
      <c r="B134" s="44" t="s">
        <v>158</v>
      </c>
      <c r="F134" s="141">
        <f ca="1">-(F164)</f>
        <v>-88.73666116479734</v>
      </c>
      <c r="G134" s="141">
        <f ca="1">-(G164)</f>
        <v>-341.34788850817421</v>
      </c>
      <c r="H134" s="141">
        <f ca="1">-(H164)</f>
        <v>-430.87486715701567</v>
      </c>
      <c r="I134" s="141">
        <f ca="1">-(I164)</f>
        <v>-495.28397136993027</v>
      </c>
      <c r="J134" s="141">
        <f ca="1">-(J164)</f>
        <v>-586.71819283932393</v>
      </c>
    </row>
    <row r="135" spans="2:10">
      <c r="B135" s="44" t="s">
        <v>160</v>
      </c>
      <c r="F135" s="141">
        <f ca="1">-(F172)</f>
        <v>0</v>
      </c>
      <c r="G135" s="141">
        <f ca="1">-(G172)</f>
        <v>2.2737367544323206E-13</v>
      </c>
      <c r="H135" s="141">
        <f ca="1">-(H172)</f>
        <v>1.9213075574953109E-11</v>
      </c>
      <c r="I135" s="141">
        <f ca="1">-(I172)</f>
        <v>-8.4459088611765765E-8</v>
      </c>
      <c r="J135" s="141">
        <f ca="1">-(J172)</f>
        <v>-4.2819764985324582E-5</v>
      </c>
    </row>
    <row r="136" spans="2:10">
      <c r="B136" s="28" t="s">
        <v>46</v>
      </c>
      <c r="F136" s="226">
        <f ca="1">SUM(F133:F135)</f>
        <v>0</v>
      </c>
      <c r="G136" s="226">
        <f ca="1">SUM(G133:G135)</f>
        <v>3.4106051316484809E-13</v>
      </c>
      <c r="H136" s="226">
        <f ca="1">SUM(H133:H135)</f>
        <v>2.5920599000528455E-11</v>
      </c>
      <c r="I136" s="226">
        <f ca="1">SUM(I133:I135)</f>
        <v>-1.0394182936579455E-7</v>
      </c>
      <c r="J136" s="226">
        <f ca="1">SUM(J133:J135)</f>
        <v>-5.3356141393123835E-5</v>
      </c>
    </row>
    <row r="137" spans="2:10">
      <c r="B137" s="28"/>
      <c r="F137" s="57"/>
      <c r="G137" s="57"/>
      <c r="H137" s="57"/>
      <c r="I137" s="57"/>
      <c r="J137" s="57"/>
    </row>
    <row r="138" spans="2:10">
      <c r="B138" s="151" t="s">
        <v>163</v>
      </c>
      <c r="C138" s="15"/>
      <c r="D138" s="15"/>
      <c r="E138" s="15"/>
      <c r="F138" s="15"/>
      <c r="G138" s="15"/>
      <c r="H138" s="15"/>
      <c r="I138" s="15"/>
      <c r="J138" s="15"/>
    </row>
    <row r="139" spans="2:10">
      <c r="B139" s="43" t="str">
        <f t="shared" ref="B139:J139" si="51">B39</f>
        <v xml:space="preserve">Fiscal year  </v>
      </c>
      <c r="C139" s="37">
        <f t="shared" si="51"/>
        <v>2011</v>
      </c>
      <c r="D139" s="37">
        <f t="shared" si="51"/>
        <v>2012</v>
      </c>
      <c r="E139" s="37">
        <f t="shared" si="51"/>
        <v>2013</v>
      </c>
      <c r="F139" s="38">
        <f t="shared" si="51"/>
        <v>2014</v>
      </c>
      <c r="G139" s="38">
        <f t="shared" si="51"/>
        <v>2015</v>
      </c>
      <c r="H139" s="38">
        <f t="shared" si="51"/>
        <v>2016</v>
      </c>
      <c r="I139" s="38">
        <f t="shared" si="51"/>
        <v>2017</v>
      </c>
      <c r="J139" s="38">
        <f t="shared" si="51"/>
        <v>2018</v>
      </c>
    </row>
    <row r="140" spans="2:10">
      <c r="B140" s="15" t="str">
        <f t="shared" ref="B140:J140" si="52">B40</f>
        <v>Fiscal year end date</v>
      </c>
      <c r="C140" s="39">
        <f t="shared" si="52"/>
        <v>40633</v>
      </c>
      <c r="D140" s="39">
        <f t="shared" si="52"/>
        <v>40999</v>
      </c>
      <c r="E140" s="39">
        <f t="shared" si="52"/>
        <v>41364</v>
      </c>
      <c r="F140" s="39">
        <f t="shared" si="52"/>
        <v>41729</v>
      </c>
      <c r="G140" s="39">
        <f t="shared" si="52"/>
        <v>42094</v>
      </c>
      <c r="H140" s="39">
        <f t="shared" si="52"/>
        <v>42460</v>
      </c>
      <c r="I140" s="39">
        <f t="shared" si="52"/>
        <v>42825</v>
      </c>
      <c r="J140" s="39">
        <f t="shared" si="52"/>
        <v>43190</v>
      </c>
    </row>
    <row r="141" spans="2:10">
      <c r="B141" s="45"/>
      <c r="C141" s="11"/>
      <c r="D141" s="11"/>
      <c r="E141" s="11"/>
      <c r="F141" s="11"/>
      <c r="G141" s="11"/>
      <c r="H141" s="11"/>
      <c r="I141" s="11"/>
      <c r="J141" s="11"/>
    </row>
    <row r="142" spans="2:10">
      <c r="B142" s="30" t="s">
        <v>161</v>
      </c>
      <c r="F142" s="272">
        <f>D16</f>
        <v>180</v>
      </c>
      <c r="G142" s="138">
        <f ca="1">F144</f>
        <v>180</v>
      </c>
      <c r="H142" s="138">
        <f t="shared" ref="H142:J142" ca="1" si="53">G144</f>
        <v>179.9999999999992</v>
      </c>
      <c r="I142" s="138">
        <f t="shared" ca="1" si="53"/>
        <v>179.99999999996498</v>
      </c>
      <c r="J142" s="138">
        <f t="shared" ca="1" si="53"/>
        <v>180.00000028464171</v>
      </c>
    </row>
    <row r="143" spans="2:10">
      <c r="B143" s="47" t="s">
        <v>35</v>
      </c>
      <c r="F143" s="138">
        <f ca="1">F136</f>
        <v>0</v>
      </c>
      <c r="G143" s="138">
        <f ca="1">G136</f>
        <v>3.4106051316484809E-13</v>
      </c>
      <c r="H143" s="138">
        <f t="shared" ref="H143:J143" ca="1" si="54">H136</f>
        <v>2.5920599000528455E-11</v>
      </c>
      <c r="I143" s="138">
        <f t="shared" ca="1" si="54"/>
        <v>-1.0394182936579455E-7</v>
      </c>
      <c r="J143" s="138">
        <f t="shared" ca="1" si="54"/>
        <v>-5.3356141393123835E-5</v>
      </c>
    </row>
    <row r="144" spans="2:10">
      <c r="B144" s="58" t="s">
        <v>162</v>
      </c>
      <c r="C144" s="28"/>
      <c r="D144" s="218">
        <f>1496.9+86.1+52.6</f>
        <v>1635.6</v>
      </c>
      <c r="E144" s="371">
        <f>D15</f>
        <v>1581.9</v>
      </c>
      <c r="F144" s="226">
        <f ca="1">SUM(F142:F143)</f>
        <v>180</v>
      </c>
      <c r="G144" s="226">
        <f ca="1">SUM(G142:G143)</f>
        <v>180.00000000000034</v>
      </c>
      <c r="H144" s="226">
        <f t="shared" ref="H144:J144" ca="1" si="55">SUM(H142:H143)</f>
        <v>180.00000000002512</v>
      </c>
      <c r="I144" s="226">
        <f t="shared" ca="1" si="55"/>
        <v>179.99999989602316</v>
      </c>
      <c r="J144" s="226">
        <f t="shared" ca="1" si="55"/>
        <v>179.99994692850032</v>
      </c>
    </row>
    <row r="145" spans="2:10">
      <c r="B145" s="30" t="s">
        <v>53</v>
      </c>
      <c r="D145" s="214">
        <f t="shared" ref="D145" si="56">D146/AVERAGE(C144:D144)</f>
        <v>6.4808021521154321E-3</v>
      </c>
      <c r="E145" s="214">
        <f>E146/AVERAGE(D144:E144)</f>
        <v>5.1592851592851601E-3</v>
      </c>
      <c r="F145" s="59">
        <f>$E$145</f>
        <v>5.1592851592851601E-3</v>
      </c>
      <c r="G145" s="59">
        <f t="shared" ref="G145:J145" si="57">$E$145</f>
        <v>5.1592851592851601E-3</v>
      </c>
      <c r="H145" s="59">
        <f t="shared" si="57"/>
        <v>5.1592851592851601E-3</v>
      </c>
      <c r="I145" s="59">
        <f t="shared" si="57"/>
        <v>5.1592851592851601E-3</v>
      </c>
      <c r="J145" s="59">
        <f t="shared" si="57"/>
        <v>5.1592851592851601E-3</v>
      </c>
    </row>
    <row r="146" spans="2:10">
      <c r="B146" s="30" t="s">
        <v>15</v>
      </c>
      <c r="C146" s="41"/>
      <c r="D146" s="138">
        <f>D49</f>
        <v>10.6</v>
      </c>
      <c r="E146" s="138">
        <f>E49</f>
        <v>8.3000000000000007</v>
      </c>
      <c r="F146" s="372">
        <f ca="1">IF($D$10="OFF",AVERAGE(F142,F144)*F145,0)</f>
        <v>0.92867132867132884</v>
      </c>
      <c r="G146" s="372">
        <f t="shared" ref="G146:J146" ca="1" si="58">IF($D$10="OFF",AVERAGE(G142,G144)*G145,0)</f>
        <v>0.92867132867132973</v>
      </c>
      <c r="H146" s="372">
        <f t="shared" ca="1" si="58"/>
        <v>0.92867132867139157</v>
      </c>
      <c r="I146" s="372">
        <f t="shared" ca="1" si="58"/>
        <v>0.92867132840301536</v>
      </c>
      <c r="J146" s="372">
        <f t="shared" ca="1" si="58"/>
        <v>0.92867119250010233</v>
      </c>
    </row>
    <row r="147" spans="2:10">
      <c r="B147" s="30"/>
      <c r="C147" s="41"/>
      <c r="D147" s="41"/>
      <c r="E147" s="41"/>
      <c r="F147" s="60"/>
      <c r="G147" s="60"/>
      <c r="H147" s="60"/>
      <c r="I147" s="60"/>
      <c r="J147" s="60"/>
    </row>
    <row r="148" spans="2:10">
      <c r="B148" s="29" t="s">
        <v>32</v>
      </c>
      <c r="C148" s="25"/>
      <c r="D148" s="195"/>
      <c r="E148" s="195"/>
      <c r="F148" s="140"/>
      <c r="G148" s="140"/>
      <c r="H148" s="140"/>
      <c r="I148" s="140"/>
      <c r="J148" s="140"/>
    </row>
    <row r="149" spans="2:10">
      <c r="B149" s="82" t="s">
        <v>166</v>
      </c>
      <c r="C149" s="25"/>
      <c r="D149" s="25"/>
      <c r="E149" s="25"/>
      <c r="F149" s="273">
        <f>F142</f>
        <v>180</v>
      </c>
      <c r="G149" s="273">
        <f t="shared" ref="G149:J149" ca="1" si="59">G142</f>
        <v>180</v>
      </c>
      <c r="H149" s="273">
        <f t="shared" ca="1" si="59"/>
        <v>179.9999999999992</v>
      </c>
      <c r="I149" s="273">
        <f t="shared" ca="1" si="59"/>
        <v>179.99999999996498</v>
      </c>
      <c r="J149" s="273">
        <f t="shared" ca="1" si="59"/>
        <v>180.00000028464171</v>
      </c>
    </row>
    <row r="150" spans="2:10">
      <c r="B150" s="82" t="s">
        <v>49</v>
      </c>
      <c r="C150" s="25"/>
      <c r="D150" s="25"/>
      <c r="E150" s="25"/>
      <c r="F150" s="274">
        <f>-($D$16)</f>
        <v>-180</v>
      </c>
      <c r="G150" s="274">
        <f t="shared" ref="G150:J150" si="60">-($D$16)</f>
        <v>-180</v>
      </c>
      <c r="H150" s="274">
        <f t="shared" si="60"/>
        <v>-180</v>
      </c>
      <c r="I150" s="274">
        <f t="shared" si="60"/>
        <v>-180</v>
      </c>
      <c r="J150" s="274">
        <f t="shared" si="60"/>
        <v>-180</v>
      </c>
    </row>
    <row r="151" spans="2:10">
      <c r="B151" s="82" t="s">
        <v>50</v>
      </c>
      <c r="C151" s="25"/>
      <c r="D151" s="25"/>
      <c r="E151" s="25"/>
      <c r="F151" s="273">
        <f>SUM(F149:F150)</f>
        <v>0</v>
      </c>
      <c r="G151" s="273">
        <f t="shared" ref="G151:J151" ca="1" si="61">SUM(G149:G150)</f>
        <v>0</v>
      </c>
      <c r="H151" s="273">
        <f t="shared" ca="1" si="61"/>
        <v>-7.9580786405131221E-13</v>
      </c>
      <c r="I151" s="273">
        <f t="shared" ca="1" si="61"/>
        <v>-3.5015546018257737E-11</v>
      </c>
      <c r="J151" s="273">
        <f t="shared" ca="1" si="61"/>
        <v>2.8464171464293031E-7</v>
      </c>
    </row>
    <row r="152" spans="2:10">
      <c r="B152" s="197" t="s">
        <v>51</v>
      </c>
      <c r="C152" s="33"/>
      <c r="D152" s="33"/>
      <c r="E152" s="33"/>
      <c r="F152" s="275">
        <f ca="1">F131</f>
        <v>88.73666116479734</v>
      </c>
      <c r="G152" s="275">
        <f t="shared" ref="G152:J152" ca="1" si="62">G131</f>
        <v>341.34788850817432</v>
      </c>
      <c r="H152" s="275">
        <f t="shared" ca="1" si="62"/>
        <v>430.87486715702238</v>
      </c>
      <c r="I152" s="275">
        <f t="shared" ca="1" si="62"/>
        <v>495.28397135044753</v>
      </c>
      <c r="J152" s="275">
        <f t="shared" ca="1" si="62"/>
        <v>586.71818230294753</v>
      </c>
    </row>
    <row r="153" spans="2:10">
      <c r="B153" s="190" t="s">
        <v>167</v>
      </c>
      <c r="C153" s="100"/>
      <c r="D153" s="100"/>
      <c r="E153" s="100"/>
      <c r="F153" s="276">
        <f ca="1">SUM(F151:F152)</f>
        <v>88.73666116479734</v>
      </c>
      <c r="G153" s="276">
        <f t="shared" ref="G153:J153" ca="1" si="63">SUM(G151:G152)</f>
        <v>341.34788850817432</v>
      </c>
      <c r="H153" s="276">
        <f t="shared" ca="1" si="63"/>
        <v>430.87486715702158</v>
      </c>
      <c r="I153" s="276">
        <f t="shared" ca="1" si="63"/>
        <v>495.28397135041251</v>
      </c>
      <c r="J153" s="276">
        <f t="shared" ca="1" si="63"/>
        <v>586.71818258758924</v>
      </c>
    </row>
    <row r="154" spans="2:10">
      <c r="B154" s="25"/>
      <c r="C154" s="25"/>
      <c r="D154" s="25"/>
      <c r="E154" s="25"/>
      <c r="F154" s="25"/>
      <c r="G154" s="25"/>
      <c r="H154" s="25"/>
      <c r="I154" s="25"/>
      <c r="J154" s="25"/>
    </row>
    <row r="155" spans="2:10">
      <c r="B155" s="32" t="s">
        <v>164</v>
      </c>
      <c r="C155" s="25"/>
      <c r="D155" s="25"/>
      <c r="E155" s="25"/>
      <c r="F155" s="277">
        <f>D28</f>
        <v>0</v>
      </c>
      <c r="G155" s="273">
        <f ca="1">F157</f>
        <v>0</v>
      </c>
      <c r="H155" s="273">
        <f t="shared" ref="H155:J155" ca="1" si="64">G157</f>
        <v>0</v>
      </c>
      <c r="I155" s="273">
        <f t="shared" ca="1" si="64"/>
        <v>0</v>
      </c>
      <c r="J155" s="273">
        <f t="shared" ca="1" si="64"/>
        <v>0</v>
      </c>
    </row>
    <row r="156" spans="2:10">
      <c r="B156" s="192" t="s">
        <v>35</v>
      </c>
      <c r="C156" s="25"/>
      <c r="D156" s="25"/>
      <c r="E156" s="25"/>
      <c r="F156" s="273">
        <f ca="1">-MIN(F153,F155)</f>
        <v>0</v>
      </c>
      <c r="G156" s="273">
        <f t="shared" ref="G156:J156" ca="1" si="65">-MIN(G153,G155)</f>
        <v>0</v>
      </c>
      <c r="H156" s="273">
        <f t="shared" ca="1" si="65"/>
        <v>0</v>
      </c>
      <c r="I156" s="273">
        <f t="shared" ca="1" si="65"/>
        <v>0</v>
      </c>
      <c r="J156" s="273">
        <f t="shared" ca="1" si="65"/>
        <v>0</v>
      </c>
    </row>
    <row r="157" spans="2:10">
      <c r="B157" s="193" t="s">
        <v>165</v>
      </c>
      <c r="C157" s="25"/>
      <c r="D157" s="33" t="s">
        <v>203</v>
      </c>
      <c r="E157" s="33" t="s">
        <v>307</v>
      </c>
      <c r="F157" s="278">
        <f t="shared" ref="F157:J157" ca="1" si="66">SUM(F155:F156)</f>
        <v>0</v>
      </c>
      <c r="G157" s="278">
        <f t="shared" ca="1" si="66"/>
        <v>0</v>
      </c>
      <c r="H157" s="278">
        <f t="shared" ca="1" si="66"/>
        <v>0</v>
      </c>
      <c r="I157" s="278">
        <f t="shared" ca="1" si="66"/>
        <v>0</v>
      </c>
      <c r="J157" s="278">
        <f t="shared" ca="1" si="66"/>
        <v>0</v>
      </c>
    </row>
    <row r="158" spans="2:10">
      <c r="B158" s="190" t="s">
        <v>47</v>
      </c>
      <c r="C158" s="25"/>
      <c r="D158" s="375">
        <v>0.8</v>
      </c>
      <c r="E158" s="375">
        <v>0.65</v>
      </c>
      <c r="F158" s="276">
        <f>MIN(350,$D$158*F76+$E$158*F78)</f>
        <v>350</v>
      </c>
      <c r="G158" s="276">
        <f t="shared" ref="G158:J158" si="67">MIN(350,$D$158*G76+$E$158*G78)</f>
        <v>350</v>
      </c>
      <c r="H158" s="276">
        <f t="shared" si="67"/>
        <v>350</v>
      </c>
      <c r="I158" s="276">
        <f t="shared" si="67"/>
        <v>350</v>
      </c>
      <c r="J158" s="276">
        <f t="shared" si="67"/>
        <v>350</v>
      </c>
    </row>
    <row r="159" spans="2:10">
      <c r="B159" s="190" t="s">
        <v>48</v>
      </c>
      <c r="C159" s="25"/>
      <c r="D159" s="194"/>
      <c r="E159" s="194"/>
      <c r="F159" s="198" t="str">
        <f ca="1">IF(F157&gt;F158,"OVERDRAWN","OK")</f>
        <v>OK</v>
      </c>
      <c r="G159" s="198" t="str">
        <f t="shared" ref="G159:J159" ca="1" si="68">IF(G157&gt;G158,"OVERDRAWN","OK")</f>
        <v>OK</v>
      </c>
      <c r="H159" s="198" t="str">
        <f t="shared" ca="1" si="68"/>
        <v>OK</v>
      </c>
      <c r="I159" s="198" t="str">
        <f t="shared" ca="1" si="68"/>
        <v>OK</v>
      </c>
      <c r="J159" s="198" t="str">
        <f t="shared" ca="1" si="68"/>
        <v>OK</v>
      </c>
    </row>
    <row r="160" spans="2:10">
      <c r="B160" s="25"/>
      <c r="C160" s="25"/>
      <c r="D160" s="25"/>
      <c r="E160" s="25"/>
      <c r="F160" s="25"/>
      <c r="G160" s="25"/>
      <c r="H160" s="25"/>
      <c r="I160" s="25"/>
      <c r="J160" s="25"/>
    </row>
    <row r="161" spans="2:10">
      <c r="B161" s="29" t="s">
        <v>142</v>
      </c>
      <c r="C161" s="25"/>
      <c r="D161" s="25"/>
      <c r="E161" s="25"/>
      <c r="F161" s="25"/>
      <c r="G161" s="25"/>
      <c r="H161" s="25"/>
      <c r="I161" s="25"/>
      <c r="J161" s="25"/>
    </row>
    <row r="162" spans="2:10">
      <c r="B162" s="32" t="s">
        <v>146</v>
      </c>
      <c r="C162" s="25"/>
      <c r="D162" s="25"/>
      <c r="E162" s="25"/>
      <c r="F162" s="277">
        <f>D29</f>
        <v>2886.429000000001</v>
      </c>
      <c r="G162" s="273">
        <f ca="1">F165</f>
        <v>2509.0494388352035</v>
      </c>
      <c r="H162" s="273">
        <f t="shared" ref="H162:J162" ca="1" si="69">G165</f>
        <v>2023.3801003270294</v>
      </c>
      <c r="I162" s="273">
        <f t="shared" ca="1" si="69"/>
        <v>1448.1837831700134</v>
      </c>
      <c r="J162" s="273">
        <f t="shared" ca="1" si="69"/>
        <v>808.57836180006439</v>
      </c>
    </row>
    <row r="163" spans="2:10">
      <c r="B163" s="32" t="s">
        <v>155</v>
      </c>
      <c r="C163" s="25"/>
      <c r="D163" s="25"/>
      <c r="E163" s="25"/>
      <c r="F163" s="274">
        <f>MIN(F166*$F$162,F162)</f>
        <v>288.64290000000011</v>
      </c>
      <c r="G163" s="274">
        <f t="shared" ref="G163:J163" ca="1" si="70">MIN(G166*$F$162,G162)</f>
        <v>144.32145000000006</v>
      </c>
      <c r="H163" s="274">
        <f t="shared" ca="1" si="70"/>
        <v>144.32145000000006</v>
      </c>
      <c r="I163" s="274">
        <f t="shared" ca="1" si="70"/>
        <v>144.32145000000006</v>
      </c>
      <c r="J163" s="274">
        <f t="shared" ca="1" si="70"/>
        <v>144.32145000000006</v>
      </c>
    </row>
    <row r="164" spans="2:10">
      <c r="B164" s="32" t="s">
        <v>157</v>
      </c>
      <c r="C164" s="25"/>
      <c r="D164" s="25"/>
      <c r="E164" s="25"/>
      <c r="F164" s="274">
        <f ca="1">MIN(F167,F162-F163)</f>
        <v>88.73666116479734</v>
      </c>
      <c r="G164" s="274">
        <f t="shared" ref="G164:J164" ca="1" si="71">MIN(G167,G162-G163)</f>
        <v>341.34788850817432</v>
      </c>
      <c r="H164" s="274">
        <f t="shared" ca="1" si="71"/>
        <v>430.87486715702636</v>
      </c>
      <c r="I164" s="274">
        <f t="shared" ca="1" si="71"/>
        <v>495.28397133930986</v>
      </c>
      <c r="J164" s="274">
        <f t="shared" ca="1" si="71"/>
        <v>586.71817599122517</v>
      </c>
    </row>
    <row r="165" spans="2:10">
      <c r="B165" s="193" t="s">
        <v>149</v>
      </c>
      <c r="C165" s="52"/>
      <c r="D165" s="199"/>
      <c r="E165" s="52"/>
      <c r="F165" s="219">
        <f ca="1">F162-F163-F164</f>
        <v>2509.0494388352035</v>
      </c>
      <c r="G165" s="219">
        <f t="shared" ref="G165:J165" ca="1" si="72">G162-G163-G164</f>
        <v>2023.3801003270294</v>
      </c>
      <c r="H165" s="219">
        <f t="shared" ca="1" si="72"/>
        <v>1448.1837831700029</v>
      </c>
      <c r="I165" s="219">
        <f t="shared" ca="1" si="72"/>
        <v>808.57836183070344</v>
      </c>
      <c r="J165" s="219">
        <f t="shared" ca="1" si="72"/>
        <v>77.538735808839192</v>
      </c>
    </row>
    <row r="166" spans="2:10">
      <c r="B166" s="190" t="s">
        <v>172</v>
      </c>
      <c r="C166" s="100"/>
      <c r="E166" s="195" t="s">
        <v>220</v>
      </c>
      <c r="F166" s="200">
        <v>0.1</v>
      </c>
      <c r="G166" s="200">
        <v>0.05</v>
      </c>
      <c r="H166" s="200">
        <v>0.05</v>
      </c>
      <c r="I166" s="200">
        <v>0.05</v>
      </c>
      <c r="J166" s="200">
        <v>0.05</v>
      </c>
    </row>
    <row r="167" spans="2:10">
      <c r="B167" s="190" t="s">
        <v>219</v>
      </c>
      <c r="C167" s="100"/>
      <c r="E167" s="201">
        <v>1</v>
      </c>
      <c r="F167" s="279">
        <f ca="1">$E$167*(F153+F156)</f>
        <v>88.73666116479734</v>
      </c>
      <c r="G167" s="279">
        <f t="shared" ref="G167:J167" ca="1" si="73">$E$167*(G153+G156)</f>
        <v>341.34788850817432</v>
      </c>
      <c r="H167" s="279">
        <f t="shared" ca="1" si="73"/>
        <v>430.87486715702158</v>
      </c>
      <c r="I167" s="279">
        <f t="shared" ca="1" si="73"/>
        <v>495.28397135041251</v>
      </c>
      <c r="J167" s="279">
        <f t="shared" ca="1" si="73"/>
        <v>586.71818258758924</v>
      </c>
    </row>
    <row r="168" spans="2:10">
      <c r="B168" s="32"/>
      <c r="C168" s="25"/>
      <c r="F168" s="196"/>
      <c r="G168" s="196"/>
      <c r="H168" s="196"/>
      <c r="I168" s="196"/>
      <c r="J168" s="196"/>
    </row>
    <row r="169" spans="2:10">
      <c r="B169" s="29" t="s">
        <v>143</v>
      </c>
      <c r="C169" s="25"/>
      <c r="F169" s="140"/>
      <c r="G169" s="25"/>
      <c r="H169" s="25"/>
      <c r="I169" s="25"/>
      <c r="J169" s="25"/>
    </row>
    <row r="170" spans="2:10">
      <c r="B170" s="32" t="s">
        <v>147</v>
      </c>
      <c r="C170" s="25"/>
      <c r="F170" s="277">
        <f>D30</f>
        <v>670.8520000000002</v>
      </c>
      <c r="G170" s="273">
        <f ca="1">F173</f>
        <v>637.30940000000021</v>
      </c>
      <c r="H170" s="273">
        <f t="shared" ref="H170:J170" ca="1" si="74">G173</f>
        <v>603.76680000000044</v>
      </c>
      <c r="I170" s="273">
        <f t="shared" ca="1" si="74"/>
        <v>570.22420000001875</v>
      </c>
      <c r="J170" s="273">
        <f t="shared" ca="1" si="74"/>
        <v>536.68159991551693</v>
      </c>
    </row>
    <row r="171" spans="2:10">
      <c r="B171" s="32" t="s">
        <v>141</v>
      </c>
      <c r="C171" s="25"/>
      <c r="F171" s="274">
        <f>MIN(F174*$F$170,F170)</f>
        <v>33.542600000000014</v>
      </c>
      <c r="G171" s="274">
        <f t="shared" ref="G171:J171" ca="1" si="75">MIN(G174*$F$170,G170)</f>
        <v>33.542600000000014</v>
      </c>
      <c r="H171" s="274">
        <f t="shared" ca="1" si="75"/>
        <v>33.542600000000014</v>
      </c>
      <c r="I171" s="274">
        <f t="shared" ca="1" si="75"/>
        <v>33.542600000000014</v>
      </c>
      <c r="J171" s="274">
        <f t="shared" ca="1" si="75"/>
        <v>33.542600000000014</v>
      </c>
    </row>
    <row r="172" spans="2:10">
      <c r="B172" s="32" t="s">
        <v>157</v>
      </c>
      <c r="C172" s="25"/>
      <c r="F172" s="274">
        <f ca="1">MIN(F175,F170-F171)</f>
        <v>0</v>
      </c>
      <c r="G172" s="274">
        <f t="shared" ref="G172:J172" ca="1" si="76">MIN(G175,G170-G171)</f>
        <v>1.1368683772161603E-13</v>
      </c>
      <c r="H172" s="274">
        <f t="shared" ca="1" si="76"/>
        <v>1.0686562745831907E-11</v>
      </c>
      <c r="I172" s="274">
        <f t="shared" ca="1" si="76"/>
        <v>-3.0620412871940061E-8</v>
      </c>
      <c r="J172" s="274">
        <f t="shared" ca="1" si="76"/>
        <v>-1.6848098766786279E-5</v>
      </c>
    </row>
    <row r="173" spans="2:10">
      <c r="B173" s="193" t="s">
        <v>148</v>
      </c>
      <c r="C173" s="52"/>
      <c r="F173" s="219">
        <f ca="1">F170-F171-F172</f>
        <v>637.30940000000021</v>
      </c>
      <c r="G173" s="219">
        <f t="shared" ref="G173:J173" ca="1" si="77">G170-G171-G172</f>
        <v>603.7668000000001</v>
      </c>
      <c r="H173" s="219">
        <f t="shared" ca="1" si="77"/>
        <v>570.22419999998976</v>
      </c>
      <c r="I173" s="219">
        <f t="shared" ca="1" si="77"/>
        <v>536.68160003063917</v>
      </c>
      <c r="J173" s="219">
        <f t="shared" ca="1" si="77"/>
        <v>503.1390167636157</v>
      </c>
    </row>
    <row r="174" spans="2:10">
      <c r="B174" s="190" t="s">
        <v>172</v>
      </c>
      <c r="C174" s="100"/>
      <c r="E174" s="195" t="s">
        <v>220</v>
      </c>
      <c r="F174" s="200">
        <v>0.05</v>
      </c>
      <c r="G174" s="200">
        <v>0.05</v>
      </c>
      <c r="H174" s="200">
        <v>0.05</v>
      </c>
      <c r="I174" s="200">
        <v>0.05</v>
      </c>
      <c r="J174" s="200">
        <v>0.05</v>
      </c>
    </row>
    <row r="175" spans="2:10">
      <c r="B175" s="190" t="s">
        <v>189</v>
      </c>
      <c r="C175" s="100"/>
      <c r="E175" s="201">
        <v>1</v>
      </c>
      <c r="F175" s="280">
        <f ca="1">$E$175*(F153+F156-F164)</f>
        <v>0</v>
      </c>
      <c r="G175" s="280">
        <f t="shared" ref="G175:J175" ca="1" si="78">$E$175*(G153+G156-G164)</f>
        <v>0</v>
      </c>
      <c r="H175" s="280">
        <f t="shared" ca="1" si="78"/>
        <v>-4.7748471843078732E-12</v>
      </c>
      <c r="I175" s="280">
        <f t="shared" ca="1" si="78"/>
        <v>1.1102656571893021E-8</v>
      </c>
      <c r="J175" s="280">
        <f t="shared" ca="1" si="78"/>
        <v>6.5963640736299567E-6</v>
      </c>
    </row>
    <row r="176" spans="2:10">
      <c r="B176" s="146"/>
      <c r="C176" s="72"/>
      <c r="D176" s="72"/>
      <c r="E176" s="72"/>
      <c r="F176" s="154"/>
      <c r="G176" s="154"/>
      <c r="H176" s="154"/>
      <c r="I176" s="154"/>
      <c r="J176" s="154"/>
    </row>
    <row r="177" spans="2:10">
      <c r="B177" s="29" t="s">
        <v>144</v>
      </c>
      <c r="F177" s="41"/>
    </row>
    <row r="178" spans="2:10">
      <c r="B178" s="30" t="s">
        <v>151</v>
      </c>
      <c r="F178" s="272">
        <f>D31</f>
        <v>1632.9950000000006</v>
      </c>
      <c r="G178" s="138">
        <f>F180</f>
        <v>1632.9950000000006</v>
      </c>
      <c r="H178" s="138">
        <f t="shared" ref="H178:J178" si="79">G180</f>
        <v>1632.9950000000006</v>
      </c>
      <c r="I178" s="138">
        <f t="shared" si="79"/>
        <v>1632.9950000000006</v>
      </c>
      <c r="J178" s="138">
        <f t="shared" si="79"/>
        <v>1632.9950000000006</v>
      </c>
    </row>
    <row r="179" spans="2:10">
      <c r="B179" s="30" t="s">
        <v>141</v>
      </c>
      <c r="F179" s="227">
        <f>MIN(F181*$F$178,F178)</f>
        <v>0</v>
      </c>
      <c r="G179" s="227">
        <f t="shared" ref="G179:J179" si="80">MIN(G181*$F$178,G178)</f>
        <v>0</v>
      </c>
      <c r="H179" s="227">
        <f t="shared" si="80"/>
        <v>0</v>
      </c>
      <c r="I179" s="227">
        <f t="shared" si="80"/>
        <v>0</v>
      </c>
      <c r="J179" s="227">
        <f t="shared" si="80"/>
        <v>0</v>
      </c>
    </row>
    <row r="180" spans="2:10">
      <c r="B180" s="58" t="s">
        <v>150</v>
      </c>
      <c r="C180" s="28"/>
      <c r="D180" s="28"/>
      <c r="E180" s="28"/>
      <c r="F180" s="224">
        <f>F178-F179</f>
        <v>1632.9950000000006</v>
      </c>
      <c r="G180" s="224">
        <f t="shared" ref="G180:J180" si="81">G178-G179</f>
        <v>1632.9950000000006</v>
      </c>
      <c r="H180" s="224">
        <f t="shared" si="81"/>
        <v>1632.9950000000006</v>
      </c>
      <c r="I180" s="224">
        <f t="shared" si="81"/>
        <v>1632.9950000000006</v>
      </c>
      <c r="J180" s="224">
        <f t="shared" si="81"/>
        <v>1632.9950000000006</v>
      </c>
    </row>
    <row r="181" spans="2:10">
      <c r="B181" s="146" t="s">
        <v>172</v>
      </c>
      <c r="F181" s="150">
        <v>0</v>
      </c>
      <c r="G181" s="150">
        <v>0</v>
      </c>
      <c r="H181" s="150">
        <v>0</v>
      </c>
      <c r="I181" s="150">
        <v>0</v>
      </c>
      <c r="J181" s="150">
        <v>0</v>
      </c>
    </row>
    <row r="182" spans="2:10">
      <c r="B182" s="146"/>
      <c r="F182" s="150"/>
      <c r="G182" s="150"/>
      <c r="H182" s="150"/>
      <c r="I182" s="150"/>
      <c r="J182" s="150"/>
    </row>
    <row r="183" spans="2:10">
      <c r="B183" s="29" t="s">
        <v>145</v>
      </c>
      <c r="F183" s="41"/>
    </row>
    <row r="184" spans="2:10">
      <c r="B184" s="30" t="s">
        <v>153</v>
      </c>
      <c r="F184" s="272">
        <f>D32</f>
        <v>0</v>
      </c>
      <c r="G184" s="138">
        <f>F187</f>
        <v>0</v>
      </c>
      <c r="H184" s="138">
        <f t="shared" ref="H184:J184" si="82">G187</f>
        <v>0</v>
      </c>
      <c r="I184" s="138">
        <f t="shared" si="82"/>
        <v>0</v>
      </c>
      <c r="J184" s="138">
        <f t="shared" si="82"/>
        <v>0</v>
      </c>
    </row>
    <row r="185" spans="2:10">
      <c r="B185" s="30" t="s">
        <v>141</v>
      </c>
      <c r="C185" s="131" t="s">
        <v>198</v>
      </c>
      <c r="D185" s="131" t="s">
        <v>199</v>
      </c>
      <c r="F185" s="227">
        <f>MIN(F188*$F$184,F184)</f>
        <v>0</v>
      </c>
      <c r="G185" s="227">
        <f t="shared" ref="G185:J185" si="83">MIN(G188*$F$184,G184)</f>
        <v>0</v>
      </c>
      <c r="H185" s="227">
        <f t="shared" si="83"/>
        <v>0</v>
      </c>
      <c r="I185" s="227">
        <f t="shared" si="83"/>
        <v>0</v>
      </c>
      <c r="J185" s="227">
        <f t="shared" si="83"/>
        <v>0</v>
      </c>
    </row>
    <row r="186" spans="2:10">
      <c r="B186" s="149" t="s">
        <v>200</v>
      </c>
      <c r="C186" s="148">
        <v>0.04</v>
      </c>
      <c r="D186" s="53">
        <v>0.08</v>
      </c>
      <c r="F186" s="227">
        <f>$C$186*(F184-F185)</f>
        <v>0</v>
      </c>
      <c r="G186" s="227">
        <f t="shared" ref="G186:J186" si="84">$C$186*(G184-G185)</f>
        <v>0</v>
      </c>
      <c r="H186" s="227">
        <f t="shared" si="84"/>
        <v>0</v>
      </c>
      <c r="I186" s="227">
        <f t="shared" si="84"/>
        <v>0</v>
      </c>
      <c r="J186" s="227">
        <f t="shared" si="84"/>
        <v>0</v>
      </c>
    </row>
    <row r="187" spans="2:10">
      <c r="B187" s="58" t="s">
        <v>152</v>
      </c>
      <c r="C187" s="28"/>
      <c r="D187" s="53"/>
      <c r="E187" s="28"/>
      <c r="F187" s="224">
        <f>F184-F185+F186</f>
        <v>0</v>
      </c>
      <c r="G187" s="224">
        <f t="shared" ref="G187:J187" si="85">G184-G185+G186</f>
        <v>0</v>
      </c>
      <c r="H187" s="224">
        <f t="shared" si="85"/>
        <v>0</v>
      </c>
      <c r="I187" s="224">
        <f t="shared" si="85"/>
        <v>0</v>
      </c>
      <c r="J187" s="224">
        <f t="shared" si="85"/>
        <v>0</v>
      </c>
    </row>
    <row r="188" spans="2:10">
      <c r="B188" s="146" t="s">
        <v>172</v>
      </c>
      <c r="F188" s="150">
        <v>0</v>
      </c>
      <c r="G188" s="150">
        <v>0</v>
      </c>
      <c r="H188" s="150">
        <v>0</v>
      </c>
      <c r="I188" s="150">
        <v>0</v>
      </c>
      <c r="J188" s="150">
        <v>0</v>
      </c>
    </row>
    <row r="189" spans="2:10">
      <c r="B189" s="146"/>
      <c r="F189" s="150"/>
      <c r="G189" s="150"/>
      <c r="H189" s="150"/>
      <c r="I189" s="150"/>
      <c r="J189" s="150"/>
    </row>
    <row r="190" spans="2:10">
      <c r="B190" s="29" t="s">
        <v>170</v>
      </c>
      <c r="D190" s="163"/>
      <c r="E190" s="131"/>
      <c r="F190" s="150"/>
      <c r="G190" s="150"/>
      <c r="H190" s="150"/>
      <c r="I190" s="150"/>
      <c r="J190" s="150"/>
    </row>
    <row r="191" spans="2:10">
      <c r="B191" s="30" t="s">
        <v>171</v>
      </c>
      <c r="F191" s="281">
        <f>D33</f>
        <v>0</v>
      </c>
      <c r="G191" s="138">
        <f>F193</f>
        <v>0</v>
      </c>
      <c r="H191" s="138">
        <f t="shared" ref="H191:J191" si="86">G193</f>
        <v>0</v>
      </c>
      <c r="I191" s="138">
        <f t="shared" si="86"/>
        <v>0</v>
      </c>
      <c r="J191" s="138">
        <f t="shared" si="86"/>
        <v>0</v>
      </c>
    </row>
    <row r="192" spans="2:10">
      <c r="B192" s="149" t="s">
        <v>39</v>
      </c>
      <c r="F192" s="227">
        <f>$C$194*F191</f>
        <v>0</v>
      </c>
      <c r="G192" s="227">
        <f t="shared" ref="G192:J192" si="87">$C$194*G191</f>
        <v>0</v>
      </c>
      <c r="H192" s="227">
        <f t="shared" si="87"/>
        <v>0</v>
      </c>
      <c r="I192" s="227">
        <f t="shared" si="87"/>
        <v>0</v>
      </c>
      <c r="J192" s="227">
        <f t="shared" si="87"/>
        <v>0</v>
      </c>
    </row>
    <row r="193" spans="2:13">
      <c r="B193" s="28" t="s">
        <v>173</v>
      </c>
      <c r="C193" s="131" t="s">
        <v>198</v>
      </c>
      <c r="D193" s="131" t="s">
        <v>199</v>
      </c>
      <c r="E193" s="28"/>
      <c r="F193" s="224">
        <f>SUM(F191:F192)</f>
        <v>0</v>
      </c>
      <c r="G193" s="224">
        <f t="shared" ref="G193:J193" si="88">SUM(G191:G192)</f>
        <v>0</v>
      </c>
      <c r="H193" s="224">
        <f t="shared" si="88"/>
        <v>0</v>
      </c>
      <c r="I193" s="224">
        <f t="shared" si="88"/>
        <v>0</v>
      </c>
      <c r="J193" s="224">
        <f t="shared" si="88"/>
        <v>0</v>
      </c>
    </row>
    <row r="194" spans="2:13">
      <c r="B194" s="149" t="s">
        <v>204</v>
      </c>
      <c r="C194" s="148">
        <v>0.04</v>
      </c>
      <c r="D194" s="53">
        <v>0.08</v>
      </c>
      <c r="F194" s="138">
        <f>$D$194*F193</f>
        <v>0</v>
      </c>
      <c r="G194" s="138">
        <f t="shared" ref="G194:J194" si="89">$D$194*G193</f>
        <v>0</v>
      </c>
      <c r="H194" s="138">
        <f t="shared" si="89"/>
        <v>0</v>
      </c>
      <c r="I194" s="138">
        <f t="shared" si="89"/>
        <v>0</v>
      </c>
      <c r="J194" s="138">
        <f t="shared" si="89"/>
        <v>0</v>
      </c>
    </row>
    <row r="195" spans="2:13">
      <c r="B195" s="149"/>
      <c r="F195" s="41"/>
    </row>
    <row r="196" spans="2:13">
      <c r="B196" s="240" t="s">
        <v>282</v>
      </c>
      <c r="F196" s="41"/>
    </row>
    <row r="197" spans="2:13">
      <c r="B197" s="30" t="s">
        <v>284</v>
      </c>
      <c r="C197" s="141"/>
      <c r="D197" s="295"/>
      <c r="E197" s="295"/>
      <c r="F197" s="272">
        <f>H33</f>
        <v>69.689165000000031</v>
      </c>
      <c r="G197" s="138">
        <f>F199</f>
        <v>60.02517625000003</v>
      </c>
      <c r="H197" s="138">
        <f t="shared" ref="H197:J197" si="90">G199</f>
        <v>50.361187500000028</v>
      </c>
      <c r="I197" s="138">
        <f t="shared" si="90"/>
        <v>40.697198750000027</v>
      </c>
      <c r="J197" s="138">
        <f t="shared" si="90"/>
        <v>31.033210000000025</v>
      </c>
    </row>
    <row r="198" spans="2:13">
      <c r="B198" s="30" t="s">
        <v>135</v>
      </c>
      <c r="C198" s="141"/>
      <c r="D198" s="141"/>
      <c r="E198" s="141"/>
      <c r="F198" s="138">
        <f>-J33</f>
        <v>-9.6639887500000032</v>
      </c>
      <c r="G198" s="138">
        <f>F198</f>
        <v>-9.6639887500000032</v>
      </c>
      <c r="H198" s="138">
        <f t="shared" ref="H198:J198" si="91">G198</f>
        <v>-9.6639887500000032</v>
      </c>
      <c r="I198" s="138">
        <f t="shared" si="91"/>
        <v>-9.6639887500000032</v>
      </c>
      <c r="J198" s="138">
        <f t="shared" si="91"/>
        <v>-9.6639887500000032</v>
      </c>
    </row>
    <row r="199" spans="2:13">
      <c r="B199" s="28" t="s">
        <v>285</v>
      </c>
      <c r="C199" s="141"/>
      <c r="D199" s="141"/>
      <c r="E199" s="141"/>
      <c r="F199" s="226">
        <f>SUM(F197:F198)</f>
        <v>60.02517625000003</v>
      </c>
      <c r="G199" s="226">
        <f t="shared" ref="G199:J199" si="92">SUM(G197:G198)</f>
        <v>50.361187500000028</v>
      </c>
      <c r="H199" s="226">
        <f t="shared" si="92"/>
        <v>40.697198750000027</v>
      </c>
      <c r="I199" s="226">
        <f t="shared" si="92"/>
        <v>31.033210000000025</v>
      </c>
      <c r="J199" s="226">
        <f t="shared" si="92"/>
        <v>21.369221250000024</v>
      </c>
    </row>
    <row r="200" spans="2:13">
      <c r="B200" s="149"/>
      <c r="F200" s="41"/>
    </row>
    <row r="201" spans="2:13">
      <c r="B201" s="13" t="s">
        <v>244</v>
      </c>
      <c r="C201" s="15"/>
      <c r="D201" s="15"/>
      <c r="E201" s="15"/>
      <c r="F201" s="15"/>
      <c r="G201" s="15"/>
      <c r="H201" s="15"/>
      <c r="I201" s="15"/>
      <c r="J201" s="15"/>
    </row>
    <row r="202" spans="2:13">
      <c r="B202" s="11" t="s">
        <v>7</v>
      </c>
      <c r="C202" s="16">
        <f>C$39</f>
        <v>2011</v>
      </c>
      <c r="D202" s="16">
        <f>D$39</f>
        <v>2012</v>
      </c>
      <c r="E202" s="16">
        <f t="shared" ref="E202:J202" si="93">E$39</f>
        <v>2013</v>
      </c>
      <c r="F202" s="17">
        <f t="shared" si="93"/>
        <v>2014</v>
      </c>
      <c r="G202" s="17">
        <f t="shared" si="93"/>
        <v>2015</v>
      </c>
      <c r="H202" s="17">
        <f t="shared" si="93"/>
        <v>2016</v>
      </c>
      <c r="I202" s="17">
        <f t="shared" si="93"/>
        <v>2017</v>
      </c>
      <c r="J202" s="17">
        <f t="shared" si="93"/>
        <v>2018</v>
      </c>
    </row>
    <row r="203" spans="2:13">
      <c r="B203" s="18" t="s">
        <v>8</v>
      </c>
      <c r="C203" s="20">
        <f>C$40</f>
        <v>40633</v>
      </c>
      <c r="D203" s="20">
        <f>D$40</f>
        <v>40999</v>
      </c>
      <c r="E203" s="20">
        <f t="shared" ref="E203:J203" si="94">E$40</f>
        <v>41364</v>
      </c>
      <c r="F203" s="20">
        <f t="shared" si="94"/>
        <v>41729</v>
      </c>
      <c r="G203" s="20">
        <f t="shared" si="94"/>
        <v>42094</v>
      </c>
      <c r="H203" s="20">
        <f t="shared" si="94"/>
        <v>42460</v>
      </c>
      <c r="I203" s="20">
        <f t="shared" si="94"/>
        <v>42825</v>
      </c>
      <c r="J203" s="20">
        <f t="shared" si="94"/>
        <v>43190</v>
      </c>
    </row>
    <row r="204" spans="2:13">
      <c r="B204" s="24"/>
      <c r="C204" s="11"/>
      <c r="D204" s="11"/>
      <c r="E204" s="11"/>
      <c r="F204" s="11"/>
      <c r="G204" s="11"/>
      <c r="H204" s="11"/>
      <c r="I204" s="11"/>
      <c r="J204" s="11"/>
    </row>
    <row r="205" spans="2:13">
      <c r="B205" s="149" t="s">
        <v>240</v>
      </c>
      <c r="C205" s="234"/>
      <c r="D205" s="21"/>
      <c r="E205" s="11"/>
      <c r="F205" s="235">
        <v>49.08</v>
      </c>
      <c r="G205" s="235">
        <v>82.86</v>
      </c>
      <c r="H205" s="235">
        <v>134.82</v>
      </c>
      <c r="I205" s="235">
        <v>184.42</v>
      </c>
      <c r="J205" s="235">
        <v>221.26</v>
      </c>
    </row>
    <row r="206" spans="2:13">
      <c r="B206" s="30"/>
      <c r="C206" s="131" t="s">
        <v>241</v>
      </c>
      <c r="D206" s="131" t="s">
        <v>242</v>
      </c>
      <c r="E206" s="131" t="s">
        <v>243</v>
      </c>
      <c r="F206" s="232"/>
      <c r="G206" s="232"/>
      <c r="H206" s="232"/>
      <c r="I206" s="232"/>
      <c r="J206" s="232"/>
    </row>
    <row r="207" spans="2:13">
      <c r="B207" s="34" t="s">
        <v>32</v>
      </c>
      <c r="C207" s="236">
        <v>0.04</v>
      </c>
      <c r="D207" s="77">
        <v>0</v>
      </c>
      <c r="E207" s="191"/>
      <c r="F207" s="243">
        <f ca="1">IF($D$10="OFF",($C$207+MAX(F205/10000,$D$207))*AVERAGE(F155,F157),0)</f>
        <v>0</v>
      </c>
      <c r="G207" s="243">
        <f ca="1">IF($D$10="OFF",($C$207+MAX(G205/10000,$D$207))*AVERAGE(G155,G157),0)</f>
        <v>0</v>
      </c>
      <c r="H207" s="243">
        <f ca="1">IF($D$10="OFF",($C$207+MAX(H205/10000,$D$207))*AVERAGE(H155,H157),0)</f>
        <v>0</v>
      </c>
      <c r="I207" s="243">
        <f ca="1">IF($D$10="OFF",($C$207+MAX(I205/10000,$D$207))*AVERAGE(I155,I157),0)</f>
        <v>0</v>
      </c>
      <c r="J207" s="243">
        <f ca="1">IF($D$10="OFF",($C$207+MAX(J205/10000,$D$207))*AVERAGE(J155,J157),0)</f>
        <v>0</v>
      </c>
    </row>
    <row r="208" spans="2:13">
      <c r="B208" s="30" t="s">
        <v>142</v>
      </c>
      <c r="C208" s="236">
        <v>0.04</v>
      </c>
      <c r="D208" s="77">
        <v>0.01</v>
      </c>
      <c r="E208" s="191"/>
      <c r="F208" s="243">
        <f ca="1">IF($D$10="OFF",($C$208+MAX(F205/10000,$D$208))*AVERAGE(F162,F165),0)</f>
        <v>134.88696097088012</v>
      </c>
      <c r="G208" s="243">
        <f ca="1">IF($D$10="OFF",($C$208+MAX(G205/10000,$D$208))*AVERAGE(G162,G165),0)</f>
        <v>113.31073847905583</v>
      </c>
      <c r="H208" s="243">
        <f ca="1">IF($D$10="OFF",($C$208+MAX(H205/10000,$D$208))*AVERAGE(H162,H165),0)</f>
        <v>92.833089808594139</v>
      </c>
      <c r="I208" s="243">
        <f ca="1">IF($D$10="OFF",($C$208+MAX(I205/10000,$D$208))*AVERAGE(I162,I165),0)</f>
        <v>65.944846639065943</v>
      </c>
      <c r="J208" s="243">
        <f ca="1">IF($D$10="OFF",($C$208+MAX(J205/10000,$D$208))*AVERAGE(J162,J165),0)</f>
        <v>27.525455403025372</v>
      </c>
      <c r="M208" s="376"/>
    </row>
    <row r="209" spans="2:10">
      <c r="B209" s="30" t="s">
        <v>143</v>
      </c>
      <c r="C209" s="236">
        <v>0.04</v>
      </c>
      <c r="D209" s="77">
        <v>0</v>
      </c>
      <c r="E209" s="191"/>
      <c r="F209" s="243">
        <f ca="1">IF($D$10="OFF",($C$209+MAX(F205/10000,$D$209))*AVERAGE(F170,F173),0)</f>
        <v>29.373456075600011</v>
      </c>
      <c r="G209" s="243">
        <f ca="1">IF($D$10="OFF",($C$209+MAX(G205/10000,$D$209))*AVERAGE(G170,G173),0)</f>
        <v>29.96330269660001</v>
      </c>
      <c r="H209" s="243">
        <f ca="1">IF($D$10="OFF",($C$209+MAX(H205/10000,$D$209))*AVERAGE(H170,H173),0)</f>
        <v>31.393693330999739</v>
      </c>
      <c r="I209" s="243">
        <f ca="1">IF($D$10="OFF",($C$209+MAX(I205/10000,$D$209))*AVERAGE(I170,I173),0)</f>
        <v>32.344894382695855</v>
      </c>
      <c r="J209" s="243">
        <f ca="1">IF($D$10="OFF",($C$209+MAX(J205/10000,$D$209))*AVERAGE(J170,J173),0)</f>
        <v>32.299947815903899</v>
      </c>
    </row>
    <row r="210" spans="2:10">
      <c r="B210" s="30" t="s">
        <v>144</v>
      </c>
      <c r="C210" s="191"/>
      <c r="D210" s="191"/>
      <c r="E210" s="239">
        <v>8.1250000000000003E-2</v>
      </c>
      <c r="F210" s="138">
        <f>$E$210*AVERAGE(F178,F180)</f>
        <v>132.68084375000007</v>
      </c>
      <c r="G210" s="138">
        <f t="shared" ref="G210:J210" si="95">$E$210*AVERAGE(G178,G180)</f>
        <v>132.68084375000007</v>
      </c>
      <c r="H210" s="138">
        <f t="shared" si="95"/>
        <v>132.68084375000007</v>
      </c>
      <c r="I210" s="138">
        <f t="shared" si="95"/>
        <v>132.68084375000007</v>
      </c>
      <c r="J210" s="138">
        <f t="shared" si="95"/>
        <v>132.68084375000007</v>
      </c>
    </row>
    <row r="211" spans="2:10">
      <c r="B211" s="30" t="s">
        <v>202</v>
      </c>
      <c r="C211" s="191"/>
      <c r="D211" s="191"/>
      <c r="E211" s="373">
        <f>D186</f>
        <v>0.08</v>
      </c>
      <c r="F211" s="138">
        <f>$E$211*(F184-F185)</f>
        <v>0</v>
      </c>
      <c r="G211" s="138">
        <f t="shared" ref="G211:J211" si="96">$E$211*(G184-G185)</f>
        <v>0</v>
      </c>
      <c r="H211" s="138">
        <f t="shared" si="96"/>
        <v>0</v>
      </c>
      <c r="I211" s="138">
        <f t="shared" si="96"/>
        <v>0</v>
      </c>
      <c r="J211" s="138">
        <f t="shared" si="96"/>
        <v>0</v>
      </c>
    </row>
    <row r="212" spans="2:10">
      <c r="B212" s="30" t="s">
        <v>201</v>
      </c>
      <c r="C212" s="229"/>
      <c r="D212" s="191"/>
      <c r="E212" s="374">
        <f>C186</f>
        <v>0.04</v>
      </c>
      <c r="F212" s="138">
        <f>F186</f>
        <v>0</v>
      </c>
      <c r="G212" s="138">
        <f t="shared" ref="G212:J212" si="97">G186</f>
        <v>0</v>
      </c>
      <c r="H212" s="138">
        <f t="shared" si="97"/>
        <v>0</v>
      </c>
      <c r="I212" s="138">
        <f t="shared" si="97"/>
        <v>0</v>
      </c>
      <c r="J212" s="138">
        <f t="shared" si="97"/>
        <v>0</v>
      </c>
    </row>
    <row r="213" spans="2:10">
      <c r="B213" s="30"/>
      <c r="C213" s="28"/>
      <c r="D213" s="28"/>
      <c r="E213" s="24"/>
      <c r="F213" s="157"/>
      <c r="G213" s="157"/>
      <c r="H213" s="157"/>
      <c r="I213" s="157"/>
      <c r="J213" s="57"/>
    </row>
    <row r="214" spans="2:10">
      <c r="B214" s="13" t="s">
        <v>182</v>
      </c>
      <c r="C214" s="15"/>
      <c r="D214" s="15"/>
      <c r="E214" s="15"/>
      <c r="F214" s="15"/>
      <c r="G214" s="15"/>
      <c r="H214" s="15"/>
      <c r="I214" s="15"/>
      <c r="J214" s="15"/>
    </row>
    <row r="216" spans="2:10">
      <c r="F216" s="343">
        <f>J203</f>
        <v>43190</v>
      </c>
      <c r="G216" s="343"/>
      <c r="H216" s="343"/>
      <c r="I216" s="343"/>
      <c r="J216" s="343"/>
    </row>
    <row r="218" spans="2:10">
      <c r="B218" s="3" t="s">
        <v>192</v>
      </c>
      <c r="C218" s="24"/>
      <c r="D218" s="11"/>
      <c r="E218" s="131" t="s">
        <v>191</v>
      </c>
      <c r="F218" s="188">
        <f>D17-1</f>
        <v>6.3</v>
      </c>
      <c r="G218" s="169">
        <f>F218+$E$219</f>
        <v>6.8</v>
      </c>
      <c r="H218" s="169">
        <f t="shared" ref="H218:J218" si="98">G218+$E$219</f>
        <v>7.3</v>
      </c>
      <c r="I218" s="169">
        <f t="shared" si="98"/>
        <v>7.8</v>
      </c>
      <c r="J218" s="169">
        <f t="shared" si="98"/>
        <v>8.3000000000000007</v>
      </c>
    </row>
    <row r="219" spans="2:10">
      <c r="B219" s="4" t="s">
        <v>125</v>
      </c>
      <c r="E219" s="238">
        <v>0.5</v>
      </c>
      <c r="F219" s="138">
        <f>J62</f>
        <v>1226.8741190024368</v>
      </c>
      <c r="G219" s="138">
        <f>F219</f>
        <v>1226.8741190024368</v>
      </c>
      <c r="H219" s="138">
        <f t="shared" ref="H219:J219" si="99">G219</f>
        <v>1226.8741190024368</v>
      </c>
      <c r="I219" s="138">
        <f t="shared" si="99"/>
        <v>1226.8741190024368</v>
      </c>
      <c r="J219" s="138">
        <f t="shared" si="99"/>
        <v>1226.8741190024368</v>
      </c>
    </row>
    <row r="220" spans="2:10">
      <c r="B220" s="28" t="s">
        <v>97</v>
      </c>
      <c r="F220" s="226">
        <f>F218*F219</f>
        <v>7729.3069497153519</v>
      </c>
      <c r="G220" s="226">
        <f t="shared" ref="G220:J220" si="100">G218*G219</f>
        <v>8342.7440092165707</v>
      </c>
      <c r="H220" s="226">
        <f t="shared" si="100"/>
        <v>8956.1810687177895</v>
      </c>
      <c r="I220" s="226">
        <f t="shared" si="100"/>
        <v>9569.6181282190064</v>
      </c>
      <c r="J220" s="226">
        <f t="shared" si="100"/>
        <v>10183.055187720227</v>
      </c>
    </row>
    <row r="221" spans="2:10">
      <c r="B221" s="155" t="s">
        <v>174</v>
      </c>
      <c r="F221" s="41"/>
    </row>
    <row r="222" spans="2:10">
      <c r="B222" s="156" t="s">
        <v>32</v>
      </c>
      <c r="F222" s="138">
        <f ca="1">J157</f>
        <v>0</v>
      </c>
      <c r="G222" s="138">
        <f ca="1">F222</f>
        <v>0</v>
      </c>
      <c r="H222" s="138">
        <f t="shared" ref="H222:J222" ca="1" si="101">G222</f>
        <v>0</v>
      </c>
      <c r="I222" s="138">
        <f t="shared" ca="1" si="101"/>
        <v>0</v>
      </c>
      <c r="J222" s="138">
        <f t="shared" ca="1" si="101"/>
        <v>0</v>
      </c>
    </row>
    <row r="223" spans="2:10">
      <c r="B223" s="64" t="s">
        <v>142</v>
      </c>
      <c r="F223" s="138">
        <f ca="1">J165</f>
        <v>77.538735808839192</v>
      </c>
      <c r="G223" s="138">
        <f t="shared" ref="G223:J228" ca="1" si="102">F223</f>
        <v>77.538735808839192</v>
      </c>
      <c r="H223" s="138">
        <f t="shared" ca="1" si="102"/>
        <v>77.538735808839192</v>
      </c>
      <c r="I223" s="138">
        <f t="shared" ca="1" si="102"/>
        <v>77.538735808839192</v>
      </c>
      <c r="J223" s="138">
        <f t="shared" ca="1" si="102"/>
        <v>77.538735808839192</v>
      </c>
    </row>
    <row r="224" spans="2:10">
      <c r="B224" s="64" t="s">
        <v>143</v>
      </c>
      <c r="E224" s="191"/>
      <c r="F224" s="138">
        <f ca="1">J173</f>
        <v>503.1390167636157</v>
      </c>
      <c r="G224" s="138">
        <f t="shared" ca="1" si="102"/>
        <v>503.1390167636157</v>
      </c>
      <c r="H224" s="138">
        <f t="shared" ca="1" si="102"/>
        <v>503.1390167636157</v>
      </c>
      <c r="I224" s="138">
        <f t="shared" ca="1" si="102"/>
        <v>503.1390167636157</v>
      </c>
      <c r="J224" s="138">
        <f t="shared" ca="1" si="102"/>
        <v>503.1390167636157</v>
      </c>
    </row>
    <row r="225" spans="2:10">
      <c r="B225" s="64" t="s">
        <v>144</v>
      </c>
      <c r="E225" s="321"/>
      <c r="F225" s="138">
        <f>J180</f>
        <v>1632.9950000000006</v>
      </c>
      <c r="G225" s="138">
        <f t="shared" si="102"/>
        <v>1632.9950000000006</v>
      </c>
      <c r="H225" s="138">
        <f t="shared" si="102"/>
        <v>1632.9950000000006</v>
      </c>
      <c r="I225" s="138">
        <f t="shared" si="102"/>
        <v>1632.9950000000006</v>
      </c>
      <c r="J225" s="138">
        <f t="shared" si="102"/>
        <v>1632.9950000000006</v>
      </c>
    </row>
    <row r="226" spans="2:10">
      <c r="B226" s="64" t="s">
        <v>145</v>
      </c>
      <c r="E226" s="322"/>
      <c r="F226" s="138">
        <f>J187</f>
        <v>0</v>
      </c>
      <c r="G226" s="138">
        <f t="shared" si="102"/>
        <v>0</v>
      </c>
      <c r="H226" s="138">
        <f t="shared" si="102"/>
        <v>0</v>
      </c>
      <c r="I226" s="138">
        <f t="shared" si="102"/>
        <v>0</v>
      </c>
      <c r="J226" s="138">
        <f t="shared" si="102"/>
        <v>0</v>
      </c>
    </row>
    <row r="227" spans="2:10">
      <c r="B227" s="64" t="s">
        <v>190</v>
      </c>
      <c r="E227" s="322"/>
      <c r="F227" s="138">
        <f>J193</f>
        <v>0</v>
      </c>
      <c r="G227" s="138">
        <f t="shared" si="102"/>
        <v>0</v>
      </c>
      <c r="H227" s="138">
        <f t="shared" si="102"/>
        <v>0</v>
      </c>
      <c r="I227" s="138">
        <f t="shared" si="102"/>
        <v>0</v>
      </c>
      <c r="J227" s="138">
        <f t="shared" si="102"/>
        <v>0</v>
      </c>
    </row>
    <row r="228" spans="2:10">
      <c r="B228" s="82" t="s">
        <v>52</v>
      </c>
      <c r="F228" s="138">
        <f ca="1">-J144</f>
        <v>-179.99994692850032</v>
      </c>
      <c r="G228" s="138">
        <f t="shared" ca="1" si="102"/>
        <v>-179.99994692850032</v>
      </c>
      <c r="H228" s="138">
        <f t="shared" ca="1" si="102"/>
        <v>-179.99994692850032</v>
      </c>
      <c r="I228" s="138">
        <f t="shared" ca="1" si="102"/>
        <v>-179.99994692850032</v>
      </c>
      <c r="J228" s="138">
        <f t="shared" ca="1" si="102"/>
        <v>-179.99994692850032</v>
      </c>
    </row>
    <row r="229" spans="2:10">
      <c r="B229" s="54" t="s">
        <v>77</v>
      </c>
      <c r="C229" s="181" t="s">
        <v>301</v>
      </c>
      <c r="D229" s="182" t="s">
        <v>211</v>
      </c>
      <c r="E229" s="183" t="s">
        <v>257</v>
      </c>
      <c r="F229" s="226">
        <f ca="1">F220-SUM(F222:F228)</f>
        <v>5695.6341440713968</v>
      </c>
      <c r="G229" s="226">
        <f t="shared" ref="G229:J229" ca="1" si="103">G220-SUM(G222:G228)</f>
        <v>6309.0712035726156</v>
      </c>
      <c r="H229" s="226">
        <f t="shared" ca="1" si="103"/>
        <v>6922.5082630738343</v>
      </c>
      <c r="I229" s="226">
        <f t="shared" ca="1" si="103"/>
        <v>7535.9453225750513</v>
      </c>
      <c r="J229" s="226">
        <f t="shared" ca="1" si="103"/>
        <v>8149.3823820762718</v>
      </c>
    </row>
    <row r="230" spans="2:10">
      <c r="B230" s="30" t="s">
        <v>130</v>
      </c>
      <c r="C230" s="377">
        <f>D35</f>
        <v>1660.277939999999</v>
      </c>
      <c r="D230" s="180">
        <f>C230/SUM($C$230:$C$231)</f>
        <v>1</v>
      </c>
      <c r="E230" s="184">
        <f>(1-$E$233-$E$232)*(D230/SUM($D$230:$D$231))</f>
        <v>1</v>
      </c>
      <c r="F230" s="138">
        <f ca="1">F$229*$E230</f>
        <v>5695.6341440713968</v>
      </c>
      <c r="G230" s="138">
        <f t="shared" ref="G230:J233" ca="1" si="104">G$229*$E230</f>
        <v>6309.0712035726156</v>
      </c>
      <c r="H230" s="138">
        <f t="shared" ca="1" si="104"/>
        <v>6922.5082630738343</v>
      </c>
      <c r="I230" s="138">
        <f t="shared" ca="1" si="104"/>
        <v>7535.9453225750513</v>
      </c>
      <c r="J230" s="138">
        <f t="shared" ca="1" si="104"/>
        <v>8149.3823820762718</v>
      </c>
    </row>
    <row r="231" spans="2:10">
      <c r="B231" s="32" t="s">
        <v>197</v>
      </c>
      <c r="C231" s="377">
        <f>D34</f>
        <v>0</v>
      </c>
      <c r="D231" s="180">
        <f>1-D230</f>
        <v>0</v>
      </c>
      <c r="E231" s="184">
        <f>(1-$E$233-$E$232)*(D231/SUM($D$230:$D$231))</f>
        <v>0</v>
      </c>
      <c r="F231" s="138">
        <f t="shared" ref="F231:F233" ca="1" si="105">F$229*$E231</f>
        <v>0</v>
      </c>
      <c r="G231" s="138">
        <f t="shared" ca="1" si="104"/>
        <v>0</v>
      </c>
      <c r="H231" s="138">
        <f t="shared" ca="1" si="104"/>
        <v>0</v>
      </c>
      <c r="I231" s="138">
        <f t="shared" ca="1" si="104"/>
        <v>0</v>
      </c>
      <c r="J231" s="138">
        <f t="shared" ca="1" si="104"/>
        <v>0</v>
      </c>
    </row>
    <row r="232" spans="2:10">
      <c r="B232" s="32" t="s">
        <v>190</v>
      </c>
      <c r="C232" s="185"/>
      <c r="D232" s="180"/>
      <c r="E232" s="323">
        <v>0</v>
      </c>
      <c r="F232" s="138">
        <f t="shared" ca="1" si="105"/>
        <v>0</v>
      </c>
      <c r="G232" s="138">
        <f t="shared" ca="1" si="104"/>
        <v>0</v>
      </c>
      <c r="H232" s="138">
        <f t="shared" ca="1" si="104"/>
        <v>0</v>
      </c>
      <c r="I232" s="138">
        <f t="shared" ca="1" si="104"/>
        <v>0</v>
      </c>
      <c r="J232" s="138">
        <f t="shared" ca="1" si="104"/>
        <v>0</v>
      </c>
    </row>
    <row r="233" spans="2:10">
      <c r="B233" s="32" t="s">
        <v>196</v>
      </c>
      <c r="C233" s="186"/>
      <c r="D233" s="187"/>
      <c r="E233" s="324">
        <v>0</v>
      </c>
      <c r="F233" s="138">
        <f t="shared" ca="1" si="105"/>
        <v>0</v>
      </c>
      <c r="G233" s="138">
        <f t="shared" ca="1" si="104"/>
        <v>0</v>
      </c>
      <c r="H233" s="138">
        <f t="shared" ca="1" si="104"/>
        <v>0</v>
      </c>
      <c r="I233" s="138">
        <f t="shared" ca="1" si="104"/>
        <v>0</v>
      </c>
      <c r="J233" s="138">
        <f t="shared" ca="1" si="104"/>
        <v>0</v>
      </c>
    </row>
    <row r="234" spans="2:10">
      <c r="B234" s="54"/>
      <c r="C234" s="54"/>
      <c r="D234" s="54"/>
      <c r="E234" s="54"/>
      <c r="F234" s="56"/>
      <c r="G234" s="56"/>
      <c r="H234" s="56"/>
      <c r="I234" s="56"/>
      <c r="J234" s="11"/>
    </row>
    <row r="235" spans="2:10">
      <c r="B235" s="312" t="s">
        <v>168</v>
      </c>
      <c r="C235" s="54"/>
      <c r="D235" s="54"/>
      <c r="E235" s="54"/>
      <c r="F235" s="56"/>
      <c r="G235" s="56"/>
      <c r="H235" s="56"/>
      <c r="I235" s="56"/>
      <c r="J235" s="11"/>
    </row>
    <row r="236" spans="2:10">
      <c r="B236" s="11"/>
      <c r="C236" s="314" t="s">
        <v>206</v>
      </c>
      <c r="D236" s="314" t="s">
        <v>169</v>
      </c>
      <c r="E236" s="315" t="s">
        <v>185</v>
      </c>
      <c r="F236" s="316">
        <f>F39</f>
        <v>2014</v>
      </c>
      <c r="G236" s="316">
        <f>G39</f>
        <v>2015</v>
      </c>
      <c r="H236" s="316">
        <f>H39</f>
        <v>2016</v>
      </c>
      <c r="I236" s="316">
        <f>I39</f>
        <v>2017</v>
      </c>
      <c r="J236" s="316">
        <f>J39</f>
        <v>2018</v>
      </c>
    </row>
    <row r="237" spans="2:10">
      <c r="B237" s="4" t="s">
        <v>32</v>
      </c>
      <c r="C237" s="177" t="str">
        <f ca="1">IFERROR(SUM(F237:J237)/-E237, "NM")</f>
        <v>NM</v>
      </c>
      <c r="D237" s="166">
        <f ca="1">IFERROR(IRR(E237:J237),0)</f>
        <v>0</v>
      </c>
      <c r="E237" s="141">
        <f>-(D28)</f>
        <v>0</v>
      </c>
      <c r="F237" s="141">
        <f ca="1">-F156+F207</f>
        <v>0</v>
      </c>
      <c r="G237" s="141">
        <f t="shared" ref="G237:I237" ca="1" si="106">-G156+G207</f>
        <v>0</v>
      </c>
      <c r="H237" s="141">
        <f t="shared" ca="1" si="106"/>
        <v>0</v>
      </c>
      <c r="I237" s="141">
        <f t="shared" ca="1" si="106"/>
        <v>0</v>
      </c>
      <c r="J237" s="282">
        <f ca="1">-J156+J207+J157</f>
        <v>0</v>
      </c>
    </row>
    <row r="238" spans="2:10">
      <c r="B238" s="11" t="s">
        <v>142</v>
      </c>
      <c r="C238" s="177">
        <f ca="1">IFERROR(SUM(F238:J238)/-E238, "NM")</f>
        <v>1.1505324021017271</v>
      </c>
      <c r="D238" s="166">
        <f ca="1">IFERROR(IRR(E238:J238),0)</f>
        <v>4.5029244561147985E-2</v>
      </c>
      <c r="E238" s="141">
        <f>-D29</f>
        <v>-2886.429000000001</v>
      </c>
      <c r="F238" s="141">
        <f ca="1">F163+F208+F164</f>
        <v>512.26652213567763</v>
      </c>
      <c r="G238" s="141">
        <f t="shared" ref="G238:I238" ca="1" si="107">G163+G208+G164</f>
        <v>598.98007698723018</v>
      </c>
      <c r="H238" s="141">
        <f t="shared" ca="1" si="107"/>
        <v>668.02940696562052</v>
      </c>
      <c r="I238" s="141">
        <f t="shared" ca="1" si="107"/>
        <v>705.55026797837581</v>
      </c>
      <c r="J238" s="282">
        <f ca="1">J163+J208+J164+J165</f>
        <v>836.10381720308976</v>
      </c>
    </row>
    <row r="239" spans="2:10">
      <c r="B239" s="11" t="s">
        <v>143</v>
      </c>
      <c r="C239" s="177">
        <f ca="1">IFERROR(SUM(F239:J239)/-E239, "NM")</f>
        <v>1.2316088985048943</v>
      </c>
      <c r="D239" s="166">
        <f ca="1">IFERROR(IRR(E239:J239),0)</f>
        <v>5.1050157764771731E-2</v>
      </c>
      <c r="E239" s="141">
        <f>-D30</f>
        <v>-670.8520000000002</v>
      </c>
      <c r="F239" s="141">
        <f ca="1">F171+F172+F209</f>
        <v>62.916056075600025</v>
      </c>
      <c r="G239" s="141">
        <f ca="1">G171+G172+G209</f>
        <v>63.505902696600138</v>
      </c>
      <c r="H239" s="141">
        <f ca="1">H171+H172+H209</f>
        <v>64.936293331010432</v>
      </c>
      <c r="I239" s="141">
        <f ca="1">I171+I172+I209</f>
        <v>65.887494352075464</v>
      </c>
      <c r="J239" s="282">
        <f ca="1">J171+J172+J209+J173</f>
        <v>568.98154773142085</v>
      </c>
    </row>
    <row r="240" spans="2:10">
      <c r="B240" s="11" t="s">
        <v>144</v>
      </c>
      <c r="C240" s="177">
        <f>IFERROR(SUM(F240:J240)/-E240, "NM")</f>
        <v>1.40625</v>
      </c>
      <c r="D240" s="166">
        <f>IFERROR(IRR(E240:J240),0)</f>
        <v>8.1249999999138733E-2</v>
      </c>
      <c r="E240" s="141">
        <f>-D31</f>
        <v>-1632.9950000000006</v>
      </c>
      <c r="F240" s="141">
        <f>F179+F210</f>
        <v>132.68084375000007</v>
      </c>
      <c r="G240" s="141">
        <f>G179+G210</f>
        <v>132.68084375000007</v>
      </c>
      <c r="H240" s="141">
        <f>H179+H210</f>
        <v>132.68084375000007</v>
      </c>
      <c r="I240" s="141">
        <f>I179+I210</f>
        <v>132.68084375000007</v>
      </c>
      <c r="J240" s="282">
        <f>J179+J210+J180</f>
        <v>1765.6758437500007</v>
      </c>
    </row>
    <row r="241" spans="2:10">
      <c r="B241" s="46" t="s">
        <v>207</v>
      </c>
      <c r="C241" s="170"/>
      <c r="D241" s="166"/>
      <c r="E241" s="26"/>
      <c r="F241" s="26"/>
      <c r="G241" s="26"/>
      <c r="H241" s="26"/>
      <c r="I241" s="26"/>
      <c r="J241" s="162"/>
    </row>
    <row r="242" spans="2:10">
      <c r="B242" s="178">
        <f>$F$218</f>
        <v>6.3</v>
      </c>
      <c r="C242" s="177" t="str">
        <f ca="1">IFERROR(SUM(F242:J242)/-E242, "NM")</f>
        <v>NM</v>
      </c>
      <c r="D242" s="166">
        <f ca="1">IFERROR(IRR(E242:J242),0)</f>
        <v>0</v>
      </c>
      <c r="E242" s="141">
        <f>-(D32)</f>
        <v>0</v>
      </c>
      <c r="F242" s="141">
        <f>F211+F185</f>
        <v>0</v>
      </c>
      <c r="G242" s="141">
        <f>G211+G185</f>
        <v>0</v>
      </c>
      <c r="H242" s="141">
        <f>H211+H185</f>
        <v>0</v>
      </c>
      <c r="I242" s="141">
        <f>I211+I185</f>
        <v>0</v>
      </c>
      <c r="J242" s="282">
        <f ca="1">J211+J185+J187+F233</f>
        <v>0</v>
      </c>
    </row>
    <row r="243" spans="2:10">
      <c r="B243" s="178">
        <f>$G$218</f>
        <v>6.8</v>
      </c>
      <c r="C243" s="177" t="str">
        <f t="shared" ref="C243:C246" ca="1" si="108">IFERROR(SUM(F243:J243)/-E243, "NM")</f>
        <v>NM</v>
      </c>
      <c r="D243" s="166">
        <f t="shared" ref="D243:D246" ca="1" si="109">IFERROR(IRR(E243:J243),0)</f>
        <v>0</v>
      </c>
      <c r="E243" s="141">
        <f>-(D32)</f>
        <v>0</v>
      </c>
      <c r="F243" s="141">
        <f>F211+F185</f>
        <v>0</v>
      </c>
      <c r="G243" s="141">
        <f>G211+G185</f>
        <v>0</v>
      </c>
      <c r="H243" s="141">
        <f>H211+H185</f>
        <v>0</v>
      </c>
      <c r="I243" s="141">
        <f>I211+I185</f>
        <v>0</v>
      </c>
      <c r="J243" s="282">
        <f ca="1">J211+J185+J187+G233</f>
        <v>0</v>
      </c>
    </row>
    <row r="244" spans="2:10">
      <c r="B244" s="178">
        <f>$H$218</f>
        <v>7.3</v>
      </c>
      <c r="C244" s="177" t="str">
        <f t="shared" ca="1" si="108"/>
        <v>NM</v>
      </c>
      <c r="D244" s="166">
        <f t="shared" ca="1" si="109"/>
        <v>0</v>
      </c>
      <c r="E244" s="141">
        <f>-(D32)</f>
        <v>0</v>
      </c>
      <c r="F244" s="141">
        <f>F211+F185</f>
        <v>0</v>
      </c>
      <c r="G244" s="141">
        <f>G211+G185</f>
        <v>0</v>
      </c>
      <c r="H244" s="141">
        <f>H211+H185</f>
        <v>0</v>
      </c>
      <c r="I244" s="141">
        <f>I211+I185</f>
        <v>0</v>
      </c>
      <c r="J244" s="282">
        <f ca="1">J211+J185+J187+H233</f>
        <v>0</v>
      </c>
    </row>
    <row r="245" spans="2:10">
      <c r="B245" s="178">
        <f>$I$218</f>
        <v>7.8</v>
      </c>
      <c r="C245" s="177" t="str">
        <f t="shared" ca="1" si="108"/>
        <v>NM</v>
      </c>
      <c r="D245" s="166">
        <f t="shared" ca="1" si="109"/>
        <v>0</v>
      </c>
      <c r="E245" s="141">
        <f>-(D32)</f>
        <v>0</v>
      </c>
      <c r="F245" s="141">
        <f>F211+F185</f>
        <v>0</v>
      </c>
      <c r="G245" s="141">
        <f>G211+G185</f>
        <v>0</v>
      </c>
      <c r="H245" s="141">
        <f>H211+H185</f>
        <v>0</v>
      </c>
      <c r="I245" s="141">
        <f>I211+I185</f>
        <v>0</v>
      </c>
      <c r="J245" s="282">
        <f ca="1">J211+J185+J187+I233</f>
        <v>0</v>
      </c>
    </row>
    <row r="246" spans="2:10">
      <c r="B246" s="178">
        <f>$J$218</f>
        <v>8.3000000000000007</v>
      </c>
      <c r="C246" s="177" t="str">
        <f t="shared" ca="1" si="108"/>
        <v>NM</v>
      </c>
      <c r="D246" s="166">
        <f t="shared" ca="1" si="109"/>
        <v>0</v>
      </c>
      <c r="E246" s="141">
        <f>-(D32)</f>
        <v>0</v>
      </c>
      <c r="F246" s="141">
        <f>F211+F185</f>
        <v>0</v>
      </c>
      <c r="G246" s="141">
        <f>G211+G185</f>
        <v>0</v>
      </c>
      <c r="H246" s="141">
        <f>H211+H185</f>
        <v>0</v>
      </c>
      <c r="I246" s="141">
        <f>I211+I185</f>
        <v>0</v>
      </c>
      <c r="J246" s="282">
        <f ca="1">J211+J185+J187+J233</f>
        <v>0</v>
      </c>
    </row>
    <row r="247" spans="2:10">
      <c r="B247" s="46" t="s">
        <v>208</v>
      </c>
      <c r="C247" s="170"/>
      <c r="D247" s="166"/>
      <c r="E247" s="26"/>
      <c r="F247" s="26"/>
      <c r="G247" s="26"/>
      <c r="H247" s="26"/>
      <c r="I247" s="26"/>
      <c r="J247" s="162"/>
    </row>
    <row r="248" spans="2:10">
      <c r="B248" s="178">
        <f>$F$218</f>
        <v>6.3</v>
      </c>
      <c r="C248" s="177" t="str">
        <f ca="1">IFERROR(SUM(F248:J248)/-E248, "NM")</f>
        <v>NM</v>
      </c>
      <c r="D248" s="166">
        <f ca="1">IFERROR(IRR(E248:J248),0)</f>
        <v>0</v>
      </c>
      <c r="E248" s="141">
        <f>-D33</f>
        <v>0</v>
      </c>
      <c r="F248" s="221">
        <f>F194</f>
        <v>0</v>
      </c>
      <c r="G248" s="221">
        <f>G194</f>
        <v>0</v>
      </c>
      <c r="H248" s="221">
        <f>H194</f>
        <v>0</v>
      </c>
      <c r="I248" s="221">
        <f>I194</f>
        <v>0</v>
      </c>
      <c r="J248" s="282">
        <f ca="1">J193+J194+F232</f>
        <v>0</v>
      </c>
    </row>
    <row r="249" spans="2:10">
      <c r="B249" s="178">
        <f>$G$218</f>
        <v>6.8</v>
      </c>
      <c r="C249" s="177" t="str">
        <f ca="1">IFERROR(SUM(F249:J249)/-E249, "NM")</f>
        <v>NM</v>
      </c>
      <c r="D249" s="166">
        <f ca="1">IFERROR(IRR(E249:J249),0)</f>
        <v>0</v>
      </c>
      <c r="E249" s="141">
        <f>E248</f>
        <v>0</v>
      </c>
      <c r="F249" s="141">
        <f t="shared" ref="F249:I252" si="110">F248</f>
        <v>0</v>
      </c>
      <c r="G249" s="141">
        <f t="shared" si="110"/>
        <v>0</v>
      </c>
      <c r="H249" s="141">
        <f t="shared" si="110"/>
        <v>0</v>
      </c>
      <c r="I249" s="141">
        <f t="shared" si="110"/>
        <v>0</v>
      </c>
      <c r="J249" s="282">
        <f ca="1">J193+J194+G232</f>
        <v>0</v>
      </c>
    </row>
    <row r="250" spans="2:10">
      <c r="B250" s="178">
        <f>$H$218</f>
        <v>7.3</v>
      </c>
      <c r="C250" s="177" t="str">
        <f ca="1">IFERROR(SUM(F250:J250)/-E250, "NM")</f>
        <v>NM</v>
      </c>
      <c r="D250" s="166">
        <f ca="1">IFERROR(IRR(E250:J250),0)</f>
        <v>0</v>
      </c>
      <c r="E250" s="141">
        <f t="shared" ref="E250:E252" si="111">E249</f>
        <v>0</v>
      </c>
      <c r="F250" s="141">
        <f t="shared" si="110"/>
        <v>0</v>
      </c>
      <c r="G250" s="141">
        <f t="shared" si="110"/>
        <v>0</v>
      </c>
      <c r="H250" s="141">
        <f t="shared" si="110"/>
        <v>0</v>
      </c>
      <c r="I250" s="141">
        <f t="shared" si="110"/>
        <v>0</v>
      </c>
      <c r="J250" s="282">
        <f ca="1">J193+J194+H232</f>
        <v>0</v>
      </c>
    </row>
    <row r="251" spans="2:10">
      <c r="B251" s="178">
        <f>$I$218</f>
        <v>7.8</v>
      </c>
      <c r="C251" s="177" t="str">
        <f ca="1">IFERROR(SUM(F251:J251)/-E251, "NM")</f>
        <v>NM</v>
      </c>
      <c r="D251" s="166">
        <f ca="1">IFERROR(IRR(E251:J251),0)</f>
        <v>0</v>
      </c>
      <c r="E251" s="141">
        <f t="shared" si="111"/>
        <v>0</v>
      </c>
      <c r="F251" s="141">
        <f t="shared" si="110"/>
        <v>0</v>
      </c>
      <c r="G251" s="141">
        <f t="shared" si="110"/>
        <v>0</v>
      </c>
      <c r="H251" s="141">
        <f t="shared" si="110"/>
        <v>0</v>
      </c>
      <c r="I251" s="141">
        <f t="shared" si="110"/>
        <v>0</v>
      </c>
      <c r="J251" s="282">
        <f ca="1">J193+J194+I232</f>
        <v>0</v>
      </c>
    </row>
    <row r="252" spans="2:10">
      <c r="B252" s="178">
        <f>$J$218</f>
        <v>8.3000000000000007</v>
      </c>
      <c r="C252" s="177" t="str">
        <f ca="1">IFERROR(SUM(F252:J252)/-E252, "NM")</f>
        <v>NM</v>
      </c>
      <c r="D252" s="166">
        <f ca="1">IFERROR(IRR(E252:J252),0)</f>
        <v>0</v>
      </c>
      <c r="E252" s="141">
        <f t="shared" si="111"/>
        <v>0</v>
      </c>
      <c r="F252" s="141">
        <f t="shared" si="110"/>
        <v>0</v>
      </c>
      <c r="G252" s="141">
        <f t="shared" si="110"/>
        <v>0</v>
      </c>
      <c r="H252" s="141">
        <f t="shared" si="110"/>
        <v>0</v>
      </c>
      <c r="I252" s="141">
        <f t="shared" si="110"/>
        <v>0</v>
      </c>
      <c r="J252" s="282">
        <f ca="1">J193+J194+J232</f>
        <v>0</v>
      </c>
    </row>
    <row r="253" spans="2:10">
      <c r="B253" s="46" t="s">
        <v>209</v>
      </c>
      <c r="C253" s="171"/>
      <c r="D253" s="166"/>
      <c r="E253" s="26"/>
      <c r="F253" s="26"/>
      <c r="G253" s="26"/>
      <c r="H253" s="26"/>
      <c r="I253" s="26"/>
      <c r="J253" s="162"/>
    </row>
    <row r="254" spans="2:10">
      <c r="B254" s="178">
        <f>$F$218</f>
        <v>6.3</v>
      </c>
      <c r="C254" s="177" t="str">
        <f ca="1">IFERROR(SUM(F254:J254)/-E254, "NM")</f>
        <v>NM</v>
      </c>
      <c r="D254" s="166">
        <f ca="1">IFERROR(IRR(E254:J254),0)</f>
        <v>0</v>
      </c>
      <c r="E254" s="141">
        <f>-(D34)</f>
        <v>0</v>
      </c>
      <c r="F254" s="254">
        <v>0</v>
      </c>
      <c r="G254" s="254">
        <v>0</v>
      </c>
      <c r="H254" s="254">
        <v>0</v>
      </c>
      <c r="I254" s="254">
        <v>0</v>
      </c>
      <c r="J254" s="246">
        <f ca="1">F231</f>
        <v>0</v>
      </c>
    </row>
    <row r="255" spans="2:10">
      <c r="B255" s="178">
        <f>$G$218</f>
        <v>6.8</v>
      </c>
      <c r="C255" s="177" t="str">
        <f ca="1">IFERROR(SUM(F255:J255)/-E255, "NM")</f>
        <v>NM</v>
      </c>
      <c r="D255" s="166">
        <f ca="1">IFERROR(IRR(E255:J255),0)</f>
        <v>0</v>
      </c>
      <c r="E255" s="141">
        <f>E254</f>
        <v>0</v>
      </c>
      <c r="F255" s="141">
        <f t="shared" ref="F255:I258" si="112">F254</f>
        <v>0</v>
      </c>
      <c r="G255" s="141">
        <f t="shared" si="112"/>
        <v>0</v>
      </c>
      <c r="H255" s="141">
        <f t="shared" si="112"/>
        <v>0</v>
      </c>
      <c r="I255" s="141">
        <f t="shared" si="112"/>
        <v>0</v>
      </c>
      <c r="J255" s="246">
        <f ca="1">G231</f>
        <v>0</v>
      </c>
    </row>
    <row r="256" spans="2:10">
      <c r="B256" s="178">
        <f>$H$218</f>
        <v>7.3</v>
      </c>
      <c r="C256" s="177" t="str">
        <f ca="1">IFERROR(SUM(F256:J256)/-E256, "NM")</f>
        <v>NM</v>
      </c>
      <c r="D256" s="166">
        <f ca="1">IFERROR(IRR(E256:J256),0)</f>
        <v>0</v>
      </c>
      <c r="E256" s="141">
        <f t="shared" ref="E256:E258" si="113">E255</f>
        <v>0</v>
      </c>
      <c r="F256" s="141">
        <f t="shared" si="112"/>
        <v>0</v>
      </c>
      <c r="G256" s="141">
        <f t="shared" si="112"/>
        <v>0</v>
      </c>
      <c r="H256" s="141">
        <f t="shared" si="112"/>
        <v>0</v>
      </c>
      <c r="I256" s="141">
        <f t="shared" si="112"/>
        <v>0</v>
      </c>
      <c r="J256" s="246">
        <f ca="1">H231</f>
        <v>0</v>
      </c>
    </row>
    <row r="257" spans="2:11">
      <c r="B257" s="178">
        <f>$I$218</f>
        <v>7.8</v>
      </c>
      <c r="C257" s="177" t="str">
        <f ca="1">IFERROR(SUM(F257:J257)/-E257, "NM")</f>
        <v>NM</v>
      </c>
      <c r="D257" s="166">
        <f ca="1">IFERROR(IRR(E257:J257),0)</f>
        <v>0</v>
      </c>
      <c r="E257" s="141">
        <f t="shared" si="113"/>
        <v>0</v>
      </c>
      <c r="F257" s="141">
        <f t="shared" si="112"/>
        <v>0</v>
      </c>
      <c r="G257" s="141">
        <f t="shared" si="112"/>
        <v>0</v>
      </c>
      <c r="H257" s="141">
        <f t="shared" si="112"/>
        <v>0</v>
      </c>
      <c r="I257" s="141">
        <f t="shared" si="112"/>
        <v>0</v>
      </c>
      <c r="J257" s="246">
        <f ca="1">I231</f>
        <v>0</v>
      </c>
    </row>
    <row r="258" spans="2:11">
      <c r="B258" s="178">
        <f>$J$218</f>
        <v>8.3000000000000007</v>
      </c>
      <c r="C258" s="177" t="str">
        <f ca="1">IFERROR(SUM(F258:J258)/-E258, "NM")</f>
        <v>NM</v>
      </c>
      <c r="D258" s="166">
        <f ca="1">IFERROR(IRR(E258:J258),0)</f>
        <v>0</v>
      </c>
      <c r="E258" s="141">
        <f t="shared" si="113"/>
        <v>0</v>
      </c>
      <c r="F258" s="141">
        <f t="shared" si="112"/>
        <v>0</v>
      </c>
      <c r="G258" s="141">
        <f t="shared" si="112"/>
        <v>0</v>
      </c>
      <c r="H258" s="141">
        <f t="shared" si="112"/>
        <v>0</v>
      </c>
      <c r="I258" s="141">
        <f t="shared" si="112"/>
        <v>0</v>
      </c>
      <c r="J258" s="246">
        <f ca="1">J231</f>
        <v>0</v>
      </c>
    </row>
    <row r="259" spans="2:11">
      <c r="B259" s="46" t="s">
        <v>210</v>
      </c>
      <c r="C259" s="165"/>
      <c r="D259" s="167"/>
      <c r="E259" s="26"/>
      <c r="F259" s="27"/>
      <c r="G259" s="27"/>
      <c r="H259" s="27"/>
      <c r="I259" s="27"/>
      <c r="J259" s="168"/>
    </row>
    <row r="260" spans="2:11">
      <c r="B260" s="178">
        <f>$F$218</f>
        <v>6.3</v>
      </c>
      <c r="C260" s="177">
        <f ca="1">IFERROR(SUM(F260:J260)/-E260, "NM")</f>
        <v>3.4305306780222273</v>
      </c>
      <c r="D260" s="166">
        <f ca="1">IRR(E260:J260)</f>
        <v>0.27959419584062917</v>
      </c>
      <c r="E260" s="141">
        <f>-D35</f>
        <v>-1660.277939999999</v>
      </c>
      <c r="F260" s="254">
        <v>0</v>
      </c>
      <c r="G260" s="254">
        <v>0</v>
      </c>
      <c r="H260" s="254">
        <v>0</v>
      </c>
      <c r="I260" s="254">
        <v>0</v>
      </c>
      <c r="J260" s="246">
        <f ca="1">F230</f>
        <v>5695.6341440713968</v>
      </c>
    </row>
    <row r="261" spans="2:11">
      <c r="B261" s="178">
        <f>$G$218</f>
        <v>6.8</v>
      </c>
      <c r="C261" s="177">
        <f ca="1">IFERROR(SUM(F261:J261)/-E261, "NM")</f>
        <v>3.8000092121411706</v>
      </c>
      <c r="D261" s="166">
        <f ca="1">IRR(E261:J261)</f>
        <v>0.30604135818786271</v>
      </c>
      <c r="E261" s="141">
        <f>E260</f>
        <v>-1660.277939999999</v>
      </c>
      <c r="F261" s="141">
        <f t="shared" ref="F261:I264" si="114">F260</f>
        <v>0</v>
      </c>
      <c r="G261" s="141">
        <f t="shared" si="114"/>
        <v>0</v>
      </c>
      <c r="H261" s="141">
        <f t="shared" si="114"/>
        <v>0</v>
      </c>
      <c r="I261" s="141">
        <f t="shared" si="114"/>
        <v>0</v>
      </c>
      <c r="J261" s="246">
        <f ca="1">G230</f>
        <v>6309.0712035726156</v>
      </c>
    </row>
    <row r="262" spans="2:11">
      <c r="B262" s="178">
        <f>$H$218</f>
        <v>7.3</v>
      </c>
      <c r="C262" s="177">
        <f ca="1">IFERROR(SUM(F262:J262)/-E262, "NM")</f>
        <v>4.1694877462601143</v>
      </c>
      <c r="D262" s="166">
        <f ca="1">IRR(E262:J262)</f>
        <v>0.33050509009385509</v>
      </c>
      <c r="E262" s="141">
        <f t="shared" ref="E262:E264" si="115">E261</f>
        <v>-1660.277939999999</v>
      </c>
      <c r="F262" s="141">
        <f t="shared" si="114"/>
        <v>0</v>
      </c>
      <c r="G262" s="141">
        <f t="shared" si="114"/>
        <v>0</v>
      </c>
      <c r="H262" s="141">
        <f t="shared" si="114"/>
        <v>0</v>
      </c>
      <c r="I262" s="141">
        <f t="shared" si="114"/>
        <v>0</v>
      </c>
      <c r="J262" s="246">
        <f ca="1">H230</f>
        <v>6922.5082630738343</v>
      </c>
    </row>
    <row r="263" spans="2:11">
      <c r="B263" s="178">
        <f>$I$218</f>
        <v>7.8</v>
      </c>
      <c r="C263" s="177">
        <f ca="1">IFERROR(SUM(F263:J263)/-E263, "NM")</f>
        <v>4.5389662803790563</v>
      </c>
      <c r="D263" s="166">
        <f ca="1">IRR(E263:J263)</f>
        <v>0.35329161608333282</v>
      </c>
      <c r="E263" s="141">
        <f t="shared" si="115"/>
        <v>-1660.277939999999</v>
      </c>
      <c r="F263" s="141">
        <f t="shared" si="114"/>
        <v>0</v>
      </c>
      <c r="G263" s="141">
        <f t="shared" si="114"/>
        <v>0</v>
      </c>
      <c r="H263" s="141">
        <f t="shared" si="114"/>
        <v>0</v>
      </c>
      <c r="I263" s="141">
        <f t="shared" si="114"/>
        <v>0</v>
      </c>
      <c r="J263" s="246">
        <f ca="1">I230</f>
        <v>7535.9453225750513</v>
      </c>
    </row>
    <row r="264" spans="2:11">
      <c r="B264" s="178">
        <f>$J$218</f>
        <v>8.3000000000000007</v>
      </c>
      <c r="C264" s="177">
        <f ca="1">IFERROR(SUM(F264:J264)/-E264, "NM")</f>
        <v>4.9084448144980009</v>
      </c>
      <c r="D264" s="166">
        <f ca="1">IRR(E264:J264)</f>
        <v>0.37463938415069342</v>
      </c>
      <c r="E264" s="141">
        <f t="shared" si="115"/>
        <v>-1660.277939999999</v>
      </c>
      <c r="F264" s="141">
        <f t="shared" si="114"/>
        <v>0</v>
      </c>
      <c r="G264" s="141">
        <f t="shared" si="114"/>
        <v>0</v>
      </c>
      <c r="H264" s="141">
        <f t="shared" si="114"/>
        <v>0</v>
      </c>
      <c r="I264" s="141">
        <f t="shared" si="114"/>
        <v>0</v>
      </c>
      <c r="J264" s="246">
        <f ca="1">J230</f>
        <v>8149.3823820762718</v>
      </c>
    </row>
    <row r="266" spans="2:11">
      <c r="B266" s="317" t="str">
        <f>"SUMMARY AT "&amp;TEXT(H218,"0.0x")&amp;" EXIT EBITDA MULTIPLE"</f>
        <v>SUMMARY AT 7.3x EXIT EBITDA MULTIPLE</v>
      </c>
      <c r="C266" s="15"/>
      <c r="D266" s="15"/>
      <c r="E266" s="15"/>
      <c r="F266" s="11"/>
      <c r="G266" s="11"/>
      <c r="H266" s="11"/>
      <c r="I266" s="11"/>
      <c r="J266" s="11"/>
    </row>
    <row r="267" spans="2:11">
      <c r="B267" s="52"/>
      <c r="C267" s="11"/>
      <c r="D267" s="11"/>
      <c r="E267" s="11"/>
      <c r="F267" s="314" t="s">
        <v>193</v>
      </c>
      <c r="G267" s="314" t="s">
        <v>194</v>
      </c>
      <c r="H267" s="314" t="s">
        <v>212</v>
      </c>
      <c r="I267" s="314" t="s">
        <v>206</v>
      </c>
      <c r="J267" s="314" t="s">
        <v>195</v>
      </c>
    </row>
    <row r="268" spans="2:11">
      <c r="B268" s="8" t="str">
        <f t="shared" ref="B268:B275" si="116">B28</f>
        <v>Revolver</v>
      </c>
      <c r="F268" s="262">
        <f t="shared" ref="F268:F275" si="117">D28</f>
        <v>0</v>
      </c>
      <c r="G268" s="174">
        <f t="shared" ref="G268:G276" si="118">F268/SUM($F$268:$F$275)</f>
        <v>0</v>
      </c>
      <c r="H268" s="173"/>
      <c r="I268" s="179" t="str">
        <f t="shared" ref="I268:J271" ca="1" si="119">C237</f>
        <v>NM</v>
      </c>
      <c r="J268" s="379">
        <f t="shared" ca="1" si="119"/>
        <v>0</v>
      </c>
    </row>
    <row r="269" spans="2:11">
      <c r="B269" s="8" t="str">
        <f t="shared" si="116"/>
        <v>Term Loan A</v>
      </c>
      <c r="F269" s="262">
        <f t="shared" si="117"/>
        <v>2886.429000000001</v>
      </c>
      <c r="G269" s="174">
        <f t="shared" si="118"/>
        <v>0.42134242358801144</v>
      </c>
      <c r="H269" s="173"/>
      <c r="I269" s="179">
        <f t="shared" ca="1" si="119"/>
        <v>1.1505324021017271</v>
      </c>
      <c r="J269" s="379">
        <f t="shared" ca="1" si="119"/>
        <v>4.5029244561147985E-2</v>
      </c>
    </row>
    <row r="270" spans="2:11">
      <c r="B270" s="8" t="str">
        <f t="shared" si="116"/>
        <v>Term Loan B</v>
      </c>
      <c r="F270" s="262">
        <f t="shared" si="117"/>
        <v>670.8520000000002</v>
      </c>
      <c r="G270" s="174">
        <f t="shared" si="118"/>
        <v>9.7926679488345159E-2</v>
      </c>
      <c r="H270" s="173"/>
      <c r="I270" s="179">
        <f t="shared" ca="1" si="119"/>
        <v>1.2316088985048943</v>
      </c>
      <c r="J270" s="379">
        <f t="shared" ca="1" si="119"/>
        <v>5.1050157764771731E-2</v>
      </c>
    </row>
    <row r="271" spans="2:11">
      <c r="B271" s="8" t="str">
        <f t="shared" si="116"/>
        <v>Senior Note</v>
      </c>
      <c r="F271" s="262">
        <f t="shared" si="117"/>
        <v>1632.9950000000006</v>
      </c>
      <c r="G271" s="174">
        <f t="shared" si="118"/>
        <v>0.2383741540176823</v>
      </c>
      <c r="H271" s="173"/>
      <c r="I271" s="179">
        <f t="shared" si="119"/>
        <v>1.40625</v>
      </c>
      <c r="J271" s="379">
        <f t="shared" si="119"/>
        <v>8.1249999999138733E-2</v>
      </c>
    </row>
    <row r="272" spans="2:11">
      <c r="B272" s="8" t="str">
        <f t="shared" si="116"/>
        <v>Sub Note</v>
      </c>
      <c r="F272" s="262">
        <f t="shared" si="117"/>
        <v>0</v>
      </c>
      <c r="G272" s="174">
        <f t="shared" si="118"/>
        <v>0</v>
      </c>
      <c r="H272" s="174">
        <f>E233</f>
        <v>0</v>
      </c>
      <c r="I272" s="179" t="str">
        <f ca="1">C244</f>
        <v>NM</v>
      </c>
      <c r="J272" s="379">
        <f ca="1">D244</f>
        <v>0</v>
      </c>
      <c r="K272" s="41"/>
    </row>
    <row r="273" spans="2:11">
      <c r="B273" s="8" t="str">
        <f t="shared" si="116"/>
        <v>Preferred stock</v>
      </c>
      <c r="F273" s="262">
        <f t="shared" si="117"/>
        <v>0</v>
      </c>
      <c r="G273" s="174">
        <f t="shared" si="118"/>
        <v>0</v>
      </c>
      <c r="H273" s="174">
        <f>E232</f>
        <v>0</v>
      </c>
      <c r="I273" s="179" t="str">
        <f ca="1">C250</f>
        <v>NM</v>
      </c>
      <c r="J273" s="379">
        <f ca="1">D250</f>
        <v>0</v>
      </c>
    </row>
    <row r="274" spans="2:11">
      <c r="B274" s="8" t="str">
        <f t="shared" si="116"/>
        <v>Mgmt rollover</v>
      </c>
      <c r="F274" s="262">
        <f t="shared" si="117"/>
        <v>0</v>
      </c>
      <c r="G274" s="174">
        <f t="shared" si="118"/>
        <v>0</v>
      </c>
      <c r="H274" s="174">
        <f>E231</f>
        <v>0</v>
      </c>
      <c r="I274" s="179" t="str">
        <f ca="1">C256</f>
        <v>NM</v>
      </c>
      <c r="J274" s="379">
        <f ca="1">D256</f>
        <v>0</v>
      </c>
    </row>
    <row r="275" spans="2:11">
      <c r="B275" s="8" t="str">
        <f t="shared" si="116"/>
        <v>Sponsor equity</v>
      </c>
      <c r="F275" s="262">
        <f t="shared" si="117"/>
        <v>1660.277939999999</v>
      </c>
      <c r="G275" s="174">
        <f t="shared" si="118"/>
        <v>0.2423567429059611</v>
      </c>
      <c r="H275" s="174">
        <f>E230</f>
        <v>1</v>
      </c>
      <c r="I275" s="179">
        <f ca="1">C262</f>
        <v>4.1694877462601143</v>
      </c>
      <c r="J275" s="379">
        <f ca="1">D262</f>
        <v>0.33050509009385509</v>
      </c>
    </row>
    <row r="276" spans="2:11">
      <c r="B276" s="35" t="s">
        <v>29</v>
      </c>
      <c r="F276" s="283">
        <f>SUM(F268:F275)</f>
        <v>6850.5539400000007</v>
      </c>
      <c r="G276" s="176">
        <f t="shared" si="118"/>
        <v>1</v>
      </c>
      <c r="H276" s="176">
        <f>SUM(H268:H275)</f>
        <v>1</v>
      </c>
    </row>
    <row r="277" spans="2:11">
      <c r="B277" s="35"/>
      <c r="E277" s="175"/>
      <c r="G277" s="176"/>
      <c r="H277" s="176"/>
    </row>
    <row r="278" spans="2:11">
      <c r="B278" s="13" t="s">
        <v>303</v>
      </c>
      <c r="C278" s="15"/>
      <c r="D278" s="207"/>
      <c r="E278" s="320"/>
      <c r="F278" s="207"/>
      <c r="G278" s="207"/>
      <c r="H278" s="207"/>
      <c r="I278" s="15"/>
      <c r="J278" s="15"/>
      <c r="K278" s="11"/>
    </row>
    <row r="279" spans="2:11">
      <c r="B279" s="209"/>
      <c r="C279" s="208"/>
      <c r="D279" s="208"/>
      <c r="E279" s="318"/>
      <c r="F279" s="208"/>
      <c r="G279" s="208"/>
      <c r="H279" s="208"/>
      <c r="I279" s="11"/>
      <c r="J279" s="11"/>
      <c r="K279" s="11"/>
    </row>
    <row r="280" spans="2:11">
      <c r="B280" s="45"/>
      <c r="C280" s="350" t="s">
        <v>302</v>
      </c>
      <c r="E280" s="352" t="s">
        <v>289</v>
      </c>
      <c r="F280" s="353"/>
      <c r="G280" s="353"/>
      <c r="H280" s="353"/>
      <c r="I280" s="353"/>
      <c r="J280" s="354"/>
      <c r="K280" s="11"/>
    </row>
    <row r="281" spans="2:11">
      <c r="B281" s="8" t="s">
        <v>287</v>
      </c>
      <c r="C281" s="344">
        <f ca="1">J275</f>
        <v>0.33050509009385509</v>
      </c>
      <c r="E281" s="355">
        <v>0.15</v>
      </c>
      <c r="F281" s="356">
        <f>E281+0.05</f>
        <v>0.2</v>
      </c>
      <c r="G281" s="356">
        <f t="shared" ref="G281:I281" si="120">F281+0.05</f>
        <v>0.25</v>
      </c>
      <c r="H281" s="356">
        <f t="shared" si="120"/>
        <v>0.3</v>
      </c>
      <c r="I281" s="356">
        <f t="shared" si="120"/>
        <v>0.35</v>
      </c>
      <c r="J281" s="357">
        <f t="shared" ref="J281" si="121">I281+0.05</f>
        <v>0.39999999999999997</v>
      </c>
      <c r="K281" s="11"/>
    </row>
    <row r="282" spans="2:11">
      <c r="B282" s="8" t="s">
        <v>126</v>
      </c>
      <c r="C282" s="342">
        <f>H17</f>
        <v>6741.9262500000004</v>
      </c>
      <c r="E282" s="337">
        <f t="shared" ref="E282:J282" ca="1" si="122">-PV(E281,5,0,$H$230)+SUM($D$27:$D$34)-$D$21-$D$22</f>
        <v>8523.3583683104862</v>
      </c>
      <c r="F282" s="56">
        <f t="shared" ca="1" si="122"/>
        <v>7863.6491230280035</v>
      </c>
      <c r="G282" s="56">
        <f t="shared" ca="1" si="122"/>
        <v>7350.0158176440373</v>
      </c>
      <c r="H282" s="56">
        <f t="shared" ca="1" si="122"/>
        <v>6946.0810526247851</v>
      </c>
      <c r="I282" s="56">
        <f t="shared" ca="1" si="122"/>
        <v>6625.4611203998647</v>
      </c>
      <c r="J282" s="358">
        <f t="shared" ca="1" si="122"/>
        <v>6368.7809524766935</v>
      </c>
      <c r="K282" s="11"/>
    </row>
    <row r="283" spans="2:11">
      <c r="B283" s="8" t="str">
        <f>F18</f>
        <v>Diluted shares outstanding</v>
      </c>
      <c r="C283" s="345">
        <f>H18</f>
        <v>145.77137837837839</v>
      </c>
      <c r="E283" s="334">
        <f>$C$283</f>
        <v>145.77137837837839</v>
      </c>
      <c r="F283" s="26">
        <f t="shared" ref="F283:J283" si="123">$C$283</f>
        <v>145.77137837837839</v>
      </c>
      <c r="G283" s="26">
        <f t="shared" si="123"/>
        <v>145.77137837837839</v>
      </c>
      <c r="H283" s="26">
        <f t="shared" si="123"/>
        <v>145.77137837837839</v>
      </c>
      <c r="I283" s="26">
        <f t="shared" si="123"/>
        <v>145.77137837837839</v>
      </c>
      <c r="J283" s="359">
        <f t="shared" si="123"/>
        <v>145.77137837837839</v>
      </c>
      <c r="K283" s="11"/>
    </row>
    <row r="284" spans="2:11">
      <c r="B284" s="8" t="str">
        <f>F20</f>
        <v>Offer value / per share</v>
      </c>
      <c r="C284" s="346">
        <f>C282/C283</f>
        <v>46.25</v>
      </c>
      <c r="E284" s="335">
        <f ca="1">E282/E283</f>
        <v>58.470726305313704</v>
      </c>
      <c r="F284" s="136">
        <f t="shared" ref="F284:J284" ca="1" si="124">F282/F283</f>
        <v>53.945083119241353</v>
      </c>
      <c r="G284" s="136">
        <f t="shared" ca="1" si="124"/>
        <v>50.421529242631024</v>
      </c>
      <c r="H284" s="136">
        <f t="shared" ca="1" si="124"/>
        <v>47.650513632345991</v>
      </c>
      <c r="I284" s="136">
        <f t="shared" ca="1" si="124"/>
        <v>45.45104254418294</v>
      </c>
      <c r="J284" s="306">
        <f t="shared" ca="1" si="124"/>
        <v>43.69020189920456</v>
      </c>
      <c r="K284" s="11"/>
    </row>
    <row r="285" spans="2:11">
      <c r="B285" s="83" t="str">
        <f>F21</f>
        <v>% Premium / discount</v>
      </c>
      <c r="C285" s="347">
        <f>C284/$D$8-1</f>
        <v>1.8273888154997753E-2</v>
      </c>
      <c r="E285" s="336">
        <f ca="1">E284/$D$8-1</f>
        <v>0.28733435282504849</v>
      </c>
      <c r="F285" s="339">
        <f t="shared" ref="F285:J285" ca="1" si="125">F284/$D$8-1</f>
        <v>0.18769447642539294</v>
      </c>
      <c r="G285" s="339">
        <f t="shared" ca="1" si="125"/>
        <v>0.11011733251059064</v>
      </c>
      <c r="H285" s="339">
        <f t="shared" ca="1" si="125"/>
        <v>4.9108622464684837E-2</v>
      </c>
      <c r="I285" s="339">
        <f t="shared" ca="1" si="125"/>
        <v>6.8345539812719736E-4</v>
      </c>
      <c r="J285" s="360">
        <f t="shared" ca="1" si="125"/>
        <v>-3.8084502439353685E-2</v>
      </c>
      <c r="K285" s="11"/>
    </row>
    <row r="286" spans="2:11">
      <c r="B286" s="83"/>
      <c r="C286" s="348"/>
      <c r="E286" s="336"/>
      <c r="F286" s="339"/>
      <c r="G286" s="339"/>
      <c r="H286" s="339"/>
      <c r="I286" s="339"/>
      <c r="J286" s="360"/>
      <c r="K286" s="11"/>
    </row>
    <row r="287" spans="2:11">
      <c r="B287" s="147" t="s">
        <v>97</v>
      </c>
      <c r="C287" s="349">
        <f>C282-$D$14-$D$15</f>
        <v>6466.0262500000008</v>
      </c>
      <c r="E287" s="337">
        <f ca="1">E282-$D$14-$D$15</f>
        <v>8247.4583683104865</v>
      </c>
      <c r="F287" s="56">
        <f t="shared" ref="F287:J287" ca="1" si="126">F282-$D$14-$D$15</f>
        <v>7587.7491230280048</v>
      </c>
      <c r="G287" s="56">
        <f t="shared" ca="1" si="126"/>
        <v>7074.1158176440385</v>
      </c>
      <c r="H287" s="56">
        <f t="shared" ca="1" si="126"/>
        <v>6670.1810526247846</v>
      </c>
      <c r="I287" s="56">
        <f t="shared" ca="1" si="126"/>
        <v>6349.5611203998651</v>
      </c>
      <c r="J287" s="358">
        <f t="shared" ca="1" si="126"/>
        <v>6092.880952476693</v>
      </c>
    </row>
    <row r="288" spans="2:11">
      <c r="B288" s="83" t="s">
        <v>288</v>
      </c>
      <c r="C288" s="351">
        <f>C287/$D$13</f>
        <v>7.3252818058230416</v>
      </c>
      <c r="E288" s="338">
        <f ca="1">E287/$D$13</f>
        <v>9.3434443959561388</v>
      </c>
      <c r="F288" s="361">
        <f t="shared" ref="F288:J288" ca="1" si="127">F287/$D$13</f>
        <v>8.5960678860632171</v>
      </c>
      <c r="G288" s="361">
        <f t="shared" ca="1" si="127"/>
        <v>8.014179016250182</v>
      </c>
      <c r="H288" s="361">
        <f t="shared" ca="1" si="127"/>
        <v>7.556566276905837</v>
      </c>
      <c r="I288" s="361">
        <f t="shared" ca="1" si="127"/>
        <v>7.1933398894300025</v>
      </c>
      <c r="J288" s="362">
        <f t="shared" ca="1" si="127"/>
        <v>6.9025500764435153</v>
      </c>
      <c r="K288" s="11"/>
    </row>
    <row r="289" spans="2:14">
      <c r="B289" s="46"/>
      <c r="E289" s="215"/>
      <c r="G289" s="11"/>
      <c r="H289" s="11"/>
      <c r="I289" s="11"/>
      <c r="J289" s="11"/>
      <c r="K289" s="11"/>
    </row>
    <row r="290" spans="2:14">
      <c r="D290" s="319" t="s">
        <v>290</v>
      </c>
      <c r="E290" s="207"/>
      <c r="F290" s="207"/>
      <c r="G290" s="320"/>
      <c r="H290" s="207"/>
      <c r="I290" s="207"/>
      <c r="J290" s="207"/>
    </row>
    <row r="291" spans="2:14">
      <c r="B291" s="363" t="s">
        <v>304</v>
      </c>
      <c r="D291" s="289" t="s">
        <v>277</v>
      </c>
      <c r="E291" s="290"/>
      <c r="F291" s="290"/>
      <c r="G291" s="290"/>
      <c r="H291" s="290"/>
      <c r="I291" s="290"/>
      <c r="J291" s="290"/>
    </row>
    <row r="292" spans="2:14">
      <c r="B292" s="364">
        <v>0.3</v>
      </c>
      <c r="F292" s="209" t="str">
        <f>"Term A / EBITDA ratio (other cumulative leverage of "&amp;TEXT(SUM(C30:C32,C28),"0.0x")&amp;")"</f>
        <v>Term A / EBITDA ratio (other cumulative leverage of 2.6x)</v>
      </c>
      <c r="G292" s="210"/>
      <c r="H292" s="210"/>
      <c r="I292" s="210"/>
      <c r="J292" s="211"/>
      <c r="L292" s="11"/>
      <c r="M292" s="62"/>
      <c r="N292" s="62"/>
    </row>
    <row r="293" spans="2:14">
      <c r="D293" s="11"/>
      <c r="E293" s="212">
        <f ca="1">J275</f>
        <v>0.33050509009385509</v>
      </c>
      <c r="F293" s="291">
        <v>3</v>
      </c>
      <c r="G293" s="284">
        <f>F293+0.25</f>
        <v>3.25</v>
      </c>
      <c r="H293" s="284">
        <f>G293+0.25</f>
        <v>3.5</v>
      </c>
      <c r="I293" s="284">
        <f>H293+0.25</f>
        <v>3.75</v>
      </c>
      <c r="J293" s="284">
        <f>I293+0.25</f>
        <v>4</v>
      </c>
    </row>
    <row r="294" spans="2:14" ht="15" customHeight="1">
      <c r="D294" s="286"/>
      <c r="E294" s="291">
        <v>7</v>
      </c>
      <c r="F294" s="31">
        <f t="dataTable" ref="F294:J298" dt2D="1" dtr="1" r1="C29" r2="I11" ca="1"/>
        <v>0.30659723553317697</v>
      </c>
      <c r="G294" s="31">
        <v>0.32856965182487619</v>
      </c>
      <c r="H294" s="31">
        <v>0.3550765360456567</v>
      </c>
      <c r="I294" s="31">
        <v>0.38785705179863816</v>
      </c>
      <c r="J294" s="50">
        <v>0.42977043407342985</v>
      </c>
    </row>
    <row r="295" spans="2:14">
      <c r="D295" s="286" t="s">
        <v>185</v>
      </c>
      <c r="E295" s="287">
        <f>E294+0.25</f>
        <v>7.25</v>
      </c>
      <c r="F295" s="31">
        <v>0.30659727881962717</v>
      </c>
      <c r="G295" s="31">
        <v>0.32856965182487619</v>
      </c>
      <c r="H295" s="31">
        <v>0.3550765360456567</v>
      </c>
      <c r="I295" s="31">
        <v>0.38785705179863816</v>
      </c>
      <c r="J295" s="50">
        <v>0.42977043407342985</v>
      </c>
    </row>
    <row r="296" spans="2:14">
      <c r="D296" s="286" t="s">
        <v>28</v>
      </c>
      <c r="E296" s="287">
        <f>E295+0.25</f>
        <v>7.5</v>
      </c>
      <c r="F296" s="31">
        <v>0.30659727881962717</v>
      </c>
      <c r="G296" s="31">
        <v>0.32856965182487619</v>
      </c>
      <c r="H296" s="31">
        <v>0.3550765360456567</v>
      </c>
      <c r="I296" s="31">
        <v>0.38785705179863816</v>
      </c>
      <c r="J296" s="50">
        <v>0.42977043407342985</v>
      </c>
    </row>
    <row r="297" spans="2:14">
      <c r="D297" s="286" t="s">
        <v>221</v>
      </c>
      <c r="E297" s="287">
        <f>E296+0.25</f>
        <v>7.75</v>
      </c>
      <c r="F297" s="31">
        <v>0.30659727881962717</v>
      </c>
      <c r="G297" s="31">
        <v>0.32856965182487619</v>
      </c>
      <c r="H297" s="31">
        <v>0.3550765360456567</v>
      </c>
      <c r="I297" s="31">
        <v>0.38785705179863816</v>
      </c>
      <c r="J297" s="50">
        <v>0.42977043407342985</v>
      </c>
    </row>
    <row r="298" spans="2:14">
      <c r="D298" s="286"/>
      <c r="E298" s="287">
        <f>E297+0.25</f>
        <v>8</v>
      </c>
      <c r="F298" s="31">
        <v>0.30659727881962717</v>
      </c>
      <c r="G298" s="31">
        <v>0.32856965182487619</v>
      </c>
      <c r="H298" s="31">
        <v>0.3550765360456567</v>
      </c>
      <c r="I298" s="31">
        <v>0.38785705179863816</v>
      </c>
      <c r="J298" s="50">
        <v>0.42977043407342985</v>
      </c>
    </row>
    <row r="300" spans="2:14">
      <c r="D300" s="319" t="s">
        <v>291</v>
      </c>
      <c r="E300" s="207"/>
      <c r="F300" s="207"/>
      <c r="G300" s="320"/>
      <c r="H300" s="207"/>
      <c r="I300" s="207"/>
      <c r="J300" s="207"/>
    </row>
    <row r="301" spans="2:14">
      <c r="D301" s="289" t="s">
        <v>281</v>
      </c>
      <c r="E301" s="290"/>
      <c r="F301" s="290"/>
      <c r="G301" s="290"/>
      <c r="H301" s="290"/>
      <c r="I301" s="290"/>
      <c r="J301" s="290"/>
    </row>
    <row r="302" spans="2:14">
      <c r="D302" s="11"/>
      <c r="E302" s="11"/>
      <c r="F302" s="209" t="str">
        <f>"Term A / EBITDA ratio (other cumulative leverage of "&amp;TEXT(SUM(C30:C32,C28),"0.0x")&amp;")"</f>
        <v>Term A / EBITDA ratio (other cumulative leverage of 2.6x)</v>
      </c>
      <c r="G302" s="210"/>
      <c r="H302" s="210"/>
      <c r="I302" s="210"/>
      <c r="J302" s="210"/>
    </row>
    <row r="303" spans="2:14">
      <c r="D303" s="11"/>
      <c r="E303" s="212">
        <f ca="1">J275</f>
        <v>0.33050509009385509</v>
      </c>
      <c r="F303" s="291">
        <v>3</v>
      </c>
      <c r="G303" s="284">
        <f>F303+0.25</f>
        <v>3.25</v>
      </c>
      <c r="H303" s="284">
        <f>G303+0.25</f>
        <v>3.5</v>
      </c>
      <c r="I303" s="284">
        <f>H303+0.25</f>
        <v>3.75</v>
      </c>
      <c r="J303" s="284">
        <f>I303+0.25</f>
        <v>4</v>
      </c>
    </row>
    <row r="304" spans="2:14">
      <c r="D304" s="286"/>
      <c r="E304" s="292">
        <v>45</v>
      </c>
      <c r="F304" s="31">
        <f t="dataTable" ref="F304:J308" dt2D="1" dtr="1" r1="C29" r2="J20" ca="1"/>
        <v>0.33385252363283402</v>
      </c>
      <c r="G304" s="31">
        <v>0.36013765553092791</v>
      </c>
      <c r="H304" s="31">
        <v>0.39247767887409113</v>
      </c>
      <c r="I304" s="31">
        <v>0.43355086689390498</v>
      </c>
      <c r="J304" s="50">
        <v>0.48810408005618799</v>
      </c>
    </row>
    <row r="305" spans="2:11">
      <c r="D305" s="286" t="s">
        <v>185</v>
      </c>
      <c r="E305" s="285">
        <f>E304+0.25</f>
        <v>45.25</v>
      </c>
      <c r="F305" s="31">
        <v>0.32812527078822118</v>
      </c>
      <c r="G305" s="31">
        <v>0.35345900998653512</v>
      </c>
      <c r="H305" s="31">
        <v>0.38449398018862091</v>
      </c>
      <c r="I305" s="31">
        <v>0.42367621560179591</v>
      </c>
      <c r="J305" s="50">
        <v>0.47526822505970356</v>
      </c>
    </row>
    <row r="306" spans="2:11">
      <c r="D306" s="286" t="s">
        <v>275</v>
      </c>
      <c r="E306" s="285">
        <f>E305+0.25</f>
        <v>45.5</v>
      </c>
      <c r="F306" s="31">
        <v>0.32254242804052402</v>
      </c>
      <c r="G306" s="31">
        <v>0.34697242052486077</v>
      </c>
      <c r="H306" s="31">
        <v>0.37677728617372441</v>
      </c>
      <c r="I306" s="31">
        <v>0.41419611966946279</v>
      </c>
      <c r="J306" s="50">
        <v>0.4630692819485509</v>
      </c>
    </row>
    <row r="307" spans="2:11">
      <c r="D307" s="286" t="s">
        <v>276</v>
      </c>
      <c r="E307" s="285">
        <f>E306+0.25</f>
        <v>45.75</v>
      </c>
      <c r="F307" s="31">
        <v>0.31709749726647418</v>
      </c>
      <c r="G307" s="31">
        <v>0.3406679984195311</v>
      </c>
      <c r="H307" s="31">
        <v>0.369311668941261</v>
      </c>
      <c r="I307" s="31">
        <v>0.4050826060064987</v>
      </c>
      <c r="J307" s="50">
        <v>0.45145160593034417</v>
      </c>
    </row>
    <row r="308" spans="2:11">
      <c r="D308" s="286"/>
      <c r="E308" s="285">
        <f>E307+0.25</f>
        <v>46</v>
      </c>
      <c r="F308" s="31">
        <v>0.31178435845381736</v>
      </c>
      <c r="G308" s="31">
        <v>0.33453657862653308</v>
      </c>
      <c r="H308" s="31">
        <v>0.36208254623334346</v>
      </c>
      <c r="I308" s="31">
        <v>0.39631049634053883</v>
      </c>
      <c r="J308" s="50">
        <v>0.44036635407324187</v>
      </c>
    </row>
    <row r="310" spans="2:11">
      <c r="D310" s="319" t="s">
        <v>292</v>
      </c>
      <c r="E310" s="207"/>
      <c r="F310" s="207"/>
      <c r="G310" s="320"/>
      <c r="H310" s="207"/>
      <c r="I310" s="207"/>
      <c r="J310" s="207"/>
    </row>
    <row r="311" spans="2:11">
      <c r="F311" s="209" t="s">
        <v>222</v>
      </c>
      <c r="G311" s="210"/>
      <c r="H311" s="210"/>
      <c r="I311" s="210"/>
      <c r="J311" s="211"/>
    </row>
    <row r="312" spans="2:11">
      <c r="E312" s="212">
        <f ca="1">J275</f>
        <v>0.33050509009385509</v>
      </c>
      <c r="F312" s="293">
        <v>0</v>
      </c>
      <c r="G312" s="213">
        <f>F312+0.02</f>
        <v>0.02</v>
      </c>
      <c r="H312" s="213">
        <f>G312+0.02</f>
        <v>0.04</v>
      </c>
      <c r="I312" s="213">
        <f>H312+0.02</f>
        <v>0.06</v>
      </c>
      <c r="J312" s="213">
        <f>I312+0.02</f>
        <v>0.08</v>
      </c>
    </row>
    <row r="313" spans="2:11">
      <c r="D313" s="286"/>
      <c r="E313" s="293">
        <v>0</v>
      </c>
      <c r="F313" s="7">
        <f t="dataTable" ref="F313:J317" dt2D="1" dtr="1" r1="E233" r2="E232" ca="1"/>
        <v>0.33050508284448754</v>
      </c>
      <c r="G313" s="7">
        <v>0.32513996817322011</v>
      </c>
      <c r="H313" s="7">
        <v>0.31968653218051668</v>
      </c>
      <c r="I313" s="7">
        <v>0.31414143457923371</v>
      </c>
      <c r="J313" s="6">
        <v>0.30850113434416104</v>
      </c>
    </row>
    <row r="314" spans="2:11">
      <c r="D314" s="286" t="s">
        <v>223</v>
      </c>
      <c r="E314" s="288">
        <f>E313+0.02</f>
        <v>0.02</v>
      </c>
      <c r="F314" s="7">
        <v>0.32513996817322011</v>
      </c>
      <c r="G314" s="7">
        <v>0.31968653218051668</v>
      </c>
      <c r="H314" s="7">
        <v>0.31414143457923371</v>
      </c>
      <c r="I314" s="7">
        <v>0.30850113434416104</v>
      </c>
      <c r="J314" s="6">
        <v>0.30276187296907686</v>
      </c>
    </row>
    <row r="315" spans="2:11">
      <c r="D315" s="286" t="s">
        <v>224</v>
      </c>
      <c r="E315" s="288">
        <f>E314+0.02</f>
        <v>0.04</v>
      </c>
      <c r="F315" s="7">
        <v>0.31968653218051668</v>
      </c>
      <c r="G315" s="7">
        <v>0.31414143457923371</v>
      </c>
      <c r="H315" s="7">
        <v>0.30850113434416104</v>
      </c>
      <c r="I315" s="7">
        <v>0.30276187296907686</v>
      </c>
      <c r="J315" s="6">
        <v>0.29691965598224024</v>
      </c>
      <c r="K315" s="11"/>
    </row>
    <row r="316" spans="2:11">
      <c r="D316" s="286" t="s">
        <v>225</v>
      </c>
      <c r="E316" s="288">
        <f>E315+0.02</f>
        <v>0.06</v>
      </c>
      <c r="F316" s="7">
        <v>0.31414143457923371</v>
      </c>
      <c r="G316" s="7">
        <v>0.30850113434416104</v>
      </c>
      <c r="H316" s="7">
        <v>0.30276187296907686</v>
      </c>
      <c r="I316" s="7">
        <v>0.29691965598224024</v>
      </c>
      <c r="J316" s="6">
        <v>0.29097023229122798</v>
      </c>
      <c r="K316" s="11"/>
    </row>
    <row r="317" spans="2:11">
      <c r="D317" s="286"/>
      <c r="E317" s="288">
        <f>E316+0.02</f>
        <v>0.08</v>
      </c>
      <c r="F317" s="7">
        <v>0.30850113434416104</v>
      </c>
      <c r="G317" s="7">
        <v>0.30276187296907686</v>
      </c>
      <c r="H317" s="7">
        <v>0.29691965598224024</v>
      </c>
      <c r="I317" s="7">
        <v>0.29097023229122776</v>
      </c>
      <c r="J317" s="6">
        <v>0.2849090713511313</v>
      </c>
      <c r="K317" s="11"/>
    </row>
    <row r="318" spans="2:11">
      <c r="K318" s="11"/>
    </row>
    <row r="319" spans="2:11">
      <c r="B319" s="13" t="s">
        <v>271</v>
      </c>
      <c r="C319" s="15"/>
      <c r="D319" s="15"/>
      <c r="E319" s="15"/>
      <c r="F319" s="15"/>
      <c r="G319" s="15"/>
      <c r="H319" s="15"/>
      <c r="I319" s="15"/>
      <c r="J319" s="15"/>
      <c r="K319" s="11"/>
    </row>
    <row r="320" spans="2:11">
      <c r="G320" s="11"/>
      <c r="H320" s="267"/>
      <c r="I320" s="11"/>
      <c r="J320" s="268" t="s">
        <v>267</v>
      </c>
      <c r="K320" s="11"/>
    </row>
    <row r="321" spans="2:10">
      <c r="E321" s="270">
        <f>D39</f>
        <v>2012</v>
      </c>
      <c r="F321" s="270">
        <f>E39</f>
        <v>2013</v>
      </c>
      <c r="G321" s="62" t="s">
        <v>270</v>
      </c>
      <c r="H321" s="260"/>
      <c r="I321" s="62"/>
      <c r="J321" s="258">
        <f>F321</f>
        <v>2013</v>
      </c>
    </row>
    <row r="322" spans="2:10">
      <c r="B322" s="15"/>
      <c r="C322" s="15"/>
      <c r="D322" s="15"/>
      <c r="E322" s="259">
        <f>D40</f>
        <v>40999</v>
      </c>
      <c r="F322" s="259">
        <f>E40</f>
        <v>41364</v>
      </c>
      <c r="G322" s="261" t="s">
        <v>262</v>
      </c>
      <c r="H322" s="261" t="s">
        <v>263</v>
      </c>
      <c r="I322" s="261" t="s">
        <v>266</v>
      </c>
      <c r="J322" s="259">
        <f>F322</f>
        <v>41364</v>
      </c>
    </row>
    <row r="323" spans="2:10">
      <c r="B323" s="34" t="s">
        <v>52</v>
      </c>
      <c r="E323" s="138">
        <f>D144</f>
        <v>1635.6</v>
      </c>
      <c r="F323" s="138">
        <f>E144</f>
        <v>1581.9</v>
      </c>
      <c r="G323" s="262">
        <f>G335+G339-G328</f>
        <v>-8252.4539400000012</v>
      </c>
      <c r="H323" s="262">
        <f>H335+H338+H339</f>
        <v>6850.5539400000007</v>
      </c>
      <c r="I323" s="262"/>
      <c r="J323" s="138">
        <f t="shared" ref="J323:J329" si="128">SUM(F323:I323)</f>
        <v>179.99999999999909</v>
      </c>
    </row>
    <row r="324" spans="2:10">
      <c r="B324" s="34" t="str">
        <f>B76</f>
        <v>Accounts receivable, EOP</v>
      </c>
      <c r="E324" s="138">
        <f>D76</f>
        <v>484.79999999999995</v>
      </c>
      <c r="F324" s="138">
        <f>E76</f>
        <v>443.7</v>
      </c>
      <c r="G324" s="173"/>
      <c r="H324" s="262"/>
      <c r="I324" s="262"/>
      <c r="J324" s="138">
        <f t="shared" si="128"/>
        <v>443.7</v>
      </c>
    </row>
    <row r="325" spans="2:10">
      <c r="B325" s="34" t="str">
        <f>B78</f>
        <v>Other current assets, EOP</v>
      </c>
      <c r="E325" s="138">
        <f>D78</f>
        <v>195.1</v>
      </c>
      <c r="F325" s="138">
        <f>E78</f>
        <v>213.1</v>
      </c>
      <c r="G325" s="173"/>
      <c r="H325" s="262"/>
      <c r="I325" s="262"/>
      <c r="J325" s="138">
        <f t="shared" si="128"/>
        <v>213.1</v>
      </c>
    </row>
    <row r="326" spans="2:10">
      <c r="B326" s="34" t="str">
        <f>B91</f>
        <v>PP&amp;E</v>
      </c>
      <c r="E326" s="138">
        <f>D91</f>
        <v>87.8</v>
      </c>
      <c r="F326" s="138">
        <f>E91</f>
        <v>85.2</v>
      </c>
      <c r="G326" s="173"/>
      <c r="H326" s="262"/>
      <c r="I326" s="262">
        <f>C379</f>
        <v>300</v>
      </c>
      <c r="J326" s="138">
        <f t="shared" si="128"/>
        <v>385.2</v>
      </c>
    </row>
    <row r="327" spans="2:10">
      <c r="B327" s="34" t="str">
        <f>B97</f>
        <v>Software development costs</v>
      </c>
      <c r="E327" s="138">
        <f>D97</f>
        <v>244.7</v>
      </c>
      <c r="F327" s="138">
        <f>E97</f>
        <v>271.39999999999998</v>
      </c>
      <c r="G327" s="173"/>
      <c r="H327" s="262"/>
      <c r="I327" s="262"/>
      <c r="J327" s="138">
        <f t="shared" si="128"/>
        <v>271.39999999999998</v>
      </c>
    </row>
    <row r="328" spans="2:10">
      <c r="B328" s="34" t="str">
        <f>B103</f>
        <v>Intangible assets</v>
      </c>
      <c r="E328" s="138">
        <f>D103</f>
        <v>257.5</v>
      </c>
      <c r="F328" s="138">
        <f>E103</f>
        <v>189.8</v>
      </c>
      <c r="G328" s="262">
        <f>H33</f>
        <v>69.689165000000031</v>
      </c>
      <c r="H328" s="262"/>
      <c r="I328" s="262">
        <f>C380</f>
        <v>200</v>
      </c>
      <c r="J328" s="138">
        <f t="shared" si="128"/>
        <v>459.48916500000007</v>
      </c>
    </row>
    <row r="329" spans="2:10">
      <c r="B329" s="34" t="str">
        <f>B107</f>
        <v>Goodwill and other assets</v>
      </c>
      <c r="E329" s="247">
        <f>D107</f>
        <v>1940.3</v>
      </c>
      <c r="F329" s="247">
        <f>E107</f>
        <v>1935.2</v>
      </c>
      <c r="G329" s="263"/>
      <c r="H329" s="264"/>
      <c r="I329" s="265">
        <f>C386</f>
        <v>5536.6536395770045</v>
      </c>
      <c r="J329" s="247">
        <f t="shared" si="128"/>
        <v>7471.8536395770043</v>
      </c>
    </row>
    <row r="330" spans="2:10">
      <c r="B330" s="28" t="s">
        <v>258</v>
      </c>
      <c r="E330" s="226">
        <f>SUM(E323:E329)</f>
        <v>4845.7999999999993</v>
      </c>
      <c r="F330" s="226">
        <f t="shared" ref="F330" si="129">SUM(F323:F329)</f>
        <v>4720.3</v>
      </c>
      <c r="G330" s="173"/>
      <c r="H330" s="173"/>
      <c r="I330" s="173"/>
      <c r="J330" s="226">
        <f t="shared" ref="J330" si="130">SUM(J323:J329)</f>
        <v>9424.742804577003</v>
      </c>
    </row>
    <row r="331" spans="2:10">
      <c r="E331" s="41"/>
      <c r="F331" s="41"/>
      <c r="G331" s="173"/>
      <c r="H331" s="173"/>
      <c r="I331" s="173"/>
    </row>
    <row r="332" spans="2:10">
      <c r="B332" s="34" t="str">
        <f>B80</f>
        <v>Accounts payable, EOP</v>
      </c>
      <c r="E332" s="138">
        <f>D80</f>
        <v>32.700000000000003</v>
      </c>
      <c r="F332" s="138">
        <f>E80</f>
        <v>42.1</v>
      </c>
      <c r="G332" s="173"/>
      <c r="H332" s="262"/>
      <c r="I332" s="262"/>
      <c r="J332" s="138">
        <f>SUM(F332:I332)</f>
        <v>42.1</v>
      </c>
    </row>
    <row r="333" spans="2:10">
      <c r="B333" s="34" t="str">
        <f>B82</f>
        <v>Accrued expenses &amp; def revenues, EOP</v>
      </c>
      <c r="E333" s="138">
        <f>D82</f>
        <v>2313.3000000000002</v>
      </c>
      <c r="F333" s="138">
        <f>E82</f>
        <v>2301.6999999999998</v>
      </c>
      <c r="G333" s="173"/>
      <c r="H333" s="262"/>
      <c r="I333" s="262"/>
      <c r="J333" s="138">
        <f>SUM(F333:I333)</f>
        <v>2301.6999999999998</v>
      </c>
    </row>
    <row r="334" spans="2:10">
      <c r="B334" s="34" t="str">
        <f>B109</f>
        <v>Other liabilities</v>
      </c>
      <c r="E334" s="141">
        <f>D109</f>
        <v>232.4</v>
      </c>
      <c r="F334" s="141">
        <f>E109</f>
        <v>252</v>
      </c>
      <c r="G334" s="173"/>
      <c r="H334" s="266"/>
      <c r="I334" s="266">
        <f>C382</f>
        <v>113.2273895770039</v>
      </c>
      <c r="J334" s="138">
        <f>SUM(F334:I334)</f>
        <v>365.22738957700392</v>
      </c>
    </row>
    <row r="335" spans="2:10">
      <c r="B335" s="34" t="s">
        <v>264</v>
      </c>
      <c r="E335" s="204">
        <v>821.6</v>
      </c>
      <c r="F335" s="254">
        <v>1306</v>
      </c>
      <c r="G335" s="262">
        <f>-D21</f>
        <v>-1306</v>
      </c>
      <c r="H335" s="172">
        <f>SUM(D28:D32)</f>
        <v>5190.2760000000017</v>
      </c>
      <c r="I335" s="173"/>
      <c r="J335" s="138">
        <f>SUM(F335:I335)</f>
        <v>5190.2760000000017</v>
      </c>
    </row>
    <row r="336" spans="2:10">
      <c r="B336" s="28" t="s">
        <v>259</v>
      </c>
      <c r="E336" s="226">
        <f>SUM(E332:E335)</f>
        <v>3400</v>
      </c>
      <c r="F336" s="226">
        <f>SUM(F332:F335)</f>
        <v>3901.7999999999997</v>
      </c>
      <c r="G336" s="173"/>
      <c r="H336" s="173"/>
      <c r="I336" s="173"/>
      <c r="J336" s="226">
        <f>SUM(J332:J335)</f>
        <v>7899.3033895770059</v>
      </c>
    </row>
    <row r="337" spans="2:11">
      <c r="E337" s="41"/>
      <c r="F337" s="41"/>
      <c r="G337" s="173"/>
      <c r="H337" s="173"/>
      <c r="I337" s="173"/>
    </row>
    <row r="338" spans="2:11">
      <c r="B338" s="34" t="s">
        <v>265</v>
      </c>
      <c r="E338" s="256" t="s">
        <v>269</v>
      </c>
      <c r="F338" s="256" t="s">
        <v>269</v>
      </c>
      <c r="G338" s="173"/>
      <c r="H338" s="172">
        <f>D33</f>
        <v>0</v>
      </c>
      <c r="I338" s="173"/>
      <c r="J338" s="138">
        <f>SUM(F338:I338)</f>
        <v>0</v>
      </c>
    </row>
    <row r="339" spans="2:11">
      <c r="B339" s="34" t="s">
        <v>224</v>
      </c>
      <c r="E339" s="223">
        <v>1445.8</v>
      </c>
      <c r="F339" s="223">
        <v>818.5</v>
      </c>
      <c r="G339" s="262">
        <f>-D20-H36+D34</f>
        <v>-6876.7647750000006</v>
      </c>
      <c r="H339" s="172">
        <f>D35</f>
        <v>1660.277939999999</v>
      </c>
      <c r="I339" s="262">
        <f>I326+I328+I329-I334</f>
        <v>5923.4262500000004</v>
      </c>
      <c r="J339" s="138">
        <f>SUM(F339:I339)</f>
        <v>1525.4394149999989</v>
      </c>
    </row>
    <row r="340" spans="2:11">
      <c r="B340" s="28" t="s">
        <v>268</v>
      </c>
      <c r="E340" s="57">
        <f>SUM(E338:E339)</f>
        <v>1445.8</v>
      </c>
      <c r="F340" s="57">
        <f t="shared" ref="F340" si="131">SUM(F338:F339)</f>
        <v>818.5</v>
      </c>
      <c r="J340" s="226">
        <f t="shared" ref="J340" si="132">SUM(J338:J339)</f>
        <v>1525.4394149999989</v>
      </c>
    </row>
    <row r="341" spans="2:11">
      <c r="B341" s="83" t="s">
        <v>260</v>
      </c>
      <c r="E341" s="255">
        <f>E330-E336-E340</f>
        <v>0</v>
      </c>
      <c r="F341" s="255">
        <f>F330-F336-F340</f>
        <v>0</v>
      </c>
      <c r="G341" s="138"/>
      <c r="H341" s="41"/>
      <c r="J341" s="255">
        <f>J330-J336-J340</f>
        <v>-1.8189894035458565E-12</v>
      </c>
    </row>
    <row r="342" spans="2:11">
      <c r="B342" s="72"/>
      <c r="D342" s="72"/>
      <c r="E342" s="255"/>
      <c r="F342" s="255"/>
      <c r="G342" s="138"/>
      <c r="H342" s="41"/>
      <c r="J342" s="255"/>
    </row>
    <row r="343" spans="2:11">
      <c r="B343" s="13" t="s">
        <v>272</v>
      </c>
      <c r="D343" s="18"/>
      <c r="E343" s="269"/>
      <c r="F343" s="269"/>
      <c r="G343" s="247"/>
      <c r="H343" s="142"/>
      <c r="I343" s="15"/>
      <c r="J343" s="269"/>
      <c r="K343" s="15"/>
    </row>
    <row r="344" spans="2:11">
      <c r="B344" s="43" t="str">
        <f>B39</f>
        <v xml:space="preserve">Fiscal year  </v>
      </c>
      <c r="C344" s="189"/>
      <c r="D344" s="37">
        <f t="shared" ref="D344:K345" si="133">C39</f>
        <v>2011</v>
      </c>
      <c r="E344" s="37">
        <f t="shared" si="133"/>
        <v>2012</v>
      </c>
      <c r="F344" s="37">
        <f t="shared" si="133"/>
        <v>2013</v>
      </c>
      <c r="G344" s="38">
        <f t="shared" si="133"/>
        <v>2014</v>
      </c>
      <c r="H344" s="38">
        <f t="shared" si="133"/>
        <v>2015</v>
      </c>
      <c r="I344" s="38">
        <f t="shared" si="133"/>
        <v>2016</v>
      </c>
      <c r="J344" s="38">
        <f t="shared" si="133"/>
        <v>2017</v>
      </c>
      <c r="K344" s="38">
        <f t="shared" si="133"/>
        <v>2018</v>
      </c>
    </row>
    <row r="345" spans="2:11">
      <c r="B345" s="15" t="str">
        <f>B40</f>
        <v>Fiscal year end date</v>
      </c>
      <c r="C345" s="15"/>
      <c r="D345" s="39">
        <f t="shared" si="133"/>
        <v>40633</v>
      </c>
      <c r="E345" s="39">
        <f t="shared" si="133"/>
        <v>40999</v>
      </c>
      <c r="F345" s="39">
        <f t="shared" si="133"/>
        <v>41364</v>
      </c>
      <c r="G345" s="39">
        <f t="shared" si="133"/>
        <v>41729</v>
      </c>
      <c r="H345" s="39">
        <f t="shared" si="133"/>
        <v>42094</v>
      </c>
      <c r="I345" s="39">
        <f t="shared" si="133"/>
        <v>42460</v>
      </c>
      <c r="J345" s="39">
        <f t="shared" si="133"/>
        <v>42825</v>
      </c>
      <c r="K345" s="39">
        <f t="shared" si="133"/>
        <v>43190</v>
      </c>
    </row>
    <row r="346" spans="2:11">
      <c r="B346" s="34" t="str">
        <f t="shared" ref="B346:B353" si="134">B323</f>
        <v>Cash</v>
      </c>
      <c r="D346" s="138">
        <f t="shared" ref="D346:E352" si="135">E323</f>
        <v>1635.6</v>
      </c>
      <c r="E346" s="138">
        <f t="shared" si="135"/>
        <v>1581.9</v>
      </c>
      <c r="F346" s="138">
        <f t="shared" ref="F346:F352" si="136">J323</f>
        <v>179.99999999999909</v>
      </c>
      <c r="G346" s="243">
        <f ca="1">F144</f>
        <v>180</v>
      </c>
      <c r="H346" s="243">
        <f ca="1">G144</f>
        <v>180.00000000000034</v>
      </c>
      <c r="I346" s="243">
        <f ca="1">H144</f>
        <v>180.00000000002512</v>
      </c>
      <c r="J346" s="243">
        <f ca="1">I144</f>
        <v>179.99999989602316</v>
      </c>
      <c r="K346" s="243">
        <f ca="1">J144</f>
        <v>179.99994692850032</v>
      </c>
    </row>
    <row r="347" spans="2:11">
      <c r="B347" s="34" t="str">
        <f t="shared" si="134"/>
        <v>Accounts receivable, EOP</v>
      </c>
      <c r="D347" s="138">
        <f t="shared" si="135"/>
        <v>484.79999999999995</v>
      </c>
      <c r="E347" s="138">
        <f t="shared" si="135"/>
        <v>443.7</v>
      </c>
      <c r="F347" s="138">
        <f t="shared" si="136"/>
        <v>443.7</v>
      </c>
      <c r="G347" s="243">
        <f>F76</f>
        <v>459.22949999999997</v>
      </c>
      <c r="H347" s="243">
        <f>G76</f>
        <v>484.4871225</v>
      </c>
      <c r="I347" s="243">
        <f>H76</f>
        <v>513.55634985000006</v>
      </c>
      <c r="J347" s="243">
        <f>I76</f>
        <v>539.23416734250009</v>
      </c>
      <c r="K347" s="243">
        <f>J76</f>
        <v>565.11740737494006</v>
      </c>
    </row>
    <row r="348" spans="2:11">
      <c r="B348" s="34" t="str">
        <f t="shared" si="134"/>
        <v>Other current assets, EOP</v>
      </c>
      <c r="D348" s="138">
        <f t="shared" si="135"/>
        <v>195.1</v>
      </c>
      <c r="E348" s="138">
        <f t="shared" si="135"/>
        <v>213.1</v>
      </c>
      <c r="F348" s="138">
        <f t="shared" si="136"/>
        <v>213.1</v>
      </c>
      <c r="G348" s="243">
        <f>F78</f>
        <v>220.55850000000001</v>
      </c>
      <c r="H348" s="243">
        <f>G78</f>
        <v>232.68921750000001</v>
      </c>
      <c r="I348" s="243">
        <f>H78</f>
        <v>246.65057055000003</v>
      </c>
      <c r="J348" s="243">
        <f>I78</f>
        <v>258.98309907750001</v>
      </c>
      <c r="K348" s="243">
        <f>J78</f>
        <v>271.41428783322004</v>
      </c>
    </row>
    <row r="349" spans="2:11">
      <c r="B349" s="34" t="str">
        <f t="shared" si="134"/>
        <v>PP&amp;E</v>
      </c>
      <c r="D349" s="138">
        <f t="shared" si="135"/>
        <v>87.8</v>
      </c>
      <c r="E349" s="138">
        <f t="shared" si="135"/>
        <v>85.2</v>
      </c>
      <c r="F349" s="138">
        <f t="shared" si="136"/>
        <v>385.2</v>
      </c>
      <c r="G349" s="243">
        <f>F91+G391</f>
        <v>343.14448979591839</v>
      </c>
      <c r="H349" s="243">
        <f>G91+H391</f>
        <v>303.4073469387755</v>
      </c>
      <c r="I349" s="243">
        <f>H91+I391</f>
        <v>266.45224489795919</v>
      </c>
      <c r="J349" s="243">
        <f>I91+J391</f>
        <v>233.09061224489795</v>
      </c>
      <c r="K349" s="243">
        <f>J91+K391</f>
        <v>203.09061224489798</v>
      </c>
    </row>
    <row r="350" spans="2:11">
      <c r="B350" s="34" t="str">
        <f t="shared" si="134"/>
        <v>Software development costs</v>
      </c>
      <c r="D350" s="138">
        <f t="shared" si="135"/>
        <v>244.7</v>
      </c>
      <c r="E350" s="138">
        <f t="shared" si="135"/>
        <v>271.39999999999998</v>
      </c>
      <c r="F350" s="138">
        <f t="shared" si="136"/>
        <v>271.39999999999998</v>
      </c>
      <c r="G350" s="243">
        <f>F97</f>
        <v>286.50864197530859</v>
      </c>
      <c r="H350" s="243">
        <f>G97</f>
        <v>297.64475308641971</v>
      </c>
      <c r="I350" s="243">
        <f>H97</f>
        <v>305.19907407407402</v>
      </c>
      <c r="J350" s="243">
        <f>I97</f>
        <v>309.36697530864188</v>
      </c>
      <c r="K350" s="243">
        <f>J97</f>
        <v>309.36697530864183</v>
      </c>
    </row>
    <row r="351" spans="2:11">
      <c r="B351" s="34" t="str">
        <f t="shared" si="134"/>
        <v>Intangible assets</v>
      </c>
      <c r="D351" s="138">
        <f t="shared" si="135"/>
        <v>257.5</v>
      </c>
      <c r="E351" s="138">
        <f t="shared" si="135"/>
        <v>189.8</v>
      </c>
      <c r="F351" s="138">
        <f t="shared" si="136"/>
        <v>459.48916500000007</v>
      </c>
      <c r="G351" s="243">
        <f>F103+F199+G392</f>
        <v>436.49184291666666</v>
      </c>
      <c r="H351" s="243">
        <f>G103+G199+H392</f>
        <v>413.49452083333335</v>
      </c>
      <c r="I351" s="243">
        <f>H103+H199+I392</f>
        <v>390.49719875000005</v>
      </c>
      <c r="J351" s="243">
        <f>I103+I199+J392</f>
        <v>367.49987666666664</v>
      </c>
      <c r="K351" s="243">
        <f>J103+J199+K392</f>
        <v>344.50255458333334</v>
      </c>
    </row>
    <row r="352" spans="2:11">
      <c r="B352" s="34" t="str">
        <f t="shared" si="134"/>
        <v>Goodwill and other assets</v>
      </c>
      <c r="D352" s="247">
        <f t="shared" si="135"/>
        <v>1940.3</v>
      </c>
      <c r="E352" s="247">
        <f t="shared" si="135"/>
        <v>1935.2</v>
      </c>
      <c r="F352" s="247">
        <f t="shared" si="136"/>
        <v>7471.8536395770043</v>
      </c>
      <c r="G352" s="107">
        <f>F107+$I$329</f>
        <v>7471.8536395770043</v>
      </c>
      <c r="H352" s="107">
        <f>G107+$I$329</f>
        <v>7471.8536395770043</v>
      </c>
      <c r="I352" s="107">
        <f>H107+$I$329</f>
        <v>7471.8536395770043</v>
      </c>
      <c r="J352" s="107">
        <f>I107+$I$329</f>
        <v>7471.8536395770043</v>
      </c>
      <c r="K352" s="107">
        <f>J107+$I$329</f>
        <v>7471.8536395770043</v>
      </c>
    </row>
    <row r="353" spans="2:11">
      <c r="B353" s="35" t="str">
        <f t="shared" si="134"/>
        <v>Total Assets</v>
      </c>
      <c r="D353" s="226">
        <f>SUM(D346:D352)</f>
        <v>4845.7999999999993</v>
      </c>
      <c r="E353" s="226">
        <f t="shared" ref="E353:F353" si="137">SUM(E346:E352)</f>
        <v>4720.3</v>
      </c>
      <c r="F353" s="226">
        <f t="shared" si="137"/>
        <v>9424.742804577003</v>
      </c>
      <c r="G353" s="257">
        <f ca="1">SUM(G346:G352)</f>
        <v>9397.7866142648982</v>
      </c>
      <c r="H353" s="257">
        <f t="shared" ref="H353:K353" ca="1" si="138">SUM(H346:H352)</f>
        <v>9383.5766004355337</v>
      </c>
      <c r="I353" s="257">
        <f t="shared" ca="1" si="138"/>
        <v>9374.2090776990626</v>
      </c>
      <c r="J353" s="257">
        <f t="shared" ca="1" si="138"/>
        <v>9360.0283701132339</v>
      </c>
      <c r="K353" s="257">
        <f t="shared" ca="1" si="138"/>
        <v>9345.3454238505383</v>
      </c>
    </row>
    <row r="354" spans="2:11">
      <c r="B354" s="34"/>
      <c r="D354" s="138"/>
      <c r="E354" s="138"/>
      <c r="F354" s="138"/>
      <c r="G354" s="243"/>
      <c r="H354" s="243"/>
      <c r="I354" s="243"/>
      <c r="J354" s="243"/>
      <c r="K354" s="243"/>
    </row>
    <row r="355" spans="2:11">
      <c r="B355" s="34" t="str">
        <f>B332</f>
        <v>Accounts payable, EOP</v>
      </c>
      <c r="D355" s="138">
        <f t="shared" ref="D355:E358" si="139">E332</f>
        <v>32.700000000000003</v>
      </c>
      <c r="E355" s="138">
        <f t="shared" si="139"/>
        <v>42.1</v>
      </c>
      <c r="F355" s="138">
        <f>J332</f>
        <v>42.1</v>
      </c>
      <c r="G355" s="243">
        <f>F80</f>
        <v>41.35985068829212</v>
      </c>
      <c r="H355" s="243">
        <f>G80</f>
        <v>42.77992582446322</v>
      </c>
      <c r="I355" s="243">
        <f>H80</f>
        <v>44.440721723144954</v>
      </c>
      <c r="J355" s="243">
        <f>I80</f>
        <v>45.711458175976823</v>
      </c>
      <c r="K355" s="243">
        <f>J80</f>
        <v>46.908646152698736</v>
      </c>
    </row>
    <row r="356" spans="2:11">
      <c r="B356" s="34" t="str">
        <f>B333</f>
        <v>Accrued expenses &amp; def revenues, EOP</v>
      </c>
      <c r="D356" s="138">
        <f t="shared" si="139"/>
        <v>2313.3000000000002</v>
      </c>
      <c r="E356" s="138">
        <f t="shared" si="139"/>
        <v>2301.6999999999998</v>
      </c>
      <c r="F356" s="138">
        <f>J333</f>
        <v>2301.6999999999998</v>
      </c>
      <c r="G356" s="243">
        <f>F82</f>
        <v>2382.2594999999997</v>
      </c>
      <c r="H356" s="243">
        <f>G82</f>
        <v>2513.2837724999995</v>
      </c>
      <c r="I356" s="243">
        <f>H82</f>
        <v>2664.0807988500001</v>
      </c>
      <c r="J356" s="243">
        <f>I82</f>
        <v>2797.2848387925001</v>
      </c>
      <c r="K356" s="243">
        <f>J82</f>
        <v>2931.5545110545399</v>
      </c>
    </row>
    <row r="357" spans="2:11">
      <c r="B357" s="34" t="str">
        <f>B334</f>
        <v>Other liabilities</v>
      </c>
      <c r="D357" s="138">
        <f t="shared" si="139"/>
        <v>232.4</v>
      </c>
      <c r="E357" s="138">
        <f t="shared" si="139"/>
        <v>252</v>
      </c>
      <c r="F357" s="138">
        <f>J334</f>
        <v>365.22738957700392</v>
      </c>
      <c r="G357" s="49">
        <f>F109+G393</f>
        <v>355.41434914699687</v>
      </c>
      <c r="H357" s="49">
        <f>G109+H393</f>
        <v>345.60130871698988</v>
      </c>
      <c r="I357" s="49">
        <f>H109+I393</f>
        <v>335.78826828698288</v>
      </c>
      <c r="J357" s="49">
        <f>I109+J393</f>
        <v>325.97522785697589</v>
      </c>
      <c r="K357" s="49">
        <f>J109+K393</f>
        <v>316.1621874269689</v>
      </c>
    </row>
    <row r="358" spans="2:11">
      <c r="B358" s="34" t="str">
        <f>B335</f>
        <v xml:space="preserve">Debt </v>
      </c>
      <c r="D358" s="138">
        <f t="shared" si="139"/>
        <v>821.6</v>
      </c>
      <c r="E358" s="138">
        <f t="shared" si="139"/>
        <v>1306</v>
      </c>
      <c r="F358" s="138">
        <f>J335</f>
        <v>5190.2760000000017</v>
      </c>
      <c r="G358" s="243">
        <f ca="1">F157+F165+F173+F180+F187</f>
        <v>4779.3538388352044</v>
      </c>
      <c r="H358" s="243">
        <f ca="1">G157+G165+G173+G180+G187</f>
        <v>4260.1419003270303</v>
      </c>
      <c r="I358" s="243">
        <f ca="1">H157+H165+H173+H180+H187</f>
        <v>3651.4029831699936</v>
      </c>
      <c r="J358" s="243">
        <f ca="1">I157+I165+I173+I180+I187</f>
        <v>2978.254961861343</v>
      </c>
      <c r="K358" s="243">
        <f ca="1">J157+J165+J173+J180+J187</f>
        <v>2213.6727525724555</v>
      </c>
    </row>
    <row r="359" spans="2:11">
      <c r="B359" s="34" t="str">
        <f>B336</f>
        <v>Total Liabilities</v>
      </c>
      <c r="D359" s="226">
        <f t="shared" ref="D359:K359" si="140">SUM(D355:D358)</f>
        <v>3400</v>
      </c>
      <c r="E359" s="226">
        <f t="shared" si="140"/>
        <v>3901.7999999999997</v>
      </c>
      <c r="F359" s="226">
        <f t="shared" si="140"/>
        <v>7899.3033895770059</v>
      </c>
      <c r="G359" s="257">
        <f t="shared" ca="1" si="140"/>
        <v>7558.3875386704931</v>
      </c>
      <c r="H359" s="257">
        <f t="shared" ca="1" si="140"/>
        <v>7161.8069073684828</v>
      </c>
      <c r="I359" s="257">
        <f t="shared" ca="1" si="140"/>
        <v>6695.7127720301214</v>
      </c>
      <c r="J359" s="257">
        <f t="shared" ca="1" si="140"/>
        <v>6147.2264866867954</v>
      </c>
      <c r="K359" s="257">
        <f t="shared" ca="1" si="140"/>
        <v>5508.2980972066634</v>
      </c>
    </row>
    <row r="360" spans="2:11">
      <c r="B360" s="34"/>
      <c r="D360" s="138"/>
      <c r="E360" s="138"/>
      <c r="F360" s="138"/>
      <c r="G360" s="243"/>
      <c r="H360" s="243"/>
      <c r="I360" s="243"/>
      <c r="J360" s="243"/>
      <c r="K360" s="243"/>
    </row>
    <row r="361" spans="2:11">
      <c r="B361" s="34" t="str">
        <f>B338</f>
        <v>LBO Preferred stock</v>
      </c>
      <c r="D361" s="248" t="str">
        <f>E338</f>
        <v>NM</v>
      </c>
      <c r="E361" s="248" t="str">
        <f>F338</f>
        <v>NM</v>
      </c>
      <c r="F361" s="138">
        <f>J338</f>
        <v>0</v>
      </c>
      <c r="G361" s="243">
        <f>F193</f>
        <v>0</v>
      </c>
      <c r="H361" s="243">
        <f>G193</f>
        <v>0</v>
      </c>
      <c r="I361" s="243">
        <f>H193</f>
        <v>0</v>
      </c>
      <c r="J361" s="243">
        <f>I193</f>
        <v>0</v>
      </c>
      <c r="K361" s="243">
        <f>J193</f>
        <v>0</v>
      </c>
    </row>
    <row r="362" spans="2:11">
      <c r="B362" s="34" t="str">
        <f>B339</f>
        <v>Equity</v>
      </c>
      <c r="D362" s="248">
        <f>E339</f>
        <v>1445.8</v>
      </c>
      <c r="E362" s="248">
        <f>F339</f>
        <v>818.5</v>
      </c>
      <c r="F362" s="138">
        <f>J339</f>
        <v>1525.4394149999989</v>
      </c>
      <c r="G362" s="243">
        <f ca="1">G370</f>
        <v>1839.3990755944051</v>
      </c>
      <c r="H362" s="243">
        <f ca="1">H370</f>
        <v>2221.7696930670504</v>
      </c>
      <c r="I362" s="243">
        <f ca="1">I370</f>
        <v>2678.4963056689039</v>
      </c>
      <c r="J362" s="243">
        <f ca="1">J370</f>
        <v>3212.801883561046</v>
      </c>
      <c r="K362" s="243">
        <f ca="1">K370</f>
        <v>3837.0473972546661</v>
      </c>
    </row>
    <row r="363" spans="2:11">
      <c r="B363" s="34" t="str">
        <f>B340</f>
        <v>Total equity</v>
      </c>
      <c r="D363" s="226">
        <f>SUM(D361:D362)</f>
        <v>1445.8</v>
      </c>
      <c r="E363" s="226">
        <f t="shared" ref="E363:F363" si="141">SUM(E361:E362)</f>
        <v>818.5</v>
      </c>
      <c r="F363" s="226">
        <f t="shared" si="141"/>
        <v>1525.4394149999989</v>
      </c>
      <c r="G363" s="226">
        <f t="shared" ref="G363" ca="1" si="142">SUM(G361:G362)</f>
        <v>1839.3990755944051</v>
      </c>
      <c r="H363" s="226">
        <f t="shared" ref="H363" ca="1" si="143">SUM(H361:H362)</f>
        <v>2221.7696930670504</v>
      </c>
      <c r="I363" s="226">
        <f t="shared" ref="I363" ca="1" si="144">SUM(I361:I362)</f>
        <v>2678.4963056689039</v>
      </c>
      <c r="J363" s="226">
        <f t="shared" ref="J363" ca="1" si="145">SUM(J361:J362)</f>
        <v>3212.801883561046</v>
      </c>
      <c r="K363" s="226">
        <f t="shared" ref="K363" ca="1" si="146">SUM(K361:K362)</f>
        <v>3837.0473972546661</v>
      </c>
    </row>
    <row r="364" spans="2:11">
      <c r="B364" s="34" t="str">
        <f>B341</f>
        <v>Balance check</v>
      </c>
      <c r="D364" s="138">
        <f t="shared" ref="D364:K364" si="147">D353-D359-D363</f>
        <v>0</v>
      </c>
      <c r="E364" s="138">
        <f t="shared" si="147"/>
        <v>0</v>
      </c>
      <c r="F364" s="138">
        <f t="shared" si="147"/>
        <v>-1.8189894035458565E-12</v>
      </c>
      <c r="G364" s="138">
        <f t="shared" ca="1" si="147"/>
        <v>0</v>
      </c>
      <c r="H364" s="138">
        <f t="shared" ca="1" si="147"/>
        <v>0</v>
      </c>
      <c r="I364" s="138">
        <f t="shared" ca="1" si="147"/>
        <v>3.7289282772690058E-11</v>
      </c>
      <c r="J364" s="138">
        <f t="shared" ca="1" si="147"/>
        <v>-1.3460748959914781E-7</v>
      </c>
      <c r="K364" s="138">
        <f t="shared" ca="1" si="147"/>
        <v>-7.0610791226499714E-5</v>
      </c>
    </row>
    <row r="365" spans="2:11">
      <c r="G365" s="138"/>
      <c r="H365" s="138"/>
      <c r="I365" s="138"/>
      <c r="J365" s="138"/>
    </row>
    <row r="366" spans="2:11">
      <c r="B366" s="28" t="s">
        <v>308</v>
      </c>
      <c r="C366" s="28"/>
      <c r="D366" s="28"/>
      <c r="E366" s="28"/>
      <c r="F366" s="28"/>
      <c r="G366" s="226">
        <f>F362</f>
        <v>1525.4394149999989</v>
      </c>
      <c r="H366" s="226">
        <f ca="1">G370</f>
        <v>1839.3990755944051</v>
      </c>
      <c r="I366" s="226">
        <f ca="1">H370</f>
        <v>2221.7696930670504</v>
      </c>
      <c r="J366" s="226">
        <f ca="1">I370</f>
        <v>2678.4963056689039</v>
      </c>
      <c r="K366" s="226">
        <f ca="1">J370</f>
        <v>3212.801883561046</v>
      </c>
    </row>
    <row r="367" spans="2:11">
      <c r="B367" s="34" t="s">
        <v>310</v>
      </c>
      <c r="G367" s="138">
        <f ca="1">F54</f>
        <v>152.90492376693442</v>
      </c>
      <c r="H367" s="138">
        <f ca="1">G54</f>
        <v>220.28852630747963</v>
      </c>
      <c r="I367" s="138">
        <f ca="1">H54</f>
        <v>293.02899231210944</v>
      </c>
      <c r="J367" s="138">
        <f ca="1">I54</f>
        <v>370.73728858722643</v>
      </c>
      <c r="K367" s="138">
        <f ca="1">J54</f>
        <v>461.32896058455685</v>
      </c>
    </row>
    <row r="368" spans="2:11">
      <c r="B368" s="34" t="s">
        <v>309</v>
      </c>
      <c r="G368" s="138">
        <f>F192+F194</f>
        <v>0</v>
      </c>
      <c r="H368" s="138">
        <f>G192+G194</f>
        <v>0</v>
      </c>
      <c r="I368" s="138">
        <f>H192+H194</f>
        <v>0</v>
      </c>
      <c r="J368" s="138">
        <f>I192+I194</f>
        <v>0</v>
      </c>
      <c r="K368" s="138">
        <f>J192+J194</f>
        <v>0</v>
      </c>
    </row>
    <row r="369" spans="2:11">
      <c r="B369" s="34" t="s">
        <v>311</v>
      </c>
      <c r="G369" s="138">
        <f>F60</f>
        <v>161.0547368274718</v>
      </c>
      <c r="H369" s="138">
        <f>G60</f>
        <v>162.08209116516588</v>
      </c>
      <c r="I369" s="138">
        <f>H60</f>
        <v>163.69762028974245</v>
      </c>
      <c r="J369" s="138">
        <f>I60</f>
        <v>163.56828931606964</v>
      </c>
      <c r="K369" s="138">
        <f>J60</f>
        <v>162.91655861446264</v>
      </c>
    </row>
    <row r="370" spans="2:11">
      <c r="B370" s="35" t="s">
        <v>312</v>
      </c>
      <c r="C370" s="28"/>
      <c r="D370" s="28"/>
      <c r="E370" s="28"/>
      <c r="F370" s="28"/>
      <c r="G370" s="226">
        <f ca="1">G366+G367-G368+G369</f>
        <v>1839.3990755944051</v>
      </c>
      <c r="H370" s="226">
        <f ca="1">H366+H367-H368+H369</f>
        <v>2221.7696930670504</v>
      </c>
      <c r="I370" s="226">
        <f ca="1">I366+I367-I368+I369</f>
        <v>2678.4963056689026</v>
      </c>
      <c r="J370" s="226">
        <f ca="1">J366+J367-J368+J369</f>
        <v>3212.8018835722</v>
      </c>
      <c r="K370" s="226">
        <f ca="1">K366+K367-K368+K369</f>
        <v>3837.0474027600658</v>
      </c>
    </row>
    <row r="372" spans="2:11">
      <c r="B372" s="151" t="s">
        <v>320</v>
      </c>
      <c r="C372" s="15"/>
      <c r="D372" s="15"/>
      <c r="E372" s="15"/>
      <c r="F372" s="15"/>
      <c r="G372" s="15"/>
      <c r="H372" s="15"/>
      <c r="I372" s="15"/>
      <c r="J372" s="15"/>
      <c r="K372" s="15"/>
    </row>
    <row r="373" spans="2:11">
      <c r="B373" s="73"/>
    </row>
    <row r="374" spans="2:11">
      <c r="B374" s="73" t="s">
        <v>322</v>
      </c>
      <c r="C374" s="381" t="s">
        <v>319</v>
      </c>
    </row>
    <row r="375" spans="2:11">
      <c r="B375" s="73" t="s">
        <v>323</v>
      </c>
      <c r="C375" s="381" t="s">
        <v>274</v>
      </c>
    </row>
    <row r="377" spans="2:11" ht="15.75" thickBot="1">
      <c r="B377" s="392" t="s">
        <v>320</v>
      </c>
      <c r="C377" s="393"/>
      <c r="E377" s="387"/>
    </row>
    <row r="378" spans="2:11">
      <c r="B378" s="73" t="s">
        <v>313</v>
      </c>
      <c r="C378" s="138">
        <f>F339</f>
        <v>818.5</v>
      </c>
      <c r="D378" s="380" t="s">
        <v>334</v>
      </c>
      <c r="E378" s="380" t="s">
        <v>316</v>
      </c>
      <c r="G378" s="41"/>
    </row>
    <row r="379" spans="2:11">
      <c r="B379" s="34" t="s">
        <v>314</v>
      </c>
      <c r="C379" s="206">
        <f>IF($C$375="LBO",D379,0)</f>
        <v>300</v>
      </c>
      <c r="D379" s="385">
        <v>300</v>
      </c>
      <c r="E379" s="382">
        <v>10</v>
      </c>
    </row>
    <row r="380" spans="2:11">
      <c r="B380" s="34" t="s">
        <v>315</v>
      </c>
      <c r="C380" s="390">
        <f>IF($C$375="LBO",D380,0)</f>
        <v>200</v>
      </c>
      <c r="D380" s="386">
        <v>200</v>
      </c>
      <c r="E380" s="382">
        <v>15</v>
      </c>
    </row>
    <row r="381" spans="2:11">
      <c r="B381" s="34" t="s">
        <v>329</v>
      </c>
      <c r="C381" s="243">
        <f>SUM(C379:C380)</f>
        <v>500</v>
      </c>
      <c r="E381" s="389"/>
    </row>
    <row r="382" spans="2:11">
      <c r="B382" s="34" t="s">
        <v>330</v>
      </c>
      <c r="C382" s="391">
        <f>IF(C374="Stock sale",C381*F69,0)</f>
        <v>113.2273895770039</v>
      </c>
    </row>
    <row r="383" spans="2:11">
      <c r="B383" s="8" t="s">
        <v>321</v>
      </c>
      <c r="C383" s="138">
        <f>C378+C381-C382</f>
        <v>1205.2726104229962</v>
      </c>
    </row>
    <row r="385" spans="2:11">
      <c r="B385" s="28" t="s">
        <v>317</v>
      </c>
      <c r="C385" s="57">
        <f>H17</f>
        <v>6741.9262500000004</v>
      </c>
    </row>
    <row r="386" spans="2:11">
      <c r="B386" s="8" t="s">
        <v>318</v>
      </c>
      <c r="C386" s="41">
        <f>C385-C383</f>
        <v>5536.6536395770045</v>
      </c>
    </row>
    <row r="388" spans="2:11">
      <c r="B388" s="13" t="s">
        <v>324</v>
      </c>
      <c r="C388" s="15"/>
      <c r="D388" s="15"/>
      <c r="E388" s="15"/>
      <c r="F388" s="15"/>
      <c r="G388" s="15"/>
      <c r="H388" s="15"/>
      <c r="I388" s="15"/>
      <c r="J388" s="15"/>
      <c r="K388" s="15"/>
    </row>
    <row r="389" spans="2:11">
      <c r="G389" s="383">
        <f t="shared" ref="G389:K390" si="148">G344</f>
        <v>2014</v>
      </c>
      <c r="H389" s="383">
        <f t="shared" si="148"/>
        <v>2015</v>
      </c>
      <c r="I389" s="383">
        <f t="shared" si="148"/>
        <v>2016</v>
      </c>
      <c r="J389" s="383">
        <f t="shared" si="148"/>
        <v>2017</v>
      </c>
      <c r="K389" s="383">
        <f t="shared" si="148"/>
        <v>2018</v>
      </c>
    </row>
    <row r="390" spans="2:11">
      <c r="B390" s="15"/>
      <c r="C390" s="15"/>
      <c r="D390" s="15"/>
      <c r="E390" s="15"/>
      <c r="F390" s="15"/>
      <c r="G390" s="259">
        <f t="shared" si="148"/>
        <v>41729</v>
      </c>
      <c r="H390" s="259">
        <f t="shared" si="148"/>
        <v>42094</v>
      </c>
      <c r="I390" s="259">
        <f t="shared" si="148"/>
        <v>42460</v>
      </c>
      <c r="J390" s="259">
        <f t="shared" si="148"/>
        <v>42825</v>
      </c>
      <c r="K390" s="259">
        <f t="shared" si="148"/>
        <v>43190</v>
      </c>
    </row>
    <row r="391" spans="2:11">
      <c r="B391" s="8" t="s">
        <v>137</v>
      </c>
      <c r="D391" s="384" t="s">
        <v>332</v>
      </c>
      <c r="E391" s="388">
        <f>C379/E379</f>
        <v>30</v>
      </c>
      <c r="G391" s="138">
        <f>C379-E391</f>
        <v>270</v>
      </c>
      <c r="H391" s="138">
        <f>G391-$E$391</f>
        <v>240</v>
      </c>
      <c r="I391" s="138">
        <f>H391-$E$391</f>
        <v>210</v>
      </c>
      <c r="J391" s="138">
        <f>I391-$E$391</f>
        <v>180</v>
      </c>
      <c r="K391" s="138">
        <f>J391-$E$391</f>
        <v>150</v>
      </c>
    </row>
    <row r="392" spans="2:11">
      <c r="B392" s="8" t="s">
        <v>237</v>
      </c>
      <c r="D392" s="384" t="s">
        <v>333</v>
      </c>
      <c r="E392" s="394">
        <f>C380/E380</f>
        <v>13.333333333333334</v>
      </c>
      <c r="G392" s="138">
        <f>C380-E392</f>
        <v>186.66666666666666</v>
      </c>
      <c r="H392" s="138">
        <f>G392-$E$392</f>
        <v>173.33333333333331</v>
      </c>
      <c r="I392" s="138">
        <f>H392-$E$392</f>
        <v>159.99999999999997</v>
      </c>
      <c r="J392" s="138">
        <f>I392-$E$392</f>
        <v>146.66666666666663</v>
      </c>
      <c r="K392" s="138">
        <f>J392-$E$392</f>
        <v>133.33333333333329</v>
      </c>
    </row>
    <row r="393" spans="2:11">
      <c r="B393" s="8" t="s">
        <v>328</v>
      </c>
      <c r="D393" s="384" t="s">
        <v>331</v>
      </c>
      <c r="E393" s="395">
        <f>IF(C374="Stock sale",SUM(E391:E392)*F69,0)</f>
        <v>9.8130404300070051</v>
      </c>
      <c r="G393" s="138">
        <f>$C$382-E393</f>
        <v>103.4143491469969</v>
      </c>
      <c r="H393" s="138">
        <f>G393-$E$393</f>
        <v>93.601308716989891</v>
      </c>
      <c r="I393" s="138">
        <f>H393-$E$393</f>
        <v>83.788268286982884</v>
      </c>
      <c r="J393" s="138">
        <f>I393-$E$393</f>
        <v>73.975227856975877</v>
      </c>
      <c r="K393" s="138">
        <f>J393-$E$393</f>
        <v>64.16218742696887</v>
      </c>
    </row>
  </sheetData>
  <conditionalFormatting sqref="D292:J298">
    <cfRule type="expression" dxfId="7" priority="56" stopIfTrue="1">
      <formula>$H$7=2</formula>
    </cfRule>
  </conditionalFormatting>
  <conditionalFormatting sqref="D291:J291">
    <cfRule type="expression" dxfId="6" priority="57">
      <formula>$H$7=1</formula>
    </cfRule>
  </conditionalFormatting>
  <conditionalFormatting sqref="F294:J298 F313:J317">
    <cfRule type="cellIs" dxfId="5" priority="68" operator="greaterThan">
      <formula>$B$292</formula>
    </cfRule>
  </conditionalFormatting>
  <conditionalFormatting sqref="D302:J308">
    <cfRule type="expression" dxfId="4" priority="2">
      <formula>$H$7=1</formula>
    </cfRule>
    <cfRule type="expression" priority="3">
      <formula>$H$7=1</formula>
    </cfRule>
  </conditionalFormatting>
  <conditionalFormatting sqref="D301:J301">
    <cfRule type="expression" dxfId="3" priority="1">
      <formula>$H$7=2</formula>
    </cfRule>
  </conditionalFormatting>
  <dataValidations disablePrompts="1" count="7">
    <dataValidation type="list" allowBlank="1" showInputMessage="1" showErrorMessage="1" sqref="B3">
      <formula1>"$ bns except per share, $ mm except per share,$ in thousands except per share"</formula1>
    </dataValidation>
    <dataValidation type="list" allowBlank="1" showInputMessage="1" showErrorMessage="1" sqref="D10">
      <formula1>"ON,OFF"</formula1>
    </dataValidation>
    <dataValidation type="list" allowBlank="1" showInputMessage="1" showErrorMessage="1" sqref="K94 K100">
      <formula1>"Yes,No"</formula1>
    </dataValidation>
    <dataValidation type="list" allowBlank="1" showInputMessage="1" showErrorMessage="1" sqref="H7">
      <formula1>$I$7:$J$7</formula1>
    </dataValidation>
    <dataValidation type="list" allowBlank="1" showInputMessage="1" showErrorMessage="1" sqref="C375">
      <formula1>"LBO,Lev. Recap"</formula1>
    </dataValidation>
    <dataValidation allowBlank="1" showInputMessage="1" showErrorMessage="1" promptTitle="Input transaction fee assumption" prompt="Includes legal, accounting and advisory related fees.  Input as a % of the offer value." sqref="G36 C18"/>
    <dataValidation type="list" allowBlank="1" showInputMessage="1" showErrorMessage="1" sqref="C374">
      <formula1>"Asset sale/338,Stock sale"</formula1>
    </dataValidation>
  </dataValidation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K118"/>
  <sheetViews>
    <sheetView topLeftCell="A40" zoomScaleNormal="100" workbookViewId="0"/>
  </sheetViews>
  <sheetFormatPr defaultRowHeight="15"/>
  <cols>
    <col min="1" max="1" width="1.7109375" style="8" customWidth="1"/>
    <col min="2" max="2" width="40.28515625" style="8" customWidth="1"/>
    <col min="3" max="3" width="12.140625" style="8" bestFit="1" customWidth="1"/>
    <col min="4" max="4" width="11.140625" style="8" bestFit="1" customWidth="1"/>
    <col min="5" max="7" width="10.140625" style="8" bestFit="1" customWidth="1"/>
    <col min="8" max="10" width="11" style="8" customWidth="1"/>
    <col min="11" max="11" width="12.140625" style="8" bestFit="1" customWidth="1"/>
    <col min="12" max="12" width="9.140625" style="8"/>
    <col min="13" max="13" width="9.140625" style="8" customWidth="1"/>
    <col min="14" max="16384" width="9.140625" style="8"/>
  </cols>
  <sheetData>
    <row r="1" spans="2:10" ht="15.75" thickBot="1"/>
    <row r="2" spans="2:10" ht="27" thickBot="1">
      <c r="B2" s="1" t="str">
        <f>"Discounted Cash Flow Model for "&amp;LBO!D6</f>
        <v>Discounted Cash Flow Model for BMC</v>
      </c>
      <c r="C2" s="9"/>
      <c r="D2" s="9"/>
      <c r="E2" s="9"/>
      <c r="F2" s="9"/>
      <c r="G2" s="9"/>
      <c r="H2" s="9"/>
      <c r="I2" s="9"/>
      <c r="J2" s="9"/>
    </row>
    <row r="3" spans="2:10">
      <c r="B3" s="68" t="str">
        <f>LBO!B3</f>
        <v>$ mm except per share</v>
      </c>
    </row>
    <row r="4" spans="2:10">
      <c r="B4" s="68"/>
    </row>
    <row r="5" spans="2:10" ht="15.75" thickBot="1">
      <c r="B5" s="66" t="s">
        <v>54</v>
      </c>
      <c r="C5" s="61"/>
    </row>
    <row r="6" spans="2:10">
      <c r="B6" s="11" t="s">
        <v>2</v>
      </c>
      <c r="C6" s="81">
        <f>LBO!H20</f>
        <v>46.25</v>
      </c>
    </row>
    <row r="7" spans="2:10">
      <c r="B7" s="68" t="s">
        <v>3</v>
      </c>
      <c r="C7" s="84">
        <f>LBO!D9</f>
        <v>41400</v>
      </c>
    </row>
    <row r="8" spans="2:10">
      <c r="B8" s="68" t="s">
        <v>55</v>
      </c>
      <c r="C8" s="241">
        <f>Shares!E7</f>
        <v>143.97300000000001</v>
      </c>
    </row>
    <row r="9" spans="2:10">
      <c r="B9" s="68" t="s">
        <v>56</v>
      </c>
      <c r="C9" s="80">
        <f>C59</f>
        <v>6.9902229946646119E-2</v>
      </c>
    </row>
    <row r="11" spans="2:10" ht="15.75" thickBot="1">
      <c r="B11" s="69" t="s">
        <v>57</v>
      </c>
      <c r="C11" s="61"/>
      <c r="D11" s="61"/>
      <c r="E11" s="61"/>
      <c r="F11" s="61"/>
      <c r="G11" s="61"/>
      <c r="H11" s="61"/>
      <c r="I11" s="61"/>
      <c r="J11" s="61"/>
    </row>
    <row r="12" spans="2:10">
      <c r="B12" s="11" t="s">
        <v>7</v>
      </c>
      <c r="C12" s="16">
        <f>D12-1</f>
        <v>2011</v>
      </c>
      <c r="D12" s="16">
        <f>E12-1</f>
        <v>2012</v>
      </c>
      <c r="E12" s="16">
        <f>YEAR(E13)</f>
        <v>2013</v>
      </c>
      <c r="F12" s="17">
        <f>E12+1</f>
        <v>2014</v>
      </c>
      <c r="G12" s="17">
        <f>F12+1</f>
        <v>2015</v>
      </c>
      <c r="H12" s="17">
        <f>G12+1</f>
        <v>2016</v>
      </c>
      <c r="I12" s="17">
        <f>H12+1</f>
        <v>2017</v>
      </c>
      <c r="J12" s="17">
        <f>I12+1</f>
        <v>2018</v>
      </c>
    </row>
    <row r="13" spans="2:10">
      <c r="B13" s="18" t="s">
        <v>8</v>
      </c>
      <c r="C13" s="39">
        <f>LBO!C40</f>
        <v>40633</v>
      </c>
      <c r="D13" s="39">
        <f>LBO!D40</f>
        <v>40999</v>
      </c>
      <c r="E13" s="39">
        <f>LBO!E40</f>
        <v>41364</v>
      </c>
      <c r="F13" s="39">
        <f>LBO!F40</f>
        <v>41729</v>
      </c>
      <c r="G13" s="39">
        <f>LBO!G40</f>
        <v>42094</v>
      </c>
      <c r="H13" s="39">
        <f>LBO!H40</f>
        <v>42460</v>
      </c>
      <c r="I13" s="39">
        <f>LBO!I40</f>
        <v>42825</v>
      </c>
      <c r="J13" s="39">
        <f>LBO!J40</f>
        <v>43190</v>
      </c>
    </row>
    <row r="14" spans="2:10">
      <c r="B14" s="70"/>
      <c r="F14" s="6"/>
      <c r="G14" s="6"/>
      <c r="H14" s="6"/>
      <c r="I14" s="6"/>
      <c r="J14" s="6"/>
    </row>
    <row r="15" spans="2:10">
      <c r="B15" s="11" t="s">
        <v>28</v>
      </c>
      <c r="C15" s="67">
        <f>LBO!C62</f>
        <v>843.60000000000025</v>
      </c>
      <c r="D15" s="67">
        <f>LBO!D62</f>
        <v>906.49999999999989</v>
      </c>
      <c r="E15" s="67">
        <f>LBO!E62</f>
        <v>882.70000000000027</v>
      </c>
      <c r="F15" s="67">
        <f>LBO!F62</f>
        <v>947.67924131998893</v>
      </c>
      <c r="G15" s="67">
        <f>LBO!G62</f>
        <v>1000.4844845944476</v>
      </c>
      <c r="H15" s="67">
        <f>LBO!H62</f>
        <v>1078.8876874776497</v>
      </c>
      <c r="I15" s="67">
        <f>LBO!I62</f>
        <v>1150.0716060640705</v>
      </c>
      <c r="J15" s="67">
        <f>LBO!J62</f>
        <v>1226.8741190024368</v>
      </c>
    </row>
    <row r="16" spans="2:10">
      <c r="B16" s="11" t="s">
        <v>58</v>
      </c>
      <c r="C16" s="67">
        <f>LBO!C48</f>
        <v>532.8000000000003</v>
      </c>
      <c r="D16" s="67">
        <f>LBO!D48</f>
        <v>543.89999999999986</v>
      </c>
      <c r="E16" s="67">
        <f>LBO!E48</f>
        <v>465.40000000000032</v>
      </c>
      <c r="F16" s="67">
        <f>LBO!F48</f>
        <v>493.68031418041079</v>
      </c>
      <c r="G16" s="67">
        <f>LBO!G48</f>
        <v>559.80403959991668</v>
      </c>
      <c r="H16" s="67">
        <f>LBO!H48</f>
        <v>634.79196405141192</v>
      </c>
      <c r="I16" s="67">
        <f>LBO!I48</f>
        <v>709.3122632461741</v>
      </c>
      <c r="J16" s="67">
        <f>LBO!J48</f>
        <v>787.96023830464082</v>
      </c>
    </row>
    <row r="17" spans="2:10">
      <c r="B17" s="11" t="s">
        <v>59</v>
      </c>
      <c r="C17" s="86">
        <f>LBO!C69</f>
        <v>0.14135140222096734</v>
      </c>
      <c r="D17" s="86">
        <f>LBO!D69</f>
        <v>0.2433962264150944</v>
      </c>
      <c r="E17" s="86">
        <f>LBO!E69</f>
        <v>0.2264547791540078</v>
      </c>
      <c r="F17" s="86">
        <f>LBO!F69</f>
        <v>0.2264547791540078</v>
      </c>
      <c r="G17" s="86">
        <f>LBO!G69</f>
        <v>0.2264547791540078</v>
      </c>
      <c r="H17" s="86">
        <f>LBO!H69</f>
        <v>0.2264547791540078</v>
      </c>
      <c r="I17" s="86">
        <f>LBO!I69</f>
        <v>0.2264547791540078</v>
      </c>
      <c r="J17" s="86">
        <f>LBO!J69</f>
        <v>0.2264547791540078</v>
      </c>
    </row>
    <row r="18" spans="2:10">
      <c r="B18" s="24" t="s">
        <v>60</v>
      </c>
      <c r="C18" s="71">
        <f>C16*(1-C17)</f>
        <v>457.48797289666885</v>
      </c>
      <c r="D18" s="71">
        <f t="shared" ref="D18:J18" si="0">D16*(1-D17)</f>
        <v>411.51679245283003</v>
      </c>
      <c r="E18" s="71">
        <f t="shared" si="0"/>
        <v>360.00794578172503</v>
      </c>
      <c r="F18" s="71">
        <f t="shared" si="0"/>
        <v>381.88404766000468</v>
      </c>
      <c r="G18" s="71">
        <f t="shared" si="0"/>
        <v>433.0337394427961</v>
      </c>
      <c r="H18" s="71">
        <f t="shared" si="0"/>
        <v>491.04029002341059</v>
      </c>
      <c r="I18" s="71">
        <f t="shared" si="0"/>
        <v>548.6851113215323</v>
      </c>
      <c r="J18" s="71">
        <f t="shared" si="0"/>
        <v>609.52287655722398</v>
      </c>
    </row>
    <row r="19" spans="2:10">
      <c r="B19" s="24"/>
      <c r="C19"/>
      <c r="D19"/>
      <c r="E19"/>
      <c r="F19"/>
      <c r="G19"/>
      <c r="H19"/>
      <c r="I19"/>
      <c r="J19"/>
    </row>
    <row r="20" spans="2:10">
      <c r="B20" s="46" t="s">
        <v>42</v>
      </c>
      <c r="F20" s="67">
        <f>LBO!F116</f>
        <v>223.94686822877298</v>
      </c>
      <c r="G20" s="67">
        <f>LBO!G116</f>
        <v>220.60103174603177</v>
      </c>
      <c r="H20" s="67">
        <f>LBO!H116</f>
        <v>222.40078105316201</v>
      </c>
      <c r="I20" s="67">
        <f>LBO!I116</f>
        <v>224.19373141849334</v>
      </c>
      <c r="J20" s="67">
        <f>LBO!J116</f>
        <v>223.00000000000003</v>
      </c>
    </row>
    <row r="21" spans="2:10">
      <c r="B21" s="46" t="s">
        <v>27</v>
      </c>
      <c r="F21" s="67">
        <f>LBO!F118</f>
        <v>161.0547368274718</v>
      </c>
      <c r="G21" s="67">
        <f>LBO!G118</f>
        <v>162.08209116516588</v>
      </c>
      <c r="H21" s="67">
        <f>LBO!H118</f>
        <v>163.69762028974245</v>
      </c>
      <c r="I21" s="67">
        <f>LBO!I118</f>
        <v>163.56828931606964</v>
      </c>
      <c r="J21" s="67">
        <f>LBO!J118</f>
        <v>162.91655861446264</v>
      </c>
    </row>
    <row r="22" spans="2:10">
      <c r="B22" s="11" t="s">
        <v>138</v>
      </c>
      <c r="F22" s="67">
        <f>LBO!F119</f>
        <v>56.831350688291877</v>
      </c>
      <c r="G22" s="67">
        <f>LBO!G119</f>
        <v>95.056007636170762</v>
      </c>
      <c r="H22" s="67">
        <f>LBO!H119</f>
        <v>109.42724184868234</v>
      </c>
      <c r="I22" s="67">
        <f>LBO!I119</f>
        <v>96.464430375331858</v>
      </c>
      <c r="J22" s="67">
        <f>LBO!J119</f>
        <v>97.152431450601853</v>
      </c>
    </row>
    <row r="23" spans="2:10">
      <c r="B23" s="25" t="s">
        <v>184</v>
      </c>
      <c r="F23" s="67">
        <f>LBO!F120</f>
        <v>0</v>
      </c>
      <c r="G23" s="67">
        <f>LBO!G120</f>
        <v>0</v>
      </c>
      <c r="H23" s="67">
        <f>LBO!H120</f>
        <v>0</v>
      </c>
      <c r="I23" s="67">
        <f>LBO!I120</f>
        <v>0</v>
      </c>
      <c r="J23" s="67">
        <f>LBO!J120</f>
        <v>0</v>
      </c>
    </row>
    <row r="24" spans="2:10">
      <c r="B24" s="24" t="s">
        <v>61</v>
      </c>
      <c r="C24"/>
      <c r="D24"/>
      <c r="E24"/>
      <c r="F24" s="57">
        <f>F18+SUM(F20:F23)</f>
        <v>823.7170034045414</v>
      </c>
      <c r="G24" s="57">
        <f>G18+SUM(G20:G23)</f>
        <v>910.77286999016451</v>
      </c>
      <c r="H24" s="57">
        <f>H18+SUM(H20:H23)</f>
        <v>986.56593321499736</v>
      </c>
      <c r="I24" s="57">
        <f>I18+SUM(I20:I23)</f>
        <v>1032.9115624314272</v>
      </c>
      <c r="J24" s="57">
        <f>J18+SUM(J20:J23)</f>
        <v>1092.5918666222885</v>
      </c>
    </row>
    <row r="25" spans="2:10">
      <c r="B25" s="34" t="s">
        <v>62</v>
      </c>
      <c r="C25"/>
      <c r="D25"/>
      <c r="E25"/>
      <c r="F25" s="67">
        <f>LBO!F125</f>
        <v>-26</v>
      </c>
      <c r="G25" s="67">
        <f>LBO!G125</f>
        <v>-28</v>
      </c>
      <c r="H25" s="67">
        <f>LBO!H125</f>
        <v>-30</v>
      </c>
      <c r="I25" s="67">
        <f>LBO!I125</f>
        <v>-29</v>
      </c>
      <c r="J25" s="67">
        <f>LBO!J125</f>
        <v>-31</v>
      </c>
    </row>
    <row r="26" spans="2:10">
      <c r="B26" s="30" t="s">
        <v>63</v>
      </c>
      <c r="C26"/>
      <c r="D26"/>
      <c r="E26"/>
      <c r="F26" s="67">
        <f>LBO!F126</f>
        <v>-201</v>
      </c>
      <c r="G26" s="67">
        <f>LBO!G126</f>
        <v>-194</v>
      </c>
      <c r="H26" s="67">
        <f>LBO!H126</f>
        <v>-193</v>
      </c>
      <c r="I26" s="67">
        <f>LBO!I126</f>
        <v>-196</v>
      </c>
      <c r="J26" s="67">
        <f>LBO!J126</f>
        <v>-192</v>
      </c>
    </row>
    <row r="27" spans="2:10">
      <c r="B27" s="28" t="s">
        <v>64</v>
      </c>
      <c r="C27"/>
      <c r="D27"/>
      <c r="E27"/>
      <c r="F27" s="57">
        <f>SUM(F24:F26)</f>
        <v>596.7170034045414</v>
      </c>
      <c r="G27" s="57">
        <f t="shared" ref="G27:J27" si="1">SUM(G24:G26)</f>
        <v>688.77286999016451</v>
      </c>
      <c r="H27" s="57">
        <f t="shared" si="1"/>
        <v>763.56593321499736</v>
      </c>
      <c r="I27" s="57">
        <f t="shared" si="1"/>
        <v>807.91156243142723</v>
      </c>
      <c r="J27" s="57">
        <f t="shared" si="1"/>
        <v>869.59186662228853</v>
      </c>
    </row>
    <row r="28" spans="2:10">
      <c r="B28" s="83" t="s">
        <v>30</v>
      </c>
      <c r="C28"/>
      <c r="D28"/>
      <c r="E28"/>
      <c r="F28"/>
      <c r="G28" s="88">
        <f>G27/F27-1</f>
        <v>0.15427056051763666</v>
      </c>
      <c r="H28" s="88">
        <f t="shared" ref="H28:J28" si="2">H27/G27-1</f>
        <v>0.10858886359142006</v>
      </c>
      <c r="I28" s="88">
        <f t="shared" si="2"/>
        <v>5.8077013768427888E-2</v>
      </c>
      <c r="J28" s="88">
        <f t="shared" si="2"/>
        <v>7.6345366323552932E-2</v>
      </c>
    </row>
    <row r="29" spans="2:10">
      <c r="B29" s="83"/>
      <c r="C29"/>
      <c r="D29"/>
      <c r="E29"/>
      <c r="F29"/>
      <c r="G29" s="88"/>
      <c r="H29" s="88"/>
      <c r="I29" s="88"/>
      <c r="J29" s="88"/>
    </row>
    <row r="30" spans="2:10">
      <c r="B30" s="73" t="s">
        <v>65</v>
      </c>
      <c r="C30"/>
      <c r="D30"/>
      <c r="E30"/>
      <c r="F30" s="65">
        <f>YEARFRAC($C$7,F13)</f>
        <v>0.90277777777777779</v>
      </c>
      <c r="G30" s="65">
        <f>YEARFRAC($C$7,G13)</f>
        <v>1.9027777777777777</v>
      </c>
      <c r="H30" s="65">
        <f>YEARFRAC($C$7,H13)</f>
        <v>2.9027777777777777</v>
      </c>
      <c r="I30" s="65">
        <f>YEARFRAC($C$7,I13)</f>
        <v>3.9027777777777777</v>
      </c>
      <c r="J30" s="65">
        <f>YEARFRAC($C$7,J13)</f>
        <v>4.9027777777777777</v>
      </c>
    </row>
    <row r="31" spans="2:10">
      <c r="B31" s="11" t="s">
        <v>103</v>
      </c>
      <c r="C31" s="97" t="s">
        <v>104</v>
      </c>
      <c r="E31"/>
      <c r="G31" s="87"/>
      <c r="H31" s="87"/>
      <c r="I31" s="87"/>
      <c r="J31" s="87"/>
    </row>
    <row r="32" spans="2:10">
      <c r="B32" s="8" t="s">
        <v>105</v>
      </c>
      <c r="C32" s="98">
        <f>IF(C31="Middle of period",(1+C9)^0.5,1)</f>
        <v>1.034360783260196</v>
      </c>
    </row>
    <row r="33" spans="2:11">
      <c r="B33" s="73" t="s">
        <v>66</v>
      </c>
      <c r="D33"/>
      <c r="E33"/>
      <c r="F33" s="95">
        <f>$C$32*F27/(1+$C$9)^F30</f>
        <v>580.69657530219888</v>
      </c>
      <c r="G33" s="95">
        <f>$C$32*G27/(1+$C$9)^G30</f>
        <v>626.48804975214102</v>
      </c>
      <c r="H33" s="95">
        <f>$C$32*H27/(1+$C$9)^H30</f>
        <v>649.14125392837559</v>
      </c>
      <c r="I33" s="95">
        <f>$C$32*I27/(1+$C$9)^I30</f>
        <v>641.96654633076128</v>
      </c>
      <c r="J33" s="95">
        <f>$C$32*J27/(1+$C$9)^J30</f>
        <v>645.83257996602845</v>
      </c>
    </row>
    <row r="34" spans="2:11">
      <c r="B34" s="28"/>
      <c r="C34" s="88"/>
      <c r="D34"/>
      <c r="E34"/>
      <c r="F34"/>
      <c r="G34"/>
      <c r="H34"/>
      <c r="I34"/>
      <c r="J34"/>
    </row>
    <row r="35" spans="2:11" ht="15.75" thickBot="1">
      <c r="B35" s="63" t="s">
        <v>67</v>
      </c>
      <c r="C35" s="61"/>
      <c r="D35"/>
      <c r="E35" s="63" t="s">
        <v>68</v>
      </c>
      <c r="F35" s="61"/>
      <c r="G35" s="61"/>
      <c r="H35" s="61"/>
      <c r="I35" s="61"/>
      <c r="J35" s="61"/>
    </row>
    <row r="36" spans="2:11" ht="17.25">
      <c r="B36" s="8" t="s">
        <v>107</v>
      </c>
      <c r="C36" s="40">
        <f>J18+SUM(J21:J22)</f>
        <v>869.59186662228853</v>
      </c>
      <c r="D36"/>
      <c r="E36" s="8" t="s">
        <v>69</v>
      </c>
      <c r="J36" s="85">
        <f>J15</f>
        <v>1226.8741190024368</v>
      </c>
    </row>
    <row r="37" spans="2:11">
      <c r="B37" s="8" t="s">
        <v>71</v>
      </c>
      <c r="C37" s="53">
        <v>0</v>
      </c>
      <c r="D37"/>
      <c r="E37" s="8" t="s">
        <v>70</v>
      </c>
      <c r="J37" s="74">
        <v>7.3</v>
      </c>
      <c r="K37" s="92"/>
    </row>
    <row r="38" spans="2:11">
      <c r="B38" s="8" t="s">
        <v>72</v>
      </c>
      <c r="C38" s="41">
        <f>C36/(C9-C37)</f>
        <v>12440.116249310173</v>
      </c>
      <c r="D38"/>
      <c r="E38" s="8" t="s">
        <v>72</v>
      </c>
      <c r="J38" s="41">
        <f>J36*J37</f>
        <v>8956.1810687177895</v>
      </c>
    </row>
    <row r="39" spans="2:11">
      <c r="B39" s="11" t="s">
        <v>73</v>
      </c>
      <c r="C39" s="41">
        <f>C32*C38/(1+C9)^J30</f>
        <v>9239.0840815660595</v>
      </c>
      <c r="D39"/>
      <c r="E39" s="11" t="s">
        <v>73</v>
      </c>
      <c r="J39" s="41">
        <f>C32*J38/(1+C9)^J30</f>
        <v>6651.6187055890487</v>
      </c>
    </row>
    <row r="40" spans="2:11">
      <c r="B40" s="25" t="s">
        <v>74</v>
      </c>
      <c r="C40" s="85">
        <f>SUM(F33:J33)</f>
        <v>3144.1250052795053</v>
      </c>
      <c r="D40"/>
      <c r="E40" s="25" t="s">
        <v>74</v>
      </c>
      <c r="J40" s="85">
        <f>C40</f>
        <v>3144.1250052795053</v>
      </c>
    </row>
    <row r="41" spans="2:11">
      <c r="B41" s="24" t="s">
        <v>75</v>
      </c>
      <c r="C41" s="57">
        <f>SUM(C39:C40)</f>
        <v>12383.209086845565</v>
      </c>
      <c r="D41"/>
      <c r="E41" s="24" t="s">
        <v>75</v>
      </c>
      <c r="J41" s="57">
        <f>SUM(J39:J40)</f>
        <v>9795.7437108685535</v>
      </c>
    </row>
    <row r="42" spans="2:11">
      <c r="B42" s="100" t="s">
        <v>108</v>
      </c>
      <c r="C42" s="91">
        <f>C38/J36</f>
        <v>10.139684305530178</v>
      </c>
      <c r="E42" s="100" t="s">
        <v>109</v>
      </c>
      <c r="F42" s="72"/>
      <c r="G42" s="72"/>
      <c r="H42" s="72"/>
      <c r="I42" s="72"/>
      <c r="J42" s="90">
        <f>(J38*C9-C36)/J38</f>
        <v>-2.7191817164527746E-2</v>
      </c>
    </row>
    <row r="43" spans="2:11">
      <c r="C43" s="57"/>
      <c r="E43" s="25"/>
      <c r="J43" s="88"/>
    </row>
    <row r="44" spans="2:11" ht="15.75" thickBot="1">
      <c r="B44" s="63" t="s">
        <v>95</v>
      </c>
      <c r="C44" s="93"/>
      <c r="D44"/>
      <c r="E44" s="63" t="s">
        <v>98</v>
      </c>
      <c r="F44" s="93"/>
      <c r="G44" s="93"/>
      <c r="H44" s="93"/>
      <c r="I44" s="93"/>
      <c r="J44" s="93"/>
    </row>
    <row r="45" spans="2:11" ht="17.25">
      <c r="B45" s="8" t="s">
        <v>31</v>
      </c>
      <c r="C45" s="67">
        <f>LBO!F346</f>
        <v>179.99999999999909</v>
      </c>
      <c r="D45"/>
      <c r="E45"/>
      <c r="F45"/>
      <c r="G45"/>
      <c r="H45" s="400" t="s">
        <v>335</v>
      </c>
      <c r="I45" s="94" t="s">
        <v>96</v>
      </c>
      <c r="J45" s="94" t="s">
        <v>28</v>
      </c>
    </row>
    <row r="46" spans="2:11">
      <c r="B46" s="25" t="s">
        <v>38</v>
      </c>
      <c r="C46" s="67">
        <f>LBO!F358+LBO!F361</f>
        <v>5190.2760000000017</v>
      </c>
      <c r="D46"/>
      <c r="E46" t="s">
        <v>97</v>
      </c>
      <c r="F46"/>
      <c r="G46"/>
      <c r="H46" s="41"/>
      <c r="I46" s="85">
        <f>C41</f>
        <v>12383.209086845565</v>
      </c>
      <c r="J46" s="85">
        <f>J41</f>
        <v>9795.7437108685535</v>
      </c>
    </row>
    <row r="47" spans="2:11">
      <c r="B47" s="52" t="s">
        <v>33</v>
      </c>
      <c r="C47" s="71">
        <f>C46-C45</f>
        <v>5010.2760000000026</v>
      </c>
      <c r="D47"/>
      <c r="E47" t="s">
        <v>76</v>
      </c>
      <c r="F47"/>
      <c r="G47"/>
      <c r="I47" s="85">
        <f>-C47</f>
        <v>-5010.2760000000026</v>
      </c>
      <c r="J47" s="85">
        <f>-C47</f>
        <v>-5010.2760000000026</v>
      </c>
    </row>
    <row r="48" spans="2:11">
      <c r="B48" s="25"/>
      <c r="C48" s="51"/>
      <c r="D48"/>
      <c r="E48" s="28" t="s">
        <v>77</v>
      </c>
      <c r="F48" s="28"/>
      <c r="G48" s="28"/>
      <c r="H48" s="399">
        <f>LBO!H17</f>
        <v>6741.9262500000004</v>
      </c>
      <c r="I48" s="57">
        <f>I46+I47</f>
        <v>7372.9330868455627</v>
      </c>
      <c r="J48" s="57">
        <f>J46+J47</f>
        <v>4785.467710868551</v>
      </c>
    </row>
    <row r="49" spans="2:10" ht="15.75" thickBot="1">
      <c r="B49" s="63" t="s">
        <v>80</v>
      </c>
      <c r="C49" s="61"/>
      <c r="D49"/>
      <c r="E49" s="25" t="s">
        <v>78</v>
      </c>
      <c r="H49" s="241">
        <f>LBO!H18</f>
        <v>145.77137837837839</v>
      </c>
      <c r="I49" s="398">
        <f>H49</f>
        <v>145.77137837837839</v>
      </c>
      <c r="J49" s="398">
        <f>$I$49</f>
        <v>145.77137837837839</v>
      </c>
    </row>
    <row r="50" spans="2:10">
      <c r="B50" s="76" t="s">
        <v>81</v>
      </c>
      <c r="C50" s="396">
        <v>0.08</v>
      </c>
      <c r="D50" s="11"/>
      <c r="E50" s="28" t="s">
        <v>79</v>
      </c>
      <c r="H50" s="75">
        <f>H48/H49</f>
        <v>46.25</v>
      </c>
      <c r="I50" s="75">
        <f>I48/I49</f>
        <v>50.578743021196246</v>
      </c>
      <c r="J50" s="75">
        <f>J48/J49</f>
        <v>32.82858242889715</v>
      </c>
    </row>
    <row r="51" spans="2:10">
      <c r="B51" s="11" t="s">
        <v>26</v>
      </c>
      <c r="C51" s="88">
        <f>J17</f>
        <v>0.2264547791540078</v>
      </c>
      <c r="D51" s="11"/>
      <c r="E51" s="100" t="s">
        <v>336</v>
      </c>
      <c r="H51" s="401" t="s">
        <v>269</v>
      </c>
      <c r="I51" s="88">
        <f>I50/$H$50-1</f>
        <v>9.3594443701540353E-2</v>
      </c>
      <c r="J51" s="88">
        <f>J50/$H$50-1</f>
        <v>-0.29019281234816974</v>
      </c>
    </row>
    <row r="52" spans="2:10">
      <c r="B52" s="25" t="s">
        <v>82</v>
      </c>
      <c r="C52" s="85">
        <f>MAX(C47,0)</f>
        <v>5010.2760000000026</v>
      </c>
      <c r="D52" s="11"/>
    </row>
    <row r="53" spans="2:10">
      <c r="B53" s="25" t="s">
        <v>83</v>
      </c>
      <c r="C53" s="397">
        <f>C52/LBO!H12</f>
        <v>0.7748616857223557</v>
      </c>
      <c r="D53"/>
      <c r="E53"/>
      <c r="F53"/>
      <c r="G53" s="244"/>
      <c r="H53"/>
      <c r="I53"/>
      <c r="J53"/>
    </row>
    <row r="54" spans="2:10">
      <c r="B54" s="25"/>
      <c r="C54" s="25"/>
      <c r="D54"/>
      <c r="G54" s="11"/>
      <c r="I54" s="11"/>
      <c r="J54" s="11"/>
    </row>
    <row r="55" spans="2:10">
      <c r="B55" s="8" t="s">
        <v>84</v>
      </c>
      <c r="C55" s="77">
        <v>2.5000000000000001E-2</v>
      </c>
      <c r="D55"/>
      <c r="G55" s="11"/>
      <c r="I55" s="11"/>
      <c r="J55" s="11"/>
    </row>
    <row r="56" spans="2:10">
      <c r="B56" s="8" t="s">
        <v>85</v>
      </c>
      <c r="C56" s="78">
        <v>1.45</v>
      </c>
      <c r="D56"/>
    </row>
    <row r="57" spans="2:10">
      <c r="B57" s="11" t="s">
        <v>86</v>
      </c>
      <c r="C57" s="79">
        <v>0.05</v>
      </c>
      <c r="D57"/>
    </row>
    <row r="58" spans="2:10">
      <c r="B58" s="25" t="s">
        <v>87</v>
      </c>
      <c r="C58" s="88">
        <f>1-C53</f>
        <v>0.2251383142776443</v>
      </c>
    </row>
    <row r="59" spans="2:10">
      <c r="B59" s="11" t="s">
        <v>88</v>
      </c>
      <c r="C59" s="88">
        <f>C50*(1-C51)*C53+(C55+C56*(C57))*C58</f>
        <v>6.9902229946646119E-2</v>
      </c>
    </row>
    <row r="61" spans="2:10" ht="15.75" thickBot="1">
      <c r="B61" s="63" t="s">
        <v>101</v>
      </c>
      <c r="C61" s="61"/>
      <c r="D61" s="61"/>
      <c r="E61" s="61"/>
      <c r="F61" s="61"/>
      <c r="G61" s="61"/>
      <c r="H61" s="61"/>
    </row>
    <row r="62" spans="2:10">
      <c r="B62" s="24"/>
      <c r="C62" s="11"/>
      <c r="D62" s="11"/>
      <c r="E62" s="11"/>
      <c r="F62" s="11"/>
      <c r="G62" s="11"/>
      <c r="H62" s="11"/>
    </row>
    <row r="63" spans="2:10" ht="17.25">
      <c r="B63" s="24"/>
      <c r="C63" s="112" t="s">
        <v>79</v>
      </c>
      <c r="D63" s="112"/>
      <c r="E63" s="112"/>
      <c r="F63" s="112"/>
      <c r="G63" s="112"/>
      <c r="H63" s="112"/>
    </row>
    <row r="64" spans="2:10">
      <c r="B64" s="11"/>
      <c r="C64" s="46"/>
      <c r="D64" s="62" t="s">
        <v>124</v>
      </c>
      <c r="E64" s="62"/>
      <c r="F64" s="62"/>
      <c r="G64" s="62"/>
      <c r="H64" s="62"/>
    </row>
    <row r="65" spans="2:8">
      <c r="B65" s="103"/>
      <c r="C65" s="111">
        <f>I50</f>
        <v>50.578743021196246</v>
      </c>
      <c r="D65" s="113">
        <f>E65-0.005</f>
        <v>1.9999999999999997E-2</v>
      </c>
      <c r="E65" s="114">
        <f>F65-0.005</f>
        <v>2.4999999999999998E-2</v>
      </c>
      <c r="F65" s="115">
        <v>0.03</v>
      </c>
      <c r="G65" s="114">
        <f>F65+0.005</f>
        <v>3.4999999999999996E-2</v>
      </c>
      <c r="H65" s="116">
        <f>G65+0.005</f>
        <v>3.9999999999999994E-2</v>
      </c>
    </row>
    <row r="66" spans="2:8">
      <c r="B66" s="11"/>
      <c r="C66" s="117">
        <v>0.13</v>
      </c>
      <c r="D66" s="89">
        <f t="dataTable" ref="D66:H71" dt2D="1" dtr="1" r1="C37" r2="C9" ca="1"/>
        <v>16.214846498925851</v>
      </c>
      <c r="E66" s="89">
        <v>17.722628787095843</v>
      </c>
      <c r="F66" s="89">
        <v>19.381189304082831</v>
      </c>
      <c r="G66" s="89">
        <v>21.21433513864741</v>
      </c>
      <c r="H66" s="89">
        <v>23.251163843719155</v>
      </c>
    </row>
    <row r="67" spans="2:8">
      <c r="B67" s="11"/>
      <c r="C67" s="118">
        <f>C66-0.01</f>
        <v>0.12000000000000001</v>
      </c>
      <c r="D67" s="89">
        <v>21.170844078772276</v>
      </c>
      <c r="E67" s="89">
        <v>23.077154365010248</v>
      </c>
      <c r="F67" s="89">
        <v>25.195276905274671</v>
      </c>
      <c r="G67" s="89">
        <v>27.562590332629</v>
      </c>
      <c r="H67" s="89">
        <v>30.225817938402642</v>
      </c>
    </row>
    <row r="68" spans="2:8">
      <c r="B68" s="103" t="s">
        <v>122</v>
      </c>
      <c r="C68" s="118">
        <f t="shared" ref="C68:C71" si="3">C67-0.01</f>
        <v>0.11000000000000001</v>
      </c>
      <c r="D68" s="89">
        <v>27.230962340067311</v>
      </c>
      <c r="E68" s="89">
        <v>29.693624141584277</v>
      </c>
      <c r="F68" s="89">
        <v>32.464118668290887</v>
      </c>
      <c r="G68" s="89">
        <v>35.604012465225033</v>
      </c>
      <c r="H68" s="89">
        <v>39.192462518864055</v>
      </c>
    </row>
    <row r="69" spans="2:8">
      <c r="B69" s="11"/>
      <c r="C69" s="118">
        <f t="shared" si="3"/>
        <v>0.10000000000000002</v>
      </c>
      <c r="D69" s="89">
        <v>34.809382638558411</v>
      </c>
      <c r="E69" s="89">
        <v>38.07690951359217</v>
      </c>
      <c r="F69" s="89">
        <v>41.811225942202192</v>
      </c>
      <c r="G69" s="89">
        <v>46.12005259059837</v>
      </c>
      <c r="H69" s="89">
        <v>51.147017013727236</v>
      </c>
    </row>
    <row r="70" spans="2:8">
      <c r="B70" s="11"/>
      <c r="C70" s="118">
        <f t="shared" si="3"/>
        <v>9.0000000000000024E-2</v>
      </c>
      <c r="D70" s="89">
        <v>44.556968531517576</v>
      </c>
      <c r="E70" s="89">
        <v>49.042575966681767</v>
      </c>
      <c r="F70" s="89">
        <v>54.275784641039976</v>
      </c>
      <c r="G70" s="89">
        <v>60.46048580164512</v>
      </c>
      <c r="H70" s="89">
        <v>67.882127194371321</v>
      </c>
    </row>
    <row r="71" spans="2:8">
      <c r="B71" s="11"/>
      <c r="C71" s="119">
        <f t="shared" si="3"/>
        <v>8.0000000000000029E-2</v>
      </c>
      <c r="D71" s="89">
        <v>57.558501368914605</v>
      </c>
      <c r="E71" s="89">
        <v>63.999332388893635</v>
      </c>
      <c r="F71" s="89">
        <v>71.728329612868492</v>
      </c>
      <c r="G71" s="89">
        <v>81.174881775504375</v>
      </c>
      <c r="H71" s="89">
        <v>92.983071978799273</v>
      </c>
    </row>
    <row r="72" spans="2:8">
      <c r="B72" s="11"/>
      <c r="C72" s="11"/>
      <c r="D72" s="89"/>
      <c r="E72" s="89"/>
      <c r="F72" s="89"/>
      <c r="G72" s="89"/>
      <c r="H72" s="89"/>
    </row>
    <row r="73" spans="2:8" ht="17.25">
      <c r="C73" s="112" t="s">
        <v>79</v>
      </c>
      <c r="D73" s="112"/>
      <c r="E73" s="112"/>
      <c r="F73" s="112"/>
      <c r="G73" s="112"/>
      <c r="H73" s="112"/>
    </row>
    <row r="74" spans="2:8">
      <c r="D74" s="62" t="s">
        <v>102</v>
      </c>
      <c r="E74" s="62"/>
      <c r="F74" s="62"/>
      <c r="G74" s="62"/>
      <c r="H74" s="62"/>
    </row>
    <row r="75" spans="2:8">
      <c r="C75" s="96">
        <f>J50</f>
        <v>32.82858242889715</v>
      </c>
      <c r="D75" s="120">
        <f>E75-0.5</f>
        <v>6.3</v>
      </c>
      <c r="E75" s="120">
        <f>F75-0.5</f>
        <v>6.8</v>
      </c>
      <c r="F75" s="121">
        <v>7.3</v>
      </c>
      <c r="G75" s="120">
        <f>F75+0.5</f>
        <v>7.8</v>
      </c>
      <c r="H75" s="122">
        <f>G75+0.5</f>
        <v>8.3000000000000007</v>
      </c>
    </row>
    <row r="76" spans="2:8">
      <c r="C76" s="123">
        <v>0.13</v>
      </c>
      <c r="D76" s="104">
        <f t="dataTable" ref="D76:H81" dt2D="1" dtr="1" r1="J37" r2="C9" ca="1"/>
        <v>15.509618526385106</v>
      </c>
      <c r="E76" s="89">
        <v>17.966618532657261</v>
      </c>
      <c r="F76" s="89">
        <v>20.423618538929404</v>
      </c>
      <c r="G76" s="89">
        <v>22.880618545201546</v>
      </c>
      <c r="H76" s="89">
        <v>25.33761855147371</v>
      </c>
    </row>
    <row r="77" spans="2:8">
      <c r="C77" s="124">
        <f>C76-0.01</f>
        <v>0.12000000000000001</v>
      </c>
      <c r="D77" s="104">
        <v>17.144751305211461</v>
      </c>
      <c r="E77" s="89">
        <v>19.699815008779776</v>
      </c>
      <c r="F77" s="89">
        <v>22.254878712348074</v>
      </c>
      <c r="G77" s="89">
        <v>24.809942415916371</v>
      </c>
      <c r="H77" s="89">
        <v>27.365006119484679</v>
      </c>
    </row>
    <row r="78" spans="2:8">
      <c r="B78" s="103" t="s">
        <v>122</v>
      </c>
      <c r="C78" s="124">
        <f t="shared" ref="C78:C81" si="4">C77-0.01</f>
        <v>0.11000000000000001</v>
      </c>
      <c r="D78" s="104">
        <v>18.856185410099481</v>
      </c>
      <c r="E78" s="89">
        <v>21.51415951294241</v>
      </c>
      <c r="F78" s="89">
        <v>24.172133615785331</v>
      </c>
      <c r="G78" s="89">
        <v>26.830107718628255</v>
      </c>
      <c r="H78" s="89">
        <v>29.488081821471177</v>
      </c>
    </row>
    <row r="79" spans="2:8">
      <c r="C79" s="124">
        <f t="shared" si="4"/>
        <v>0.10000000000000002</v>
      </c>
      <c r="D79" s="104">
        <v>20.648302515968922</v>
      </c>
      <c r="E79" s="89">
        <v>23.414320214613127</v>
      </c>
      <c r="F79" s="89">
        <v>26.180337913257336</v>
      </c>
      <c r="G79" s="89">
        <v>28.946355611901545</v>
      </c>
      <c r="H79" s="89">
        <v>31.712373310545765</v>
      </c>
    </row>
    <row r="80" spans="2:8">
      <c r="C80" s="124">
        <f t="shared" si="4"/>
        <v>9.0000000000000024E-2</v>
      </c>
      <c r="D80" s="104">
        <v>22.525781292677006</v>
      </c>
      <c r="E80" s="89">
        <v>25.405282040160639</v>
      </c>
      <c r="F80" s="89">
        <v>28.284782787644271</v>
      </c>
      <c r="G80" s="89">
        <v>31.16428353512789</v>
      </c>
      <c r="H80" s="89">
        <v>34.043784282611533</v>
      </c>
    </row>
    <row r="81" spans="2:8">
      <c r="C81" s="125">
        <f t="shared" si="4"/>
        <v>8.0000000000000029E-2</v>
      </c>
      <c r="D81" s="104">
        <v>24.493620602619814</v>
      </c>
      <c r="E81" s="89">
        <v>27.492371432260654</v>
      </c>
      <c r="F81" s="89">
        <v>30.491122261901491</v>
      </c>
      <c r="G81" s="89">
        <v>33.489873091542329</v>
      </c>
      <c r="H81" s="89">
        <v>36.488623921183198</v>
      </c>
    </row>
    <row r="82" spans="2:8">
      <c r="C82" s="11"/>
      <c r="D82" s="11"/>
    </row>
    <row r="83" spans="2:8" ht="17.25">
      <c r="C83" s="112" t="s">
        <v>79</v>
      </c>
      <c r="D83" s="112"/>
      <c r="E83" s="112"/>
      <c r="F83" s="112"/>
      <c r="G83" s="112"/>
      <c r="H83" s="112"/>
    </row>
    <row r="84" spans="2:8">
      <c r="C84" s="11"/>
      <c r="D84" s="62" t="s">
        <v>102</v>
      </c>
      <c r="E84" s="62"/>
      <c r="F84" s="62"/>
      <c r="G84" s="62"/>
      <c r="H84" s="62"/>
    </row>
    <row r="85" spans="2:8">
      <c r="C85" s="131" t="s">
        <v>106</v>
      </c>
      <c r="D85" s="99">
        <f>J50</f>
        <v>32.82858242889715</v>
      </c>
      <c r="E85" s="126">
        <f>F85-0.5</f>
        <v>6.3</v>
      </c>
      <c r="F85" s="120">
        <f>G85-0.5</f>
        <v>6.8</v>
      </c>
      <c r="G85" s="121">
        <v>7.3</v>
      </c>
      <c r="H85" s="122">
        <f>G85+0.5</f>
        <v>7.8</v>
      </c>
    </row>
    <row r="86" spans="2:8">
      <c r="C86" s="132">
        <v>0.8</v>
      </c>
      <c r="D86" s="127">
        <f>$D$88*C86</f>
        <v>981.71441382694945</v>
      </c>
      <c r="E86" s="89">
        <v>47.847573904648257</v>
      </c>
      <c r="F86" s="89">
        <v>49.911467476280642</v>
      </c>
      <c r="G86" s="89">
        <v>51.975361047913033</v>
      </c>
      <c r="H86" s="89">
        <v>54.039254619545417</v>
      </c>
    </row>
    <row r="87" spans="2:8">
      <c r="C87" s="133">
        <f>C86+0.1</f>
        <v>0.9</v>
      </c>
      <c r="D87" s="128">
        <f>$D$88*C87</f>
        <v>1104.4287155553181</v>
      </c>
      <c r="E87" s="89">
        <v>51.098206279969276</v>
      </c>
      <c r="F87" s="89">
        <v>53.420086548055707</v>
      </c>
      <c r="G87" s="89">
        <v>55.741966816142146</v>
      </c>
      <c r="H87" s="89">
        <v>58.063847084228584</v>
      </c>
    </row>
    <row r="88" spans="2:8">
      <c r="C88" s="133">
        <f t="shared" ref="C88:C91" si="5">C87+0.1</f>
        <v>1</v>
      </c>
      <c r="D88" s="129">
        <v>1227.1430172836867</v>
      </c>
      <c r="E88" s="89">
        <v>54.348838655290272</v>
      </c>
      <c r="F88" s="89">
        <v>56.928705619830765</v>
      </c>
      <c r="G88" s="89">
        <v>59.508572584371251</v>
      </c>
      <c r="H88" s="89">
        <v>62.08843954891173</v>
      </c>
    </row>
    <row r="89" spans="2:8">
      <c r="C89" s="133">
        <f t="shared" si="5"/>
        <v>1.1000000000000001</v>
      </c>
      <c r="D89" s="128">
        <f>$D$88*C89</f>
        <v>1349.8573190120555</v>
      </c>
      <c r="E89" s="89">
        <v>57.599471030611284</v>
      </c>
      <c r="F89" s="89">
        <v>60.437324691605831</v>
      </c>
      <c r="G89" s="89">
        <v>63.275178352600363</v>
      </c>
      <c r="H89" s="89">
        <v>66.113032013594903</v>
      </c>
    </row>
    <row r="90" spans="2:8">
      <c r="C90" s="133">
        <f t="shared" si="5"/>
        <v>1.2000000000000002</v>
      </c>
      <c r="D90" s="128">
        <f>$D$88*C90</f>
        <v>1472.5716207404244</v>
      </c>
      <c r="E90" s="89">
        <v>60.850103405932316</v>
      </c>
      <c r="F90" s="89">
        <v>63.945943763380896</v>
      </c>
      <c r="G90" s="89">
        <v>67.04178412082949</v>
      </c>
      <c r="H90" s="89">
        <v>70.137624478278056</v>
      </c>
    </row>
    <row r="91" spans="2:8">
      <c r="C91" s="133">
        <f t="shared" si="5"/>
        <v>1.3000000000000003</v>
      </c>
      <c r="D91" s="130">
        <f>$D$88*C91</f>
        <v>1595.2859224687932</v>
      </c>
      <c r="E91" s="89">
        <f t="dataTable" ref="E91:H91" dt2D="1" dtr="1" r1="J37" r2="J36"/>
        <v>1472.5716207404244</v>
      </c>
      <c r="F91" s="89">
        <v>1472.5716207404244</v>
      </c>
      <c r="G91" s="89">
        <v>1472.5716207404244</v>
      </c>
      <c r="H91" s="89">
        <v>1472.5716207404244</v>
      </c>
    </row>
    <row r="93" spans="2:8" ht="15.75" thickBot="1">
      <c r="B93" s="63" t="s">
        <v>121</v>
      </c>
      <c r="C93" s="61"/>
      <c r="D93" s="61"/>
      <c r="E93" s="61"/>
      <c r="F93" s="11"/>
    </row>
    <row r="94" spans="2:8">
      <c r="F94" s="11"/>
    </row>
    <row r="114" spans="2:5">
      <c r="B114" s="108"/>
      <c r="C114" s="109" t="s">
        <v>111</v>
      </c>
      <c r="D114" s="109" t="s">
        <v>112</v>
      </c>
      <c r="E114" s="110" t="s">
        <v>110</v>
      </c>
    </row>
    <row r="115" spans="2:5">
      <c r="B115" s="105" t="str">
        <f>"DCF Value at "&amp;TEXT(D75,"0.0x")&amp;"-"&amp;TEXT(H75,"0.0x")&amp;" Exit EBITDA Range"</f>
        <v>DCF Value at 6.3x-8.3x Exit EBITDA Range</v>
      </c>
      <c r="C115" s="104">
        <f>D79</f>
        <v>20.648302515968922</v>
      </c>
      <c r="D115" s="104">
        <f>E115-C115</f>
        <v>11.064070794576843</v>
      </c>
      <c r="E115" s="308">
        <f>H79</f>
        <v>31.712373310545765</v>
      </c>
    </row>
    <row r="116" spans="2:5">
      <c r="B116" s="102" t="str">
        <f>"DCF Value at "&amp;TEXT(D65,"0.0%")&amp;"-"&amp;TEXT(H65,"0.0%")&amp;" Perpetuity Range"</f>
        <v>DCF Value at 2.0%-4.0% Perpetuity Range</v>
      </c>
      <c r="C116" s="104">
        <f>D69</f>
        <v>34.809382638558411</v>
      </c>
      <c r="D116" s="104">
        <f>E116-C116</f>
        <v>16.337634375168825</v>
      </c>
      <c r="E116" s="308">
        <f>H69</f>
        <v>51.147017013727236</v>
      </c>
    </row>
    <row r="117" spans="2:5">
      <c r="B117" s="102" t="str">
        <f>"LBO Value at "&amp;TEXT(LBO!E281,"0.0%")&amp;"-"&amp;TEXT(LBO!I281,"0.0%")&amp;" Sponsor Hurdle Rate"</f>
        <v>LBO Value at 15.0%-35.0% Sponsor Hurdle Rate</v>
      </c>
      <c r="C117" s="89">
        <f ca="1">LBO!I284</f>
        <v>45.451042946760261</v>
      </c>
      <c r="D117" s="104">
        <f ca="1">E117-C117</f>
        <v>13.019681990066729</v>
      </c>
      <c r="E117" s="308">
        <f ca="1">LBO!E284</f>
        <v>58.470727202802323</v>
      </c>
    </row>
    <row r="118" spans="2:5">
      <c r="B118" s="106" t="s">
        <v>120</v>
      </c>
      <c r="C118" s="309">
        <f>'52wkHL'!E5</f>
        <v>37.51</v>
      </c>
      <c r="D118" s="309">
        <f>E118-C118</f>
        <v>8.82</v>
      </c>
      <c r="E118" s="310">
        <f>'52wkHL'!E4</f>
        <v>46.33</v>
      </c>
    </row>
  </sheetData>
  <conditionalFormatting sqref="D66:H71">
    <cfRule type="cellIs" dxfId="2" priority="3" operator="lessThan">
      <formula>$C$6</formula>
    </cfRule>
  </conditionalFormatting>
  <conditionalFormatting sqref="D76:H81">
    <cfRule type="cellIs" dxfId="1" priority="2" operator="lessThan">
      <formula>$C$6</formula>
    </cfRule>
  </conditionalFormatting>
  <conditionalFormatting sqref="E86:H91">
    <cfRule type="cellIs" dxfId="0" priority="1" operator="lessThan">
      <formula>$C$6</formula>
    </cfRule>
  </conditionalFormatting>
  <dataValidations disablePrompts="1" count="1">
    <dataValidation type="list" allowBlank="1" showInputMessage="1" showErrorMessage="1" sqref="C31">
      <formula1>"End of period,Middle of period"</formula1>
    </dataValidation>
  </dataValidations>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E28"/>
  <sheetViews>
    <sheetView zoomScaleNormal="100" workbookViewId="0"/>
  </sheetViews>
  <sheetFormatPr defaultRowHeight="15"/>
  <cols>
    <col min="1" max="1" width="1.7109375" customWidth="1"/>
    <col min="2" max="2" width="36.5703125" bestFit="1" customWidth="1"/>
    <col min="3" max="5" width="15.85546875" customWidth="1"/>
  </cols>
  <sheetData>
    <row r="1" spans="2:5" ht="15.75" thickBot="1"/>
    <row r="2" spans="2:5" ht="27" thickBot="1">
      <c r="B2" s="1" t="str">
        <f>"Diluted shares for "&amp;LBO!D6</f>
        <v>Diluted shares for BMC</v>
      </c>
      <c r="C2" s="9"/>
      <c r="D2" s="9"/>
      <c r="E2" s="305"/>
    </row>
    <row r="3" spans="2:5">
      <c r="B3" s="302" t="str">
        <f>LBO!B3</f>
        <v>$ mm except per share</v>
      </c>
      <c r="C3" s="8"/>
    </row>
    <row r="4" spans="2:5">
      <c r="B4" s="34"/>
      <c r="C4" s="8"/>
    </row>
    <row r="5" spans="2:5">
      <c r="B5" s="34" t="s">
        <v>245</v>
      </c>
      <c r="C5" s="8"/>
      <c r="E5" s="245">
        <v>46.25</v>
      </c>
    </row>
    <row r="6" spans="2:5">
      <c r="B6" s="304" t="s">
        <v>306</v>
      </c>
      <c r="C6" s="8"/>
      <c r="E6" s="303">
        <f>LBO!H20</f>
        <v>46.25</v>
      </c>
    </row>
    <row r="7" spans="2:5">
      <c r="B7" s="139" t="s">
        <v>249</v>
      </c>
      <c r="E7" s="134">
        <v>143.97300000000001</v>
      </c>
    </row>
    <row r="8" spans="2:5">
      <c r="B8" s="34" t="s">
        <v>100</v>
      </c>
      <c r="C8" s="8"/>
      <c r="E8" s="206">
        <f>E28</f>
        <v>10.7</v>
      </c>
    </row>
    <row r="9" spans="2:5">
      <c r="B9" s="30" t="s">
        <v>89</v>
      </c>
      <c r="C9" s="8"/>
      <c r="E9" s="243">
        <f>SUMPRODUCT(D18:D27,E18:E27)</f>
        <v>411.70000000000005</v>
      </c>
    </row>
    <row r="10" spans="2:5">
      <c r="B10" s="30" t="s">
        <v>90</v>
      </c>
      <c r="C10" s="8"/>
      <c r="E10" s="243">
        <f>E9/E5</f>
        <v>8.9016216216216222</v>
      </c>
    </row>
    <row r="11" spans="2:5">
      <c r="B11" s="30" t="s">
        <v>91</v>
      </c>
      <c r="C11" s="8"/>
      <c r="E11" s="243">
        <f>E8-E10</f>
        <v>1.7983783783783771</v>
      </c>
    </row>
    <row r="12" spans="2:5">
      <c r="B12" s="30" t="s">
        <v>92</v>
      </c>
      <c r="C12" s="8"/>
      <c r="E12" s="134">
        <v>0</v>
      </c>
    </row>
    <row r="13" spans="2:5">
      <c r="B13" s="30"/>
      <c r="C13" s="8"/>
      <c r="E13" s="134"/>
    </row>
    <row r="14" spans="2:5">
      <c r="B14" s="45" t="s">
        <v>93</v>
      </c>
      <c r="C14" s="8"/>
      <c r="D14" s="138"/>
      <c r="E14" s="243">
        <f>E7+E11+E12</f>
        <v>145.77137837837839</v>
      </c>
    </row>
    <row r="15" spans="2:5">
      <c r="B15" s="45"/>
      <c r="C15" s="8"/>
      <c r="D15" s="138"/>
      <c r="E15" s="243"/>
    </row>
    <row r="16" spans="2:5">
      <c r="B16" s="151" t="s">
        <v>286</v>
      </c>
      <c r="C16" s="15"/>
      <c r="D16" s="247"/>
      <c r="E16" s="107"/>
    </row>
    <row r="17" spans="2:5">
      <c r="C17" s="155" t="s">
        <v>246</v>
      </c>
      <c r="D17" s="155" t="s">
        <v>99</v>
      </c>
      <c r="E17" s="242" t="s">
        <v>247</v>
      </c>
    </row>
    <row r="18" spans="2:5">
      <c r="B18" s="297">
        <v>1</v>
      </c>
      <c r="C18" s="298">
        <v>0.2</v>
      </c>
      <c r="D18" s="298">
        <v>15</v>
      </c>
      <c r="E18" s="299">
        <f>IF(D18&lt;$E$5,C18)</f>
        <v>0.2</v>
      </c>
    </row>
    <row r="19" spans="2:5">
      <c r="B19" s="297">
        <f>B18+1</f>
        <v>2</v>
      </c>
      <c r="C19" s="298">
        <v>0.7</v>
      </c>
      <c r="D19" s="298">
        <v>18</v>
      </c>
      <c r="E19" s="299">
        <f t="shared" ref="E19:E27" si="0">IF(D19&lt;$E$5,C19)</f>
        <v>0.7</v>
      </c>
    </row>
    <row r="20" spans="2:5">
      <c r="B20" s="297">
        <f t="shared" ref="B20:B24" si="1">B19+1</f>
        <v>3</v>
      </c>
      <c r="C20" s="298">
        <v>0.1</v>
      </c>
      <c r="D20" s="298">
        <v>22</v>
      </c>
      <c r="E20" s="299">
        <f t="shared" si="0"/>
        <v>0.1</v>
      </c>
    </row>
    <row r="21" spans="2:5">
      <c r="B21" s="297">
        <f t="shared" si="1"/>
        <v>4</v>
      </c>
      <c r="C21" s="298">
        <v>0.3</v>
      </c>
      <c r="D21" s="298">
        <v>28</v>
      </c>
      <c r="E21" s="299">
        <f t="shared" si="0"/>
        <v>0.3</v>
      </c>
    </row>
    <row r="22" spans="2:5">
      <c r="B22" s="297">
        <f t="shared" si="1"/>
        <v>5</v>
      </c>
      <c r="C22" s="298">
        <v>0.3</v>
      </c>
      <c r="D22" s="298">
        <v>32</v>
      </c>
      <c r="E22" s="299">
        <f t="shared" si="0"/>
        <v>0.3</v>
      </c>
    </row>
    <row r="23" spans="2:5">
      <c r="B23" s="297">
        <f t="shared" si="1"/>
        <v>6</v>
      </c>
      <c r="C23" s="298">
        <v>0.4</v>
      </c>
      <c r="D23" s="298">
        <v>36</v>
      </c>
      <c r="E23" s="299">
        <f t="shared" si="0"/>
        <v>0.4</v>
      </c>
    </row>
    <row r="24" spans="2:5">
      <c r="B24" s="297">
        <f t="shared" si="1"/>
        <v>7</v>
      </c>
      <c r="C24" s="298">
        <v>1.3</v>
      </c>
      <c r="D24" s="298">
        <v>39</v>
      </c>
      <c r="E24" s="299">
        <f t="shared" si="0"/>
        <v>1.3</v>
      </c>
    </row>
    <row r="25" spans="2:5">
      <c r="B25" s="297">
        <f t="shared" ref="B25:B26" si="2">B24+1</f>
        <v>8</v>
      </c>
      <c r="C25" s="298">
        <v>7.4</v>
      </c>
      <c r="D25" s="298">
        <v>42</v>
      </c>
      <c r="E25" s="299">
        <f t="shared" si="0"/>
        <v>7.4</v>
      </c>
    </row>
    <row r="26" spans="2:5">
      <c r="B26" s="297">
        <f t="shared" si="2"/>
        <v>9</v>
      </c>
      <c r="C26" s="298"/>
      <c r="D26" s="298"/>
      <c r="E26" s="299">
        <f t="shared" si="0"/>
        <v>0</v>
      </c>
    </row>
    <row r="27" spans="2:5">
      <c r="B27" s="297">
        <f t="shared" ref="B27" si="3">B26+1</f>
        <v>10</v>
      </c>
      <c r="C27" s="298"/>
      <c r="D27" s="298"/>
      <c r="E27" s="300">
        <f t="shared" si="0"/>
        <v>0</v>
      </c>
    </row>
    <row r="28" spans="2:5">
      <c r="E28" s="301">
        <f>SUM(E18:E27)</f>
        <v>10.7</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268"/>
  <sheetViews>
    <sheetView zoomScaleNormal="100" workbookViewId="0"/>
  </sheetViews>
  <sheetFormatPr defaultRowHeight="15"/>
  <cols>
    <col min="1" max="1" width="19.42578125" bestFit="1" customWidth="1"/>
    <col min="2" max="5" width="9.28515625" bestFit="1" customWidth="1"/>
    <col min="6" max="6" width="10" bestFit="1" customWidth="1"/>
    <col min="9" max="9" width="9.28515625" bestFit="1" customWidth="1"/>
  </cols>
  <sheetData>
    <row r="2" spans="1:6" ht="18" thickBot="1">
      <c r="A2" s="101" t="s">
        <v>113</v>
      </c>
      <c r="B2" s="93"/>
      <c r="C2" s="93"/>
      <c r="D2" s="93"/>
      <c r="E2" s="93"/>
      <c r="F2" s="93"/>
    </row>
    <row r="4" spans="1:6">
      <c r="A4" t="s">
        <v>114</v>
      </c>
      <c r="E4" s="28">
        <f>MAX(E8:E268)</f>
        <v>46.33</v>
      </c>
    </row>
    <row r="5" spans="1:6">
      <c r="A5" t="s">
        <v>115</v>
      </c>
      <c r="E5" s="28">
        <f>MIN(E8:E268)</f>
        <v>37.51</v>
      </c>
    </row>
    <row r="7" spans="1:6">
      <c r="A7" t="s">
        <v>116</v>
      </c>
      <c r="B7" t="s">
        <v>117</v>
      </c>
      <c r="C7" t="s">
        <v>110</v>
      </c>
      <c r="D7" t="s">
        <v>111</v>
      </c>
      <c r="E7" s="28" t="s">
        <v>118</v>
      </c>
      <c r="F7" t="s">
        <v>119</v>
      </c>
    </row>
    <row r="8" spans="1:6">
      <c r="A8" s="84">
        <v>41400</v>
      </c>
      <c r="B8">
        <v>45.5</v>
      </c>
      <c r="C8">
        <v>45.71</v>
      </c>
      <c r="D8">
        <v>45.07</v>
      </c>
      <c r="E8" s="28">
        <v>45.42</v>
      </c>
      <c r="F8">
        <v>34229100</v>
      </c>
    </row>
    <row r="9" spans="1:6">
      <c r="A9" s="84">
        <v>41397</v>
      </c>
      <c r="B9">
        <v>45.67</v>
      </c>
      <c r="C9">
        <v>45.77</v>
      </c>
      <c r="D9">
        <v>45.35</v>
      </c>
      <c r="E9" s="28">
        <v>45.42</v>
      </c>
      <c r="F9">
        <v>2058200</v>
      </c>
    </row>
    <row r="10" spans="1:6">
      <c r="A10" s="84">
        <v>41396</v>
      </c>
      <c r="B10">
        <v>45.45</v>
      </c>
      <c r="C10">
        <v>45.49</v>
      </c>
      <c r="D10">
        <v>44.97</v>
      </c>
      <c r="E10" s="28">
        <v>45.24</v>
      </c>
      <c r="F10">
        <v>3022300</v>
      </c>
    </row>
    <row r="11" spans="1:6">
      <c r="A11" s="84">
        <v>41395</v>
      </c>
      <c r="B11">
        <v>45.84</v>
      </c>
      <c r="C11">
        <v>45.96</v>
      </c>
      <c r="D11">
        <v>45.25</v>
      </c>
      <c r="E11" s="28">
        <v>45.39</v>
      </c>
      <c r="F11">
        <v>2306800</v>
      </c>
    </row>
    <row r="12" spans="1:6">
      <c r="A12" s="84">
        <v>41394</v>
      </c>
      <c r="B12">
        <v>45.34</v>
      </c>
      <c r="C12">
        <v>45.52</v>
      </c>
      <c r="D12">
        <v>45.17</v>
      </c>
      <c r="E12" s="28">
        <v>45.48</v>
      </c>
      <c r="F12">
        <v>2096700</v>
      </c>
    </row>
    <row r="13" spans="1:6">
      <c r="A13" s="84">
        <v>41393</v>
      </c>
      <c r="B13">
        <v>45.5</v>
      </c>
      <c r="C13">
        <v>45.7</v>
      </c>
      <c r="D13">
        <v>45.28</v>
      </c>
      <c r="E13" s="28">
        <v>45.43</v>
      </c>
      <c r="F13">
        <v>2294400</v>
      </c>
    </row>
    <row r="14" spans="1:6">
      <c r="A14" s="84">
        <v>41390</v>
      </c>
      <c r="B14">
        <v>45.68</v>
      </c>
      <c r="C14">
        <v>45.86</v>
      </c>
      <c r="D14">
        <v>45.53</v>
      </c>
      <c r="E14" s="28">
        <v>45.6</v>
      </c>
      <c r="F14">
        <v>1694700</v>
      </c>
    </row>
    <row r="15" spans="1:6">
      <c r="A15" s="84">
        <v>41389</v>
      </c>
      <c r="B15">
        <v>45.07</v>
      </c>
      <c r="C15">
        <v>45.83</v>
      </c>
      <c r="D15">
        <v>44.87</v>
      </c>
      <c r="E15" s="28">
        <v>45.69</v>
      </c>
      <c r="F15">
        <v>2360900</v>
      </c>
    </row>
    <row r="16" spans="1:6">
      <c r="A16" s="84">
        <v>41388</v>
      </c>
      <c r="B16">
        <v>45</v>
      </c>
      <c r="C16">
        <v>45.62</v>
      </c>
      <c r="D16">
        <v>44.22</v>
      </c>
      <c r="E16" s="28">
        <v>44.9</v>
      </c>
      <c r="F16">
        <v>6814000</v>
      </c>
    </row>
    <row r="17" spans="1:6">
      <c r="A17" s="84">
        <v>41387</v>
      </c>
      <c r="B17">
        <v>44.05</v>
      </c>
      <c r="C17">
        <v>44.29</v>
      </c>
      <c r="D17">
        <v>43.66</v>
      </c>
      <c r="E17" s="28">
        <v>44.13</v>
      </c>
      <c r="F17">
        <v>2856300</v>
      </c>
    </row>
    <row r="18" spans="1:6">
      <c r="A18" s="84">
        <v>41386</v>
      </c>
      <c r="B18">
        <v>44.08</v>
      </c>
      <c r="C18">
        <v>44.09</v>
      </c>
      <c r="D18">
        <v>43.41</v>
      </c>
      <c r="E18" s="28">
        <v>43.88</v>
      </c>
      <c r="F18">
        <v>1078900</v>
      </c>
    </row>
    <row r="19" spans="1:6">
      <c r="A19" s="84">
        <v>41383</v>
      </c>
      <c r="B19">
        <v>43.56</v>
      </c>
      <c r="C19">
        <v>44.08</v>
      </c>
      <c r="D19">
        <v>43.3</v>
      </c>
      <c r="E19" s="28">
        <v>43.86</v>
      </c>
      <c r="F19">
        <v>1367800</v>
      </c>
    </row>
    <row r="20" spans="1:6">
      <c r="A20" s="84">
        <v>41382</v>
      </c>
      <c r="B20">
        <v>44.21</v>
      </c>
      <c r="C20">
        <v>44.25</v>
      </c>
      <c r="D20">
        <v>43.44</v>
      </c>
      <c r="E20" s="28">
        <v>43.75</v>
      </c>
      <c r="F20">
        <v>1451300</v>
      </c>
    </row>
    <row r="21" spans="1:6">
      <c r="A21" s="84">
        <v>41381</v>
      </c>
      <c r="B21">
        <v>44.51</v>
      </c>
      <c r="C21">
        <v>44.68</v>
      </c>
      <c r="D21">
        <v>43.54</v>
      </c>
      <c r="E21" s="28">
        <v>44.03</v>
      </c>
      <c r="F21">
        <v>2156400</v>
      </c>
    </row>
    <row r="22" spans="1:6">
      <c r="A22" s="84">
        <v>41380</v>
      </c>
      <c r="B22">
        <v>44.59</v>
      </c>
      <c r="C22">
        <v>45.03</v>
      </c>
      <c r="D22">
        <v>44.5</v>
      </c>
      <c r="E22" s="28">
        <v>44.88</v>
      </c>
      <c r="F22">
        <v>1223400</v>
      </c>
    </row>
    <row r="23" spans="1:6">
      <c r="A23" s="84">
        <v>41379</v>
      </c>
      <c r="B23">
        <v>44.9</v>
      </c>
      <c r="C23">
        <v>45</v>
      </c>
      <c r="D23">
        <v>44.32</v>
      </c>
      <c r="E23" s="28">
        <v>44.32</v>
      </c>
      <c r="F23">
        <v>1273900</v>
      </c>
    </row>
    <row r="24" spans="1:6">
      <c r="A24" s="84">
        <v>41376</v>
      </c>
      <c r="B24">
        <v>45.02</v>
      </c>
      <c r="C24">
        <v>45.02</v>
      </c>
      <c r="D24">
        <v>44.65</v>
      </c>
      <c r="E24" s="28">
        <v>44.93</v>
      </c>
      <c r="F24">
        <v>1566600</v>
      </c>
    </row>
    <row r="25" spans="1:6">
      <c r="A25" s="84">
        <v>41375</v>
      </c>
      <c r="B25">
        <v>44.72</v>
      </c>
      <c r="C25">
        <v>45.65</v>
      </c>
      <c r="D25">
        <v>44.53</v>
      </c>
      <c r="E25" s="28">
        <v>45.02</v>
      </c>
      <c r="F25">
        <v>4248900</v>
      </c>
    </row>
    <row r="26" spans="1:6">
      <c r="A26" s="84">
        <v>41374</v>
      </c>
      <c r="B26">
        <v>44.45</v>
      </c>
      <c r="C26">
        <v>44.93</v>
      </c>
      <c r="D26">
        <v>44.37</v>
      </c>
      <c r="E26" s="28">
        <v>44.75</v>
      </c>
      <c r="F26">
        <v>2023200</v>
      </c>
    </row>
    <row r="27" spans="1:6">
      <c r="A27" s="84">
        <v>41373</v>
      </c>
      <c r="B27">
        <v>44.5</v>
      </c>
      <c r="C27">
        <v>44.62</v>
      </c>
      <c r="D27">
        <v>43.98</v>
      </c>
      <c r="E27" s="28">
        <v>44.34</v>
      </c>
      <c r="F27">
        <v>1952800</v>
      </c>
    </row>
    <row r="28" spans="1:6">
      <c r="A28" s="84">
        <v>41372</v>
      </c>
      <c r="B28">
        <v>45.05</v>
      </c>
      <c r="C28">
        <v>45.1</v>
      </c>
      <c r="D28">
        <v>44.42</v>
      </c>
      <c r="E28" s="28">
        <v>44.45</v>
      </c>
      <c r="F28">
        <v>1625500</v>
      </c>
    </row>
    <row r="29" spans="1:6">
      <c r="A29" s="84">
        <v>41369</v>
      </c>
      <c r="B29">
        <v>44.55</v>
      </c>
      <c r="C29">
        <v>45.28</v>
      </c>
      <c r="D29">
        <v>44.03</v>
      </c>
      <c r="E29" s="28">
        <v>45.11</v>
      </c>
      <c r="F29">
        <v>1635700</v>
      </c>
    </row>
    <row r="30" spans="1:6">
      <c r="A30" s="84">
        <v>41368</v>
      </c>
      <c r="B30">
        <v>45.42</v>
      </c>
      <c r="C30">
        <v>45.59</v>
      </c>
      <c r="D30">
        <v>44.93</v>
      </c>
      <c r="E30" s="28">
        <v>45.14</v>
      </c>
      <c r="F30">
        <v>1004100</v>
      </c>
    </row>
    <row r="31" spans="1:6">
      <c r="A31" s="84">
        <v>41367</v>
      </c>
      <c r="B31">
        <v>46.09</v>
      </c>
      <c r="C31">
        <v>46.3</v>
      </c>
      <c r="D31">
        <v>45.07</v>
      </c>
      <c r="E31" s="28">
        <v>45.44</v>
      </c>
      <c r="F31">
        <v>1471300</v>
      </c>
    </row>
    <row r="32" spans="1:6">
      <c r="A32" s="84">
        <v>41366</v>
      </c>
      <c r="B32">
        <v>46.19</v>
      </c>
      <c r="C32">
        <v>46.49</v>
      </c>
      <c r="D32">
        <v>46.03</v>
      </c>
      <c r="E32" s="28">
        <v>46.06</v>
      </c>
      <c r="F32">
        <v>1169600</v>
      </c>
    </row>
    <row r="33" spans="1:6">
      <c r="A33" s="84">
        <v>41365</v>
      </c>
      <c r="B33">
        <v>46.29</v>
      </c>
      <c r="C33">
        <v>46.5</v>
      </c>
      <c r="D33">
        <v>45.87</v>
      </c>
      <c r="E33" s="28">
        <v>46.02</v>
      </c>
      <c r="F33">
        <v>1124600</v>
      </c>
    </row>
    <row r="34" spans="1:6">
      <c r="A34" s="84">
        <v>41362</v>
      </c>
      <c r="B34">
        <v>46.33</v>
      </c>
      <c r="C34">
        <v>46.33</v>
      </c>
      <c r="D34">
        <v>46.33</v>
      </c>
      <c r="E34" s="28">
        <v>46.33</v>
      </c>
      <c r="F34">
        <v>0</v>
      </c>
    </row>
    <row r="35" spans="1:6">
      <c r="A35" s="84">
        <v>41361</v>
      </c>
      <c r="B35">
        <v>45.61</v>
      </c>
      <c r="C35">
        <v>46.48</v>
      </c>
      <c r="D35">
        <v>45.61</v>
      </c>
      <c r="E35" s="28">
        <v>46.33</v>
      </c>
      <c r="F35">
        <v>1145800</v>
      </c>
    </row>
    <row r="36" spans="1:6">
      <c r="A36" s="84">
        <v>41360</v>
      </c>
      <c r="B36">
        <v>45.63</v>
      </c>
      <c r="C36">
        <v>45.92</v>
      </c>
      <c r="D36">
        <v>45.25</v>
      </c>
      <c r="E36" s="28">
        <v>45.73</v>
      </c>
      <c r="F36">
        <v>1127000</v>
      </c>
    </row>
    <row r="37" spans="1:6">
      <c r="A37" s="84">
        <v>41359</v>
      </c>
      <c r="B37">
        <v>45.86</v>
      </c>
      <c r="C37">
        <v>46.18</v>
      </c>
      <c r="D37">
        <v>45.66</v>
      </c>
      <c r="E37" s="28">
        <v>45.78</v>
      </c>
      <c r="F37">
        <v>1283100</v>
      </c>
    </row>
    <row r="38" spans="1:6">
      <c r="A38" s="84">
        <v>41358</v>
      </c>
      <c r="B38">
        <v>45.95</v>
      </c>
      <c r="C38">
        <v>46.05</v>
      </c>
      <c r="D38">
        <v>45.49</v>
      </c>
      <c r="E38" s="28">
        <v>45.7</v>
      </c>
      <c r="F38">
        <v>1757200</v>
      </c>
    </row>
    <row r="39" spans="1:6">
      <c r="A39" s="84">
        <v>41355</v>
      </c>
      <c r="B39">
        <v>45.49</v>
      </c>
      <c r="C39">
        <v>45.93</v>
      </c>
      <c r="D39">
        <v>45.39</v>
      </c>
      <c r="E39" s="28">
        <v>45.74</v>
      </c>
      <c r="F39">
        <v>2110000</v>
      </c>
    </row>
    <row r="40" spans="1:6">
      <c r="A40" s="84">
        <v>41354</v>
      </c>
      <c r="B40">
        <v>43.61</v>
      </c>
      <c r="C40">
        <v>47.98</v>
      </c>
      <c r="D40">
        <v>43.5</v>
      </c>
      <c r="E40" s="28">
        <v>45.48</v>
      </c>
      <c r="F40">
        <v>6592300</v>
      </c>
    </row>
    <row r="41" spans="1:6">
      <c r="A41" s="84">
        <v>41353</v>
      </c>
      <c r="B41">
        <v>44.03</v>
      </c>
      <c r="C41">
        <v>44.45</v>
      </c>
      <c r="D41">
        <v>43.83</v>
      </c>
      <c r="E41" s="28">
        <v>43.99</v>
      </c>
      <c r="F41">
        <v>914200</v>
      </c>
    </row>
    <row r="42" spans="1:6">
      <c r="A42" s="84">
        <v>41352</v>
      </c>
      <c r="B42">
        <v>44.09</v>
      </c>
      <c r="C42">
        <v>44.16</v>
      </c>
      <c r="D42">
        <v>43.4</v>
      </c>
      <c r="E42" s="28">
        <v>43.68</v>
      </c>
      <c r="F42">
        <v>1214500</v>
      </c>
    </row>
    <row r="43" spans="1:6">
      <c r="A43" s="84">
        <v>41351</v>
      </c>
      <c r="B43">
        <v>43.65</v>
      </c>
      <c r="C43">
        <v>44.4</v>
      </c>
      <c r="D43">
        <v>43.56</v>
      </c>
      <c r="E43" s="28">
        <v>43.98</v>
      </c>
      <c r="F43">
        <v>1173700</v>
      </c>
    </row>
    <row r="44" spans="1:6">
      <c r="A44" s="84">
        <v>41348</v>
      </c>
      <c r="B44">
        <v>44.12</v>
      </c>
      <c r="C44">
        <v>44.69</v>
      </c>
      <c r="D44">
        <v>44.09</v>
      </c>
      <c r="E44" s="28">
        <v>44.12</v>
      </c>
      <c r="F44">
        <v>2730000</v>
      </c>
    </row>
    <row r="45" spans="1:6">
      <c r="A45" s="84">
        <v>41347</v>
      </c>
      <c r="B45">
        <v>43.88</v>
      </c>
      <c r="C45">
        <v>44.5</v>
      </c>
      <c r="D45">
        <v>43.83</v>
      </c>
      <c r="E45" s="28">
        <v>44.29</v>
      </c>
      <c r="F45">
        <v>2030500</v>
      </c>
    </row>
    <row r="46" spans="1:6">
      <c r="A46" s="84">
        <v>41346</v>
      </c>
      <c r="B46">
        <v>43.72</v>
      </c>
      <c r="C46">
        <v>44.12</v>
      </c>
      <c r="D46">
        <v>43.62</v>
      </c>
      <c r="E46" s="28">
        <v>43.66</v>
      </c>
      <c r="F46">
        <v>1725200</v>
      </c>
    </row>
    <row r="47" spans="1:6">
      <c r="A47" s="84">
        <v>41345</v>
      </c>
      <c r="B47">
        <v>43</v>
      </c>
      <c r="C47">
        <v>43.77</v>
      </c>
      <c r="D47">
        <v>43</v>
      </c>
      <c r="E47" s="28">
        <v>43.72</v>
      </c>
      <c r="F47">
        <v>1969000</v>
      </c>
    </row>
    <row r="48" spans="1:6">
      <c r="A48" s="84">
        <v>41344</v>
      </c>
      <c r="B48">
        <v>42.88</v>
      </c>
      <c r="C48">
        <v>43.48</v>
      </c>
      <c r="D48">
        <v>42.81</v>
      </c>
      <c r="E48" s="28">
        <v>43.4</v>
      </c>
      <c r="F48">
        <v>1858400</v>
      </c>
    </row>
    <row r="49" spans="1:6">
      <c r="A49" s="84">
        <v>41341</v>
      </c>
      <c r="B49">
        <v>42.46</v>
      </c>
      <c r="C49">
        <v>43.13</v>
      </c>
      <c r="D49">
        <v>42.35</v>
      </c>
      <c r="E49" s="28">
        <v>42.91</v>
      </c>
      <c r="F49">
        <v>1595900</v>
      </c>
    </row>
    <row r="50" spans="1:6">
      <c r="A50" s="84">
        <v>41340</v>
      </c>
      <c r="B50">
        <v>42.2</v>
      </c>
      <c r="C50">
        <v>42.55</v>
      </c>
      <c r="D50">
        <v>42.18</v>
      </c>
      <c r="E50" s="28">
        <v>42.33</v>
      </c>
      <c r="F50">
        <v>844600</v>
      </c>
    </row>
    <row r="51" spans="1:6">
      <c r="A51" s="84">
        <v>41339</v>
      </c>
      <c r="B51">
        <v>42.34</v>
      </c>
      <c r="C51">
        <v>42.63</v>
      </c>
      <c r="D51">
        <v>42.18</v>
      </c>
      <c r="E51" s="28">
        <v>42.22</v>
      </c>
      <c r="F51">
        <v>1318300</v>
      </c>
    </row>
    <row r="52" spans="1:6">
      <c r="A52" s="84">
        <v>41338</v>
      </c>
      <c r="B52">
        <v>41.41</v>
      </c>
      <c r="C52">
        <v>42.77</v>
      </c>
      <c r="D52">
        <v>41.37</v>
      </c>
      <c r="E52" s="28">
        <v>42.32</v>
      </c>
      <c r="F52">
        <v>2841500</v>
      </c>
    </row>
    <row r="53" spans="1:6">
      <c r="A53" s="84">
        <v>41337</v>
      </c>
      <c r="B53">
        <v>40.35</v>
      </c>
      <c r="C53">
        <v>40.880000000000003</v>
      </c>
      <c r="D53">
        <v>40.35</v>
      </c>
      <c r="E53" s="28">
        <v>40.799999999999997</v>
      </c>
      <c r="F53">
        <v>1428200</v>
      </c>
    </row>
    <row r="54" spans="1:6">
      <c r="A54" s="84">
        <v>41334</v>
      </c>
      <c r="B54">
        <v>39.83</v>
      </c>
      <c r="C54">
        <v>40.69</v>
      </c>
      <c r="D54">
        <v>39.46</v>
      </c>
      <c r="E54" s="28">
        <v>40.43</v>
      </c>
      <c r="F54">
        <v>1672500</v>
      </c>
    </row>
    <row r="55" spans="1:6">
      <c r="A55" s="84">
        <v>41333</v>
      </c>
      <c r="B55">
        <v>40.17</v>
      </c>
      <c r="C55">
        <v>40.619999999999997</v>
      </c>
      <c r="D55">
        <v>40.049999999999997</v>
      </c>
      <c r="E55" s="28">
        <v>40.11</v>
      </c>
      <c r="F55">
        <v>2814900</v>
      </c>
    </row>
    <row r="56" spans="1:6">
      <c r="A56" s="84">
        <v>41332</v>
      </c>
      <c r="B56">
        <v>40.01</v>
      </c>
      <c r="C56">
        <v>40.53</v>
      </c>
      <c r="D56">
        <v>39.880000000000003</v>
      </c>
      <c r="E56" s="28">
        <v>40.06</v>
      </c>
      <c r="F56">
        <v>1715200</v>
      </c>
    </row>
    <row r="57" spans="1:6">
      <c r="A57" s="84">
        <v>41331</v>
      </c>
      <c r="B57">
        <v>40.200000000000003</v>
      </c>
      <c r="C57">
        <v>40.270000000000003</v>
      </c>
      <c r="D57">
        <v>39.549999999999997</v>
      </c>
      <c r="E57" s="28">
        <v>40.03</v>
      </c>
      <c r="F57">
        <v>1904600</v>
      </c>
    </row>
    <row r="58" spans="1:6">
      <c r="A58" s="84">
        <v>41330</v>
      </c>
      <c r="B58">
        <v>40.61</v>
      </c>
      <c r="C58">
        <v>40.9</v>
      </c>
      <c r="D58">
        <v>40.06</v>
      </c>
      <c r="E58" s="28">
        <v>40.1</v>
      </c>
      <c r="F58">
        <v>1926800</v>
      </c>
    </row>
    <row r="59" spans="1:6">
      <c r="A59" s="84">
        <v>41327</v>
      </c>
      <c r="B59">
        <v>40.619999999999997</v>
      </c>
      <c r="C59">
        <v>40.74</v>
      </c>
      <c r="D59">
        <v>40.4</v>
      </c>
      <c r="E59" s="28">
        <v>40.54</v>
      </c>
      <c r="F59">
        <v>1363200</v>
      </c>
    </row>
    <row r="60" spans="1:6">
      <c r="A60" s="84">
        <v>41326</v>
      </c>
      <c r="B60">
        <v>41.09</v>
      </c>
      <c r="C60">
        <v>41.2</v>
      </c>
      <c r="D60">
        <v>40.15</v>
      </c>
      <c r="E60" s="28">
        <v>40.46</v>
      </c>
      <c r="F60">
        <v>1580100</v>
      </c>
    </row>
    <row r="61" spans="1:6">
      <c r="A61" s="84">
        <v>41325</v>
      </c>
      <c r="B61">
        <v>41.62</v>
      </c>
      <c r="C61">
        <v>42.13</v>
      </c>
      <c r="D61">
        <v>41.1</v>
      </c>
      <c r="E61" s="28">
        <v>41.11</v>
      </c>
      <c r="F61">
        <v>1591200</v>
      </c>
    </row>
    <row r="62" spans="1:6">
      <c r="A62" s="84">
        <v>41324</v>
      </c>
      <c r="B62">
        <v>41.42</v>
      </c>
      <c r="C62">
        <v>41.79</v>
      </c>
      <c r="D62">
        <v>41.2</v>
      </c>
      <c r="E62" s="28">
        <v>41.59</v>
      </c>
      <c r="F62">
        <v>1148200</v>
      </c>
    </row>
    <row r="63" spans="1:6">
      <c r="A63" s="84">
        <v>41323</v>
      </c>
      <c r="B63">
        <v>41.37</v>
      </c>
      <c r="C63">
        <v>41.37</v>
      </c>
      <c r="D63">
        <v>41.37</v>
      </c>
      <c r="E63" s="28">
        <v>41.37</v>
      </c>
      <c r="F63">
        <v>0</v>
      </c>
    </row>
    <row r="64" spans="1:6">
      <c r="A64" s="84">
        <v>41320</v>
      </c>
      <c r="B64">
        <v>41.29</v>
      </c>
      <c r="C64">
        <v>41.82</v>
      </c>
      <c r="D64">
        <v>41.27</v>
      </c>
      <c r="E64" s="28">
        <v>41.37</v>
      </c>
      <c r="F64">
        <v>1437300</v>
      </c>
    </row>
    <row r="65" spans="1:6">
      <c r="A65" s="84">
        <v>41319</v>
      </c>
      <c r="B65">
        <v>41</v>
      </c>
      <c r="C65">
        <v>41.57</v>
      </c>
      <c r="D65">
        <v>40.92</v>
      </c>
      <c r="E65" s="28">
        <v>41.46</v>
      </c>
      <c r="F65">
        <v>1182500</v>
      </c>
    </row>
    <row r="66" spans="1:6">
      <c r="A66" s="84">
        <v>41318</v>
      </c>
      <c r="B66">
        <v>41.28</v>
      </c>
      <c r="C66">
        <v>41.43</v>
      </c>
      <c r="D66">
        <v>40.97</v>
      </c>
      <c r="E66" s="28">
        <v>41.09</v>
      </c>
      <c r="F66">
        <v>1813600</v>
      </c>
    </row>
    <row r="67" spans="1:6">
      <c r="A67" s="84">
        <v>41317</v>
      </c>
      <c r="B67">
        <v>41.4</v>
      </c>
      <c r="C67">
        <v>41.59</v>
      </c>
      <c r="D67">
        <v>41.17</v>
      </c>
      <c r="E67" s="28">
        <v>41.24</v>
      </c>
      <c r="F67">
        <v>1378100</v>
      </c>
    </row>
    <row r="68" spans="1:6">
      <c r="A68" s="84">
        <v>41316</v>
      </c>
      <c r="B68">
        <v>41.8</v>
      </c>
      <c r="C68">
        <v>41.86</v>
      </c>
      <c r="D68">
        <v>40.94</v>
      </c>
      <c r="E68" s="28">
        <v>41.4</v>
      </c>
      <c r="F68">
        <v>2472600</v>
      </c>
    </row>
    <row r="69" spans="1:6">
      <c r="A69" s="84">
        <v>41313</v>
      </c>
      <c r="B69">
        <v>42</v>
      </c>
      <c r="C69">
        <v>42.46</v>
      </c>
      <c r="D69">
        <v>41.56</v>
      </c>
      <c r="E69" s="28">
        <v>41.86</v>
      </c>
      <c r="F69">
        <v>1231600</v>
      </c>
    </row>
    <row r="70" spans="1:6">
      <c r="A70" s="84">
        <v>41312</v>
      </c>
      <c r="B70">
        <v>41.6</v>
      </c>
      <c r="C70">
        <v>41.98</v>
      </c>
      <c r="D70">
        <v>41.49</v>
      </c>
      <c r="E70" s="28">
        <v>41.95</v>
      </c>
      <c r="F70">
        <v>1919200</v>
      </c>
    </row>
    <row r="71" spans="1:6">
      <c r="A71" s="84">
        <v>41311</v>
      </c>
      <c r="B71">
        <v>41.91</v>
      </c>
      <c r="C71">
        <v>42.17</v>
      </c>
      <c r="D71">
        <v>41.6</v>
      </c>
      <c r="E71" s="28">
        <v>41.85</v>
      </c>
      <c r="F71">
        <v>2420600</v>
      </c>
    </row>
    <row r="72" spans="1:6">
      <c r="A72" s="84">
        <v>41310</v>
      </c>
      <c r="B72">
        <v>41.84</v>
      </c>
      <c r="C72">
        <v>42.25</v>
      </c>
      <c r="D72">
        <v>41.59</v>
      </c>
      <c r="E72" s="28">
        <v>42.1</v>
      </c>
      <c r="F72">
        <v>1671600</v>
      </c>
    </row>
    <row r="73" spans="1:6">
      <c r="A73" s="84">
        <v>41309</v>
      </c>
      <c r="B73">
        <v>41.81</v>
      </c>
      <c r="C73">
        <v>42.21</v>
      </c>
      <c r="D73">
        <v>41.55</v>
      </c>
      <c r="E73" s="28">
        <v>41.56</v>
      </c>
      <c r="F73">
        <v>1851700</v>
      </c>
    </row>
    <row r="74" spans="1:6">
      <c r="A74" s="84">
        <v>41306</v>
      </c>
      <c r="B74">
        <v>41.97</v>
      </c>
      <c r="C74">
        <v>42.44</v>
      </c>
      <c r="D74">
        <v>41.63</v>
      </c>
      <c r="E74" s="28">
        <v>42.17</v>
      </c>
      <c r="F74">
        <v>1643200</v>
      </c>
    </row>
    <row r="75" spans="1:6">
      <c r="A75" s="84">
        <v>41305</v>
      </c>
      <c r="B75">
        <v>41.34</v>
      </c>
      <c r="C75">
        <v>41.95</v>
      </c>
      <c r="D75">
        <v>41.34</v>
      </c>
      <c r="E75" s="28">
        <v>41.55</v>
      </c>
      <c r="F75">
        <v>1523700</v>
      </c>
    </row>
    <row r="76" spans="1:6">
      <c r="A76" s="84">
        <v>41304</v>
      </c>
      <c r="B76">
        <v>41.65</v>
      </c>
      <c r="C76">
        <v>41.85</v>
      </c>
      <c r="D76">
        <v>41.22</v>
      </c>
      <c r="E76" s="28">
        <v>41.47</v>
      </c>
      <c r="F76">
        <v>2894600</v>
      </c>
    </row>
    <row r="77" spans="1:6">
      <c r="A77" s="84">
        <v>41303</v>
      </c>
      <c r="B77">
        <v>40</v>
      </c>
      <c r="C77">
        <v>41.71</v>
      </c>
      <c r="D77">
        <v>40</v>
      </c>
      <c r="E77" s="28">
        <v>41.71</v>
      </c>
      <c r="F77">
        <v>4776700</v>
      </c>
    </row>
    <row r="78" spans="1:6">
      <c r="A78" s="84">
        <v>41302</v>
      </c>
      <c r="B78">
        <v>44.8</v>
      </c>
      <c r="C78">
        <v>44.99</v>
      </c>
      <c r="D78">
        <v>44.42</v>
      </c>
      <c r="E78" s="28">
        <v>44.48</v>
      </c>
      <c r="F78">
        <v>1739200</v>
      </c>
    </row>
    <row r="79" spans="1:6">
      <c r="A79" s="84">
        <v>41299</v>
      </c>
      <c r="B79">
        <v>44.25</v>
      </c>
      <c r="C79">
        <v>44.82</v>
      </c>
      <c r="D79">
        <v>44.1</v>
      </c>
      <c r="E79" s="28">
        <v>44.5</v>
      </c>
      <c r="F79">
        <v>1062100</v>
      </c>
    </row>
    <row r="80" spans="1:6">
      <c r="A80" s="84">
        <v>41298</v>
      </c>
      <c r="B80">
        <v>43.86</v>
      </c>
      <c r="C80">
        <v>44.53</v>
      </c>
      <c r="D80">
        <v>43.85</v>
      </c>
      <c r="E80" s="28">
        <v>44.05</v>
      </c>
      <c r="F80">
        <v>993700</v>
      </c>
    </row>
    <row r="81" spans="1:6">
      <c r="A81" s="84">
        <v>41297</v>
      </c>
      <c r="B81">
        <v>43.73</v>
      </c>
      <c r="C81">
        <v>44.22</v>
      </c>
      <c r="D81">
        <v>43.54</v>
      </c>
      <c r="E81" s="28">
        <v>43.91</v>
      </c>
      <c r="F81">
        <v>1443000</v>
      </c>
    </row>
    <row r="82" spans="1:6">
      <c r="A82" s="84">
        <v>41296</v>
      </c>
      <c r="B82">
        <v>43.7</v>
      </c>
      <c r="C82">
        <v>43.83</v>
      </c>
      <c r="D82">
        <v>43.22</v>
      </c>
      <c r="E82" s="28">
        <v>43.36</v>
      </c>
      <c r="F82">
        <v>1117200</v>
      </c>
    </row>
    <row r="83" spans="1:6">
      <c r="A83" s="84">
        <v>41295</v>
      </c>
      <c r="B83">
        <v>43.81</v>
      </c>
      <c r="C83">
        <v>43.81</v>
      </c>
      <c r="D83">
        <v>43.81</v>
      </c>
      <c r="E83" s="28">
        <v>43.81</v>
      </c>
      <c r="F83">
        <v>0</v>
      </c>
    </row>
    <row r="84" spans="1:6">
      <c r="A84" s="84">
        <v>41292</v>
      </c>
      <c r="B84">
        <v>42.87</v>
      </c>
      <c r="C84">
        <v>43.82</v>
      </c>
      <c r="D84">
        <v>42.87</v>
      </c>
      <c r="E84" s="28">
        <v>43.81</v>
      </c>
      <c r="F84">
        <v>2141600</v>
      </c>
    </row>
    <row r="85" spans="1:6">
      <c r="A85" s="84">
        <v>41291</v>
      </c>
      <c r="B85">
        <v>42.82</v>
      </c>
      <c r="C85">
        <v>42.95</v>
      </c>
      <c r="D85">
        <v>42.65</v>
      </c>
      <c r="E85" s="28">
        <v>42.76</v>
      </c>
      <c r="F85">
        <v>995600</v>
      </c>
    </row>
    <row r="86" spans="1:6">
      <c r="A86" s="84">
        <v>41290</v>
      </c>
      <c r="B86">
        <v>42.61</v>
      </c>
      <c r="C86">
        <v>42.83</v>
      </c>
      <c r="D86">
        <v>42.17</v>
      </c>
      <c r="E86" s="28">
        <v>42.62</v>
      </c>
      <c r="F86">
        <v>1140500</v>
      </c>
    </row>
    <row r="87" spans="1:6">
      <c r="A87" s="84">
        <v>41289</v>
      </c>
      <c r="B87">
        <v>42.25</v>
      </c>
      <c r="C87">
        <v>42.82</v>
      </c>
      <c r="D87">
        <v>42.2</v>
      </c>
      <c r="E87" s="28">
        <v>42.65</v>
      </c>
      <c r="F87">
        <v>1545100</v>
      </c>
    </row>
    <row r="88" spans="1:6">
      <c r="A88" s="84">
        <v>41288</v>
      </c>
      <c r="B88">
        <v>42.49</v>
      </c>
      <c r="C88">
        <v>42.86</v>
      </c>
      <c r="D88">
        <v>42.28</v>
      </c>
      <c r="E88" s="28">
        <v>42.64</v>
      </c>
      <c r="F88">
        <v>957400</v>
      </c>
    </row>
    <row r="89" spans="1:6">
      <c r="A89" s="84">
        <v>41285</v>
      </c>
      <c r="B89">
        <v>42.25</v>
      </c>
      <c r="C89">
        <v>42.76</v>
      </c>
      <c r="D89">
        <v>42.13</v>
      </c>
      <c r="E89" s="28">
        <v>42.68</v>
      </c>
      <c r="F89">
        <v>1276800</v>
      </c>
    </row>
    <row r="90" spans="1:6">
      <c r="A90" s="84">
        <v>41284</v>
      </c>
      <c r="B90">
        <v>42.02</v>
      </c>
      <c r="C90">
        <v>42.41</v>
      </c>
      <c r="D90">
        <v>41.88</v>
      </c>
      <c r="E90" s="28">
        <v>42.23</v>
      </c>
      <c r="F90">
        <v>1810400</v>
      </c>
    </row>
    <row r="91" spans="1:6">
      <c r="A91" s="84">
        <v>41283</v>
      </c>
      <c r="B91">
        <v>41.05</v>
      </c>
      <c r="C91">
        <v>41.95</v>
      </c>
      <c r="D91">
        <v>41.01</v>
      </c>
      <c r="E91" s="28">
        <v>41.82</v>
      </c>
      <c r="F91">
        <v>1743400</v>
      </c>
    </row>
    <row r="92" spans="1:6">
      <c r="A92" s="84">
        <v>41282</v>
      </c>
      <c r="B92">
        <v>40.24</v>
      </c>
      <c r="C92">
        <v>41.08</v>
      </c>
      <c r="D92">
        <v>40.17</v>
      </c>
      <c r="E92" s="28">
        <v>40.92</v>
      </c>
      <c r="F92">
        <v>1186000</v>
      </c>
    </row>
    <row r="93" spans="1:6">
      <c r="A93" s="84">
        <v>41281</v>
      </c>
      <c r="B93">
        <v>40.700000000000003</v>
      </c>
      <c r="C93">
        <v>40.9</v>
      </c>
      <c r="D93">
        <v>40.28</v>
      </c>
      <c r="E93" s="28">
        <v>40.42</v>
      </c>
      <c r="F93">
        <v>916100</v>
      </c>
    </row>
    <row r="94" spans="1:6">
      <c r="A94" s="84">
        <v>41278</v>
      </c>
      <c r="B94">
        <v>40.92</v>
      </c>
      <c r="C94">
        <v>41.17</v>
      </c>
      <c r="D94">
        <v>40.72</v>
      </c>
      <c r="E94" s="28">
        <v>40.93</v>
      </c>
      <c r="F94">
        <v>818000</v>
      </c>
    </row>
    <row r="95" spans="1:6">
      <c r="A95" s="84">
        <v>41277</v>
      </c>
      <c r="B95">
        <v>41.04</v>
      </c>
      <c r="C95">
        <v>41.23</v>
      </c>
      <c r="D95">
        <v>40.68</v>
      </c>
      <c r="E95" s="28">
        <v>40.76</v>
      </c>
      <c r="F95">
        <v>976000</v>
      </c>
    </row>
    <row r="96" spans="1:6">
      <c r="A96" s="84">
        <v>41276</v>
      </c>
      <c r="B96">
        <v>40.28</v>
      </c>
      <c r="C96">
        <v>41.09</v>
      </c>
      <c r="D96">
        <v>40.21</v>
      </c>
      <c r="E96" s="28">
        <v>41.09</v>
      </c>
      <c r="F96">
        <v>2498700</v>
      </c>
    </row>
    <row r="97" spans="1:6">
      <c r="A97" s="84">
        <v>41275</v>
      </c>
      <c r="B97">
        <v>39.619999999999997</v>
      </c>
      <c r="C97">
        <v>39.619999999999997</v>
      </c>
      <c r="D97">
        <v>39.619999999999997</v>
      </c>
      <c r="E97" s="28">
        <v>39.619999999999997</v>
      </c>
      <c r="F97">
        <v>0</v>
      </c>
    </row>
    <row r="98" spans="1:6">
      <c r="A98" s="84">
        <v>41274</v>
      </c>
      <c r="B98">
        <v>39.56</v>
      </c>
      <c r="C98">
        <v>39.75</v>
      </c>
      <c r="D98">
        <v>39.31</v>
      </c>
      <c r="E98" s="28">
        <v>39.619999999999997</v>
      </c>
      <c r="F98">
        <v>1433100</v>
      </c>
    </row>
    <row r="99" spans="1:6">
      <c r="A99" s="84">
        <v>41271</v>
      </c>
      <c r="B99">
        <v>39.72</v>
      </c>
      <c r="C99">
        <v>39.880000000000003</v>
      </c>
      <c r="D99">
        <v>39.450000000000003</v>
      </c>
      <c r="E99" s="28">
        <v>39.56</v>
      </c>
      <c r="F99">
        <v>799400</v>
      </c>
    </row>
    <row r="100" spans="1:6">
      <c r="A100" s="84">
        <v>41270</v>
      </c>
      <c r="B100">
        <v>40.35</v>
      </c>
      <c r="C100">
        <v>40.39</v>
      </c>
      <c r="D100">
        <v>39.409999999999997</v>
      </c>
      <c r="E100" s="28">
        <v>39.880000000000003</v>
      </c>
      <c r="F100">
        <v>1381500</v>
      </c>
    </row>
    <row r="101" spans="1:6">
      <c r="A101" s="84">
        <v>41269</v>
      </c>
      <c r="B101">
        <v>40.74</v>
      </c>
      <c r="C101">
        <v>40.97</v>
      </c>
      <c r="D101">
        <v>40.29</v>
      </c>
      <c r="E101" s="28">
        <v>40.39</v>
      </c>
      <c r="F101">
        <v>982900</v>
      </c>
    </row>
    <row r="102" spans="1:6">
      <c r="A102" s="84">
        <v>41268</v>
      </c>
      <c r="B102">
        <v>40.869999999999997</v>
      </c>
      <c r="C102">
        <v>40.869999999999997</v>
      </c>
      <c r="D102">
        <v>40.869999999999997</v>
      </c>
      <c r="E102" s="28">
        <v>40.869999999999997</v>
      </c>
      <c r="F102">
        <v>0</v>
      </c>
    </row>
    <row r="103" spans="1:6">
      <c r="A103" s="84">
        <v>41267</v>
      </c>
      <c r="B103">
        <v>40.83</v>
      </c>
      <c r="C103">
        <v>41.04</v>
      </c>
      <c r="D103">
        <v>40.450000000000003</v>
      </c>
      <c r="E103" s="28">
        <v>40.869999999999997</v>
      </c>
      <c r="F103">
        <v>446900</v>
      </c>
    </row>
    <row r="104" spans="1:6">
      <c r="A104" s="84">
        <v>41264</v>
      </c>
      <c r="B104">
        <v>40.86</v>
      </c>
      <c r="C104">
        <v>41.1</v>
      </c>
      <c r="D104">
        <v>40.29</v>
      </c>
      <c r="E104" s="28">
        <v>40.71</v>
      </c>
      <c r="F104">
        <v>2968100</v>
      </c>
    </row>
    <row r="105" spans="1:6">
      <c r="A105" s="84">
        <v>41263</v>
      </c>
      <c r="B105">
        <v>41.98</v>
      </c>
      <c r="C105">
        <v>42.04</v>
      </c>
      <c r="D105">
        <v>41.79</v>
      </c>
      <c r="E105" s="28">
        <v>41.94</v>
      </c>
      <c r="F105">
        <v>1632100</v>
      </c>
    </row>
    <row r="106" spans="1:6">
      <c r="A106" s="84">
        <v>41262</v>
      </c>
      <c r="B106">
        <v>41.79</v>
      </c>
      <c r="C106">
        <v>42.3</v>
      </c>
      <c r="D106">
        <v>41.69</v>
      </c>
      <c r="E106" s="28">
        <v>41.91</v>
      </c>
      <c r="F106">
        <v>2858900</v>
      </c>
    </row>
    <row r="107" spans="1:6">
      <c r="A107" s="84">
        <v>41261</v>
      </c>
      <c r="B107">
        <v>41.11</v>
      </c>
      <c r="C107">
        <v>41.69</v>
      </c>
      <c r="D107">
        <v>40.82</v>
      </c>
      <c r="E107" s="28">
        <v>41.67</v>
      </c>
      <c r="F107">
        <v>2153400</v>
      </c>
    </row>
    <row r="108" spans="1:6">
      <c r="A108" s="84">
        <v>41260</v>
      </c>
      <c r="B108">
        <v>40.159999999999997</v>
      </c>
      <c r="C108">
        <v>41.1</v>
      </c>
      <c r="D108">
        <v>39.99</v>
      </c>
      <c r="E108" s="28">
        <v>41.08</v>
      </c>
      <c r="F108">
        <v>2233600</v>
      </c>
    </row>
    <row r="109" spans="1:6">
      <c r="A109" s="84">
        <v>41257</v>
      </c>
      <c r="B109">
        <v>39.729999999999997</v>
      </c>
      <c r="C109">
        <v>40.32</v>
      </c>
      <c r="D109">
        <v>39.61</v>
      </c>
      <c r="E109" s="28">
        <v>40.18</v>
      </c>
      <c r="F109">
        <v>995400</v>
      </c>
    </row>
    <row r="110" spans="1:6">
      <c r="A110" s="84">
        <v>41256</v>
      </c>
      <c r="B110">
        <v>40.68</v>
      </c>
      <c r="C110">
        <v>40.98</v>
      </c>
      <c r="D110">
        <v>39.799999999999997</v>
      </c>
      <c r="E110" s="28">
        <v>39.89</v>
      </c>
      <c r="F110">
        <v>1573100</v>
      </c>
    </row>
    <row r="111" spans="1:6">
      <c r="A111" s="84">
        <v>41255</v>
      </c>
      <c r="B111">
        <v>41.59</v>
      </c>
      <c r="C111">
        <v>41.6</v>
      </c>
      <c r="D111">
        <v>40.67</v>
      </c>
      <c r="E111" s="28">
        <v>40.799999999999997</v>
      </c>
      <c r="F111">
        <v>2112200</v>
      </c>
    </row>
    <row r="112" spans="1:6">
      <c r="A112" s="84">
        <v>41254</v>
      </c>
      <c r="B112">
        <v>41.3</v>
      </c>
      <c r="C112">
        <v>41.59</v>
      </c>
      <c r="D112">
        <v>40.950000000000003</v>
      </c>
      <c r="E112" s="28">
        <v>41.53</v>
      </c>
      <c r="F112">
        <v>1884300</v>
      </c>
    </row>
    <row r="113" spans="1:6">
      <c r="A113" s="84">
        <v>41253</v>
      </c>
      <c r="B113">
        <v>40.51</v>
      </c>
      <c r="C113">
        <v>41.42</v>
      </c>
      <c r="D113">
        <v>40.51</v>
      </c>
      <c r="E113" s="28">
        <v>41.42</v>
      </c>
      <c r="F113">
        <v>1126200</v>
      </c>
    </row>
    <row r="114" spans="1:6">
      <c r="A114" s="84">
        <v>41250</v>
      </c>
      <c r="B114">
        <v>41.01</v>
      </c>
      <c r="C114">
        <v>41.05</v>
      </c>
      <c r="D114">
        <v>40.69</v>
      </c>
      <c r="E114" s="28">
        <v>40.81</v>
      </c>
      <c r="F114">
        <v>1099200</v>
      </c>
    </row>
    <row r="115" spans="1:6">
      <c r="A115" s="84">
        <v>41249</v>
      </c>
      <c r="B115">
        <v>40.22</v>
      </c>
      <c r="C115">
        <v>40.74</v>
      </c>
      <c r="D115">
        <v>40.03</v>
      </c>
      <c r="E115" s="28">
        <v>40.729999999999997</v>
      </c>
      <c r="F115">
        <v>732200</v>
      </c>
    </row>
    <row r="116" spans="1:6">
      <c r="A116" s="84">
        <v>41248</v>
      </c>
      <c r="B116">
        <v>40.28</v>
      </c>
      <c r="C116">
        <v>40.380000000000003</v>
      </c>
      <c r="D116">
        <v>39.869999999999997</v>
      </c>
      <c r="E116" s="28">
        <v>40.200000000000003</v>
      </c>
      <c r="F116">
        <v>1217500</v>
      </c>
    </row>
    <row r="117" spans="1:6">
      <c r="A117" s="84">
        <v>41247</v>
      </c>
      <c r="B117">
        <v>40.6</v>
      </c>
      <c r="C117">
        <v>40.74</v>
      </c>
      <c r="D117">
        <v>40.22</v>
      </c>
      <c r="E117" s="28">
        <v>40.42</v>
      </c>
      <c r="F117">
        <v>937400</v>
      </c>
    </row>
    <row r="118" spans="1:6">
      <c r="A118" s="84">
        <v>41246</v>
      </c>
      <c r="B118">
        <v>41.08</v>
      </c>
      <c r="C118">
        <v>41.1</v>
      </c>
      <c r="D118">
        <v>40.54</v>
      </c>
      <c r="E118" s="28">
        <v>40.54</v>
      </c>
      <c r="F118">
        <v>861200</v>
      </c>
    </row>
    <row r="119" spans="1:6">
      <c r="A119" s="84">
        <v>41243</v>
      </c>
      <c r="B119">
        <v>40.950000000000003</v>
      </c>
      <c r="C119">
        <v>41.03</v>
      </c>
      <c r="D119">
        <v>40.72</v>
      </c>
      <c r="E119" s="28">
        <v>40.96</v>
      </c>
      <c r="F119">
        <v>1196900</v>
      </c>
    </row>
    <row r="120" spans="1:6">
      <c r="A120" s="84">
        <v>41242</v>
      </c>
      <c r="B120">
        <v>41</v>
      </c>
      <c r="C120">
        <v>41.08</v>
      </c>
      <c r="D120">
        <v>40.630000000000003</v>
      </c>
      <c r="E120" s="28">
        <v>40.880000000000003</v>
      </c>
      <c r="F120">
        <v>1101900</v>
      </c>
    </row>
    <row r="121" spans="1:6">
      <c r="A121" s="84">
        <v>41241</v>
      </c>
      <c r="B121">
        <v>40.340000000000003</v>
      </c>
      <c r="C121">
        <v>40.98</v>
      </c>
      <c r="D121">
        <v>39.93</v>
      </c>
      <c r="E121" s="28">
        <v>40.950000000000003</v>
      </c>
      <c r="F121">
        <v>1041000</v>
      </c>
    </row>
    <row r="122" spans="1:6">
      <c r="A122" s="84">
        <v>41240</v>
      </c>
      <c r="B122">
        <v>40.19</v>
      </c>
      <c r="C122">
        <v>41.36</v>
      </c>
      <c r="D122">
        <v>40.020000000000003</v>
      </c>
      <c r="E122" s="28">
        <v>40.619999999999997</v>
      </c>
      <c r="F122">
        <v>1894700</v>
      </c>
    </row>
    <row r="123" spans="1:6">
      <c r="A123" s="84">
        <v>41239</v>
      </c>
      <c r="B123">
        <v>40.090000000000003</v>
      </c>
      <c r="C123">
        <v>40.299999999999997</v>
      </c>
      <c r="D123">
        <v>39.79</v>
      </c>
      <c r="E123" s="28">
        <v>40.26</v>
      </c>
      <c r="F123">
        <v>1097800</v>
      </c>
    </row>
    <row r="124" spans="1:6">
      <c r="A124" s="84">
        <v>41236</v>
      </c>
      <c r="B124">
        <v>39.840000000000003</v>
      </c>
      <c r="C124">
        <v>40.26</v>
      </c>
      <c r="D124">
        <v>39.64</v>
      </c>
      <c r="E124" s="28">
        <v>40.19</v>
      </c>
      <c r="F124">
        <v>318800</v>
      </c>
    </row>
    <row r="125" spans="1:6">
      <c r="A125" s="84">
        <v>41235</v>
      </c>
      <c r="B125">
        <v>39.68</v>
      </c>
      <c r="C125">
        <v>39.68</v>
      </c>
      <c r="D125">
        <v>39.68</v>
      </c>
      <c r="E125" s="28">
        <v>39.68</v>
      </c>
      <c r="F125">
        <v>0</v>
      </c>
    </row>
    <row r="126" spans="1:6">
      <c r="A126" s="84">
        <v>41234</v>
      </c>
      <c r="B126">
        <v>39.53</v>
      </c>
      <c r="C126">
        <v>39.880000000000003</v>
      </c>
      <c r="D126">
        <v>39.479999999999997</v>
      </c>
      <c r="E126" s="28">
        <v>39.68</v>
      </c>
      <c r="F126">
        <v>536800</v>
      </c>
    </row>
    <row r="127" spans="1:6">
      <c r="A127" s="84">
        <v>41233</v>
      </c>
      <c r="B127">
        <v>39.58</v>
      </c>
      <c r="C127">
        <v>39.71</v>
      </c>
      <c r="D127">
        <v>39.33</v>
      </c>
      <c r="E127" s="28">
        <v>39.56</v>
      </c>
      <c r="F127">
        <v>1292700</v>
      </c>
    </row>
    <row r="128" spans="1:6">
      <c r="A128" s="84">
        <v>41232</v>
      </c>
      <c r="B128">
        <v>39.29</v>
      </c>
      <c r="C128">
        <v>39.659999999999997</v>
      </c>
      <c r="D128">
        <v>39.03</v>
      </c>
      <c r="E128" s="28">
        <v>39.590000000000003</v>
      </c>
      <c r="F128">
        <v>1018900</v>
      </c>
    </row>
    <row r="129" spans="1:6">
      <c r="A129" s="84">
        <v>41229</v>
      </c>
      <c r="B129">
        <v>38.89</v>
      </c>
      <c r="C129">
        <v>38.99</v>
      </c>
      <c r="D129">
        <v>38.04</v>
      </c>
      <c r="E129" s="28">
        <v>38.729999999999997</v>
      </c>
      <c r="F129">
        <v>1214600</v>
      </c>
    </row>
    <row r="130" spans="1:6">
      <c r="A130" s="84">
        <v>41228</v>
      </c>
      <c r="B130">
        <v>39.33</v>
      </c>
      <c r="C130">
        <v>39.47</v>
      </c>
      <c r="D130">
        <v>38.61</v>
      </c>
      <c r="E130" s="28">
        <v>39.01</v>
      </c>
      <c r="F130">
        <v>971800</v>
      </c>
    </row>
    <row r="131" spans="1:6">
      <c r="A131" s="84">
        <v>41227</v>
      </c>
      <c r="B131">
        <v>39.9</v>
      </c>
      <c r="C131">
        <v>40</v>
      </c>
      <c r="D131">
        <v>39.049999999999997</v>
      </c>
      <c r="E131" s="28">
        <v>39.26</v>
      </c>
      <c r="F131">
        <v>1222000</v>
      </c>
    </row>
    <row r="132" spans="1:6">
      <c r="A132" s="84">
        <v>41226</v>
      </c>
      <c r="B132">
        <v>39.92</v>
      </c>
      <c r="C132">
        <v>39.99</v>
      </c>
      <c r="D132">
        <v>39.54</v>
      </c>
      <c r="E132" s="28">
        <v>39.74</v>
      </c>
      <c r="F132">
        <v>805800</v>
      </c>
    </row>
    <row r="133" spans="1:6">
      <c r="A133" s="84">
        <v>41225</v>
      </c>
      <c r="B133">
        <v>40.299999999999997</v>
      </c>
      <c r="C133">
        <v>40.32</v>
      </c>
      <c r="D133">
        <v>39.729999999999997</v>
      </c>
      <c r="E133" s="28">
        <v>40.119999999999997</v>
      </c>
      <c r="F133">
        <v>642000</v>
      </c>
    </row>
    <row r="134" spans="1:6">
      <c r="A134" s="84">
        <v>41222</v>
      </c>
      <c r="B134">
        <v>39.82</v>
      </c>
      <c r="C134">
        <v>40.590000000000003</v>
      </c>
      <c r="D134">
        <v>39.82</v>
      </c>
      <c r="E134" s="28">
        <v>40.24</v>
      </c>
      <c r="F134">
        <v>972900</v>
      </c>
    </row>
    <row r="135" spans="1:6">
      <c r="A135" s="84">
        <v>41221</v>
      </c>
      <c r="B135">
        <v>40.94</v>
      </c>
      <c r="C135">
        <v>41.05</v>
      </c>
      <c r="D135">
        <v>39.96</v>
      </c>
      <c r="E135" s="28">
        <v>39.979999999999997</v>
      </c>
      <c r="F135">
        <v>1022600</v>
      </c>
    </row>
    <row r="136" spans="1:6">
      <c r="A136" s="84">
        <v>41220</v>
      </c>
      <c r="B136">
        <v>41.25</v>
      </c>
      <c r="C136">
        <v>41.34</v>
      </c>
      <c r="D136">
        <v>40.96</v>
      </c>
      <c r="E136" s="28">
        <v>41.08</v>
      </c>
      <c r="F136">
        <v>1507400</v>
      </c>
    </row>
    <row r="137" spans="1:6">
      <c r="A137" s="84">
        <v>41219</v>
      </c>
      <c r="B137">
        <v>41.21</v>
      </c>
      <c r="C137">
        <v>41.86</v>
      </c>
      <c r="D137">
        <v>41.19</v>
      </c>
      <c r="E137" s="28">
        <v>41.55</v>
      </c>
      <c r="F137">
        <v>2564300</v>
      </c>
    </row>
    <row r="138" spans="1:6">
      <c r="A138" s="84">
        <v>41218</v>
      </c>
      <c r="B138">
        <v>40.700000000000003</v>
      </c>
      <c r="C138">
        <v>41.16</v>
      </c>
      <c r="D138">
        <v>40.67</v>
      </c>
      <c r="E138" s="28">
        <v>41.06</v>
      </c>
      <c r="F138">
        <v>1298300</v>
      </c>
    </row>
    <row r="139" spans="1:6">
      <c r="A139" s="84">
        <v>41215</v>
      </c>
      <c r="B139">
        <v>41.11</v>
      </c>
      <c r="C139">
        <v>41.34</v>
      </c>
      <c r="D139">
        <v>40.97</v>
      </c>
      <c r="E139" s="28">
        <v>41.04</v>
      </c>
      <c r="F139">
        <v>1719300</v>
      </c>
    </row>
    <row r="140" spans="1:6">
      <c r="A140" s="84">
        <v>41214</v>
      </c>
      <c r="B140">
        <v>41.5</v>
      </c>
      <c r="C140">
        <v>41.72</v>
      </c>
      <c r="D140">
        <v>40.5</v>
      </c>
      <c r="E140" s="28">
        <v>40.98</v>
      </c>
      <c r="F140">
        <v>3891600</v>
      </c>
    </row>
    <row r="141" spans="1:6">
      <c r="A141" s="84">
        <v>41213</v>
      </c>
      <c r="B141">
        <v>41.02</v>
      </c>
      <c r="C141">
        <v>41.74</v>
      </c>
      <c r="D141">
        <v>40.49</v>
      </c>
      <c r="E141" s="28">
        <v>40.700000000000003</v>
      </c>
      <c r="F141">
        <v>1588900</v>
      </c>
    </row>
    <row r="142" spans="1:6">
      <c r="A142" s="84">
        <v>41212</v>
      </c>
      <c r="B142">
        <v>40.98</v>
      </c>
      <c r="C142">
        <v>40.98</v>
      </c>
      <c r="D142">
        <v>40.98</v>
      </c>
      <c r="E142" s="28">
        <v>40.98</v>
      </c>
      <c r="F142">
        <v>0</v>
      </c>
    </row>
    <row r="143" spans="1:6">
      <c r="A143" s="84">
        <v>41211</v>
      </c>
      <c r="B143">
        <v>40.98</v>
      </c>
      <c r="C143">
        <v>40.98</v>
      </c>
      <c r="D143">
        <v>40.98</v>
      </c>
      <c r="E143" s="28">
        <v>40.98</v>
      </c>
      <c r="F143">
        <v>0</v>
      </c>
    </row>
    <row r="144" spans="1:6">
      <c r="A144" s="84">
        <v>41208</v>
      </c>
      <c r="B144">
        <v>41.02</v>
      </c>
      <c r="C144">
        <v>41.58</v>
      </c>
      <c r="D144">
        <v>40.71</v>
      </c>
      <c r="E144" s="28">
        <v>40.98</v>
      </c>
      <c r="F144">
        <v>884200</v>
      </c>
    </row>
    <row r="145" spans="1:6">
      <c r="A145" s="84">
        <v>41207</v>
      </c>
      <c r="B145">
        <v>41.54</v>
      </c>
      <c r="C145">
        <v>41.74</v>
      </c>
      <c r="D145">
        <v>41.16</v>
      </c>
      <c r="E145" s="28">
        <v>41.47</v>
      </c>
      <c r="F145">
        <v>647800</v>
      </c>
    </row>
    <row r="146" spans="1:6">
      <c r="A146" s="84">
        <v>41206</v>
      </c>
      <c r="B146">
        <v>41.5</v>
      </c>
      <c r="C146">
        <v>41.76</v>
      </c>
      <c r="D146">
        <v>41.03</v>
      </c>
      <c r="E146" s="28">
        <v>41.38</v>
      </c>
      <c r="F146">
        <v>1233600</v>
      </c>
    </row>
    <row r="147" spans="1:6">
      <c r="A147" s="84">
        <v>41205</v>
      </c>
      <c r="B147">
        <v>40.770000000000003</v>
      </c>
      <c r="C147">
        <v>41.63</v>
      </c>
      <c r="D147">
        <v>40.35</v>
      </c>
      <c r="E147" s="28">
        <v>41.53</v>
      </c>
      <c r="F147">
        <v>1707300</v>
      </c>
    </row>
    <row r="148" spans="1:6">
      <c r="A148" s="84">
        <v>41204</v>
      </c>
      <c r="B148">
        <v>41.89</v>
      </c>
      <c r="C148">
        <v>41.89</v>
      </c>
      <c r="D148">
        <v>40.49</v>
      </c>
      <c r="E148" s="28">
        <v>41.02</v>
      </c>
      <c r="F148">
        <v>2081800</v>
      </c>
    </row>
    <row r="149" spans="1:6">
      <c r="A149" s="84">
        <v>41201</v>
      </c>
      <c r="B149">
        <v>41.12</v>
      </c>
      <c r="C149">
        <v>41.27</v>
      </c>
      <c r="D149">
        <v>40.24</v>
      </c>
      <c r="E149" s="28">
        <v>40.340000000000003</v>
      </c>
      <c r="F149">
        <v>1029700</v>
      </c>
    </row>
    <row r="150" spans="1:6">
      <c r="A150" s="84">
        <v>41200</v>
      </c>
      <c r="B150">
        <v>41.19</v>
      </c>
      <c r="C150">
        <v>41.46</v>
      </c>
      <c r="D150">
        <v>40.89</v>
      </c>
      <c r="E150" s="28">
        <v>41.1</v>
      </c>
      <c r="F150">
        <v>1115600</v>
      </c>
    </row>
    <row r="151" spans="1:6">
      <c r="A151" s="84">
        <v>41199</v>
      </c>
      <c r="B151">
        <v>41.59</v>
      </c>
      <c r="C151">
        <v>41.74</v>
      </c>
      <c r="D151">
        <v>41.05</v>
      </c>
      <c r="E151" s="28">
        <v>41.13</v>
      </c>
      <c r="F151">
        <v>1319000</v>
      </c>
    </row>
    <row r="152" spans="1:6">
      <c r="A152" s="84">
        <v>41198</v>
      </c>
      <c r="B152">
        <v>41.44</v>
      </c>
      <c r="C152">
        <v>42.17</v>
      </c>
      <c r="D152">
        <v>41.23</v>
      </c>
      <c r="E152" s="28">
        <v>42.02</v>
      </c>
      <c r="F152">
        <v>1311300</v>
      </c>
    </row>
    <row r="153" spans="1:6">
      <c r="A153" s="84">
        <v>41197</v>
      </c>
      <c r="B153">
        <v>42</v>
      </c>
      <c r="C153">
        <v>42.2</v>
      </c>
      <c r="D153">
        <v>41.14</v>
      </c>
      <c r="E153" s="28">
        <v>41.49</v>
      </c>
      <c r="F153">
        <v>1611200</v>
      </c>
    </row>
    <row r="154" spans="1:6">
      <c r="A154" s="84">
        <v>41194</v>
      </c>
      <c r="B154">
        <v>42.51</v>
      </c>
      <c r="C154">
        <v>42.78</v>
      </c>
      <c r="D154">
        <v>42.31</v>
      </c>
      <c r="E154" s="28">
        <v>42.55</v>
      </c>
      <c r="F154">
        <v>837300</v>
      </c>
    </row>
    <row r="155" spans="1:6">
      <c r="A155" s="84">
        <v>41193</v>
      </c>
      <c r="B155">
        <v>42.15</v>
      </c>
      <c r="C155">
        <v>42.52</v>
      </c>
      <c r="D155">
        <v>41.94</v>
      </c>
      <c r="E155" s="28">
        <v>42.43</v>
      </c>
      <c r="F155">
        <v>1319100</v>
      </c>
    </row>
    <row r="156" spans="1:6">
      <c r="A156" s="84">
        <v>41192</v>
      </c>
      <c r="B156">
        <v>42.46</v>
      </c>
      <c r="C156">
        <v>42.58</v>
      </c>
      <c r="D156">
        <v>41.91</v>
      </c>
      <c r="E156" s="28">
        <v>41.96</v>
      </c>
      <c r="F156">
        <v>1936500</v>
      </c>
    </row>
    <row r="157" spans="1:6">
      <c r="A157" s="84">
        <v>41191</v>
      </c>
      <c r="B157">
        <v>43.17</v>
      </c>
      <c r="C157">
        <v>43.24</v>
      </c>
      <c r="D157">
        <v>42.22</v>
      </c>
      <c r="E157" s="28">
        <v>42.45</v>
      </c>
      <c r="F157">
        <v>1101300</v>
      </c>
    </row>
    <row r="158" spans="1:6">
      <c r="A158" s="84">
        <v>41190</v>
      </c>
      <c r="B158">
        <v>43.19</v>
      </c>
      <c r="C158">
        <v>43.54</v>
      </c>
      <c r="D158">
        <v>43.05</v>
      </c>
      <c r="E158" s="28">
        <v>43.28</v>
      </c>
      <c r="F158">
        <v>712200</v>
      </c>
    </row>
    <row r="159" spans="1:6">
      <c r="A159" s="84">
        <v>41187</v>
      </c>
      <c r="B159">
        <v>43.67</v>
      </c>
      <c r="C159">
        <v>43.79</v>
      </c>
      <c r="D159">
        <v>43.2</v>
      </c>
      <c r="E159" s="28">
        <v>43.34</v>
      </c>
      <c r="F159">
        <v>1280300</v>
      </c>
    </row>
    <row r="160" spans="1:6">
      <c r="A160" s="84">
        <v>41186</v>
      </c>
      <c r="B160">
        <v>43.41</v>
      </c>
      <c r="C160">
        <v>43.62</v>
      </c>
      <c r="D160">
        <v>42.9</v>
      </c>
      <c r="E160" s="28">
        <v>43.39</v>
      </c>
      <c r="F160">
        <v>1049700</v>
      </c>
    </row>
    <row r="161" spans="1:6">
      <c r="A161" s="84">
        <v>41185</v>
      </c>
      <c r="B161">
        <v>43.45</v>
      </c>
      <c r="C161">
        <v>43.81</v>
      </c>
      <c r="D161">
        <v>42.97</v>
      </c>
      <c r="E161" s="28">
        <v>43.34</v>
      </c>
      <c r="F161">
        <v>1345100</v>
      </c>
    </row>
    <row r="162" spans="1:6">
      <c r="A162" s="84">
        <v>41184</v>
      </c>
      <c r="B162">
        <v>43</v>
      </c>
      <c r="C162">
        <v>44.06</v>
      </c>
      <c r="D162">
        <v>42.95</v>
      </c>
      <c r="E162" s="28">
        <v>43.48</v>
      </c>
      <c r="F162">
        <v>2710800</v>
      </c>
    </row>
    <row r="163" spans="1:6">
      <c r="A163" s="84">
        <v>41183</v>
      </c>
      <c r="B163">
        <v>41.88</v>
      </c>
      <c r="C163">
        <v>45</v>
      </c>
      <c r="D163">
        <v>41.22</v>
      </c>
      <c r="E163" s="28">
        <v>42.85</v>
      </c>
      <c r="F163">
        <v>6330500</v>
      </c>
    </row>
    <row r="164" spans="1:6">
      <c r="A164" s="84">
        <v>41180</v>
      </c>
      <c r="B164">
        <v>41.43</v>
      </c>
      <c r="C164">
        <v>41.75</v>
      </c>
      <c r="D164">
        <v>41.18</v>
      </c>
      <c r="E164" s="28">
        <v>41.49</v>
      </c>
      <c r="F164">
        <v>751200</v>
      </c>
    </row>
    <row r="165" spans="1:6">
      <c r="A165" s="84">
        <v>41179</v>
      </c>
      <c r="B165">
        <v>41.53</v>
      </c>
      <c r="C165">
        <v>41.86</v>
      </c>
      <c r="D165">
        <v>41.1</v>
      </c>
      <c r="E165" s="28">
        <v>41.67</v>
      </c>
      <c r="F165">
        <v>1022700</v>
      </c>
    </row>
    <row r="166" spans="1:6">
      <c r="A166" s="84">
        <v>41178</v>
      </c>
      <c r="B166">
        <v>41.91</v>
      </c>
      <c r="C166">
        <v>41.92</v>
      </c>
      <c r="D166">
        <v>41.26</v>
      </c>
      <c r="E166" s="28">
        <v>41.33</v>
      </c>
      <c r="F166">
        <v>1287500</v>
      </c>
    </row>
    <row r="167" spans="1:6">
      <c r="A167" s="84">
        <v>41177</v>
      </c>
      <c r="B167">
        <v>42.73</v>
      </c>
      <c r="C167">
        <v>42.87</v>
      </c>
      <c r="D167">
        <v>41.78</v>
      </c>
      <c r="E167" s="28">
        <v>41.85</v>
      </c>
      <c r="F167">
        <v>1204400</v>
      </c>
    </row>
    <row r="168" spans="1:6">
      <c r="A168" s="84">
        <v>41176</v>
      </c>
      <c r="B168">
        <v>42.51</v>
      </c>
      <c r="C168">
        <v>42.99</v>
      </c>
      <c r="D168">
        <v>42.38</v>
      </c>
      <c r="E168" s="28">
        <v>42.68</v>
      </c>
      <c r="F168">
        <v>862200</v>
      </c>
    </row>
    <row r="169" spans="1:6">
      <c r="A169" s="84">
        <v>41173</v>
      </c>
      <c r="B169">
        <v>42.83</v>
      </c>
      <c r="C169">
        <v>43.09</v>
      </c>
      <c r="D169">
        <v>42.51</v>
      </c>
      <c r="E169" s="28">
        <v>42.79</v>
      </c>
      <c r="F169">
        <v>3561100</v>
      </c>
    </row>
    <row r="170" spans="1:6">
      <c r="A170" s="84">
        <v>41172</v>
      </c>
      <c r="B170">
        <v>42.71</v>
      </c>
      <c r="C170">
        <v>43</v>
      </c>
      <c r="D170">
        <v>42.65</v>
      </c>
      <c r="E170" s="28">
        <v>42.83</v>
      </c>
      <c r="F170">
        <v>671700</v>
      </c>
    </row>
    <row r="171" spans="1:6">
      <c r="A171" s="84">
        <v>41171</v>
      </c>
      <c r="B171">
        <v>43</v>
      </c>
      <c r="C171">
        <v>43.48</v>
      </c>
      <c r="D171">
        <v>42.85</v>
      </c>
      <c r="E171" s="28">
        <v>42.94</v>
      </c>
      <c r="F171">
        <v>737300</v>
      </c>
    </row>
    <row r="172" spans="1:6">
      <c r="A172" s="84">
        <v>41170</v>
      </c>
      <c r="B172">
        <v>43.6</v>
      </c>
      <c r="C172">
        <v>44.2</v>
      </c>
      <c r="D172">
        <v>42.99</v>
      </c>
      <c r="E172" s="28">
        <v>43.09</v>
      </c>
      <c r="F172">
        <v>1080200</v>
      </c>
    </row>
    <row r="173" spans="1:6">
      <c r="A173" s="84">
        <v>41169</v>
      </c>
      <c r="B173">
        <v>43.2</v>
      </c>
      <c r="C173">
        <v>43.25</v>
      </c>
      <c r="D173">
        <v>42.71</v>
      </c>
      <c r="E173" s="28">
        <v>42.99</v>
      </c>
      <c r="F173">
        <v>769600</v>
      </c>
    </row>
    <row r="174" spans="1:6">
      <c r="A174" s="84">
        <v>41166</v>
      </c>
      <c r="B174">
        <v>42.95</v>
      </c>
      <c r="C174">
        <v>43.42</v>
      </c>
      <c r="D174">
        <v>42.76</v>
      </c>
      <c r="E174" s="28">
        <v>43.09</v>
      </c>
      <c r="F174">
        <v>920600</v>
      </c>
    </row>
    <row r="175" spans="1:6">
      <c r="A175" s="84">
        <v>41165</v>
      </c>
      <c r="B175">
        <v>42.7</v>
      </c>
      <c r="C175">
        <v>43.24</v>
      </c>
      <c r="D175">
        <v>42.37</v>
      </c>
      <c r="E175" s="28">
        <v>42.96</v>
      </c>
      <c r="F175">
        <v>785600</v>
      </c>
    </row>
    <row r="176" spans="1:6">
      <c r="A176" s="84">
        <v>41164</v>
      </c>
      <c r="B176">
        <v>42.81</v>
      </c>
      <c r="C176">
        <v>42.95</v>
      </c>
      <c r="D176">
        <v>42.49</v>
      </c>
      <c r="E176" s="28">
        <v>42.67</v>
      </c>
      <c r="F176">
        <v>769900</v>
      </c>
    </row>
    <row r="177" spans="1:6">
      <c r="A177" s="84">
        <v>41163</v>
      </c>
      <c r="B177">
        <v>42.59</v>
      </c>
      <c r="C177">
        <v>43</v>
      </c>
      <c r="D177">
        <v>42.07</v>
      </c>
      <c r="E177" s="28">
        <v>42.76</v>
      </c>
      <c r="F177">
        <v>896400</v>
      </c>
    </row>
    <row r="178" spans="1:6">
      <c r="A178" s="84">
        <v>41162</v>
      </c>
      <c r="B178">
        <v>43.08</v>
      </c>
      <c r="C178">
        <v>43.16</v>
      </c>
      <c r="D178">
        <v>42.52</v>
      </c>
      <c r="E178" s="28">
        <v>42.7</v>
      </c>
      <c r="F178">
        <v>1323600</v>
      </c>
    </row>
    <row r="179" spans="1:6">
      <c r="A179" s="84">
        <v>41159</v>
      </c>
      <c r="B179">
        <v>43.34</v>
      </c>
      <c r="C179">
        <v>43.48</v>
      </c>
      <c r="D179">
        <v>43.11</v>
      </c>
      <c r="E179" s="28">
        <v>43.33</v>
      </c>
      <c r="F179">
        <v>856800</v>
      </c>
    </row>
    <row r="180" spans="1:6">
      <c r="A180" s="84">
        <v>41158</v>
      </c>
      <c r="B180">
        <v>42.36</v>
      </c>
      <c r="C180">
        <v>43.61</v>
      </c>
      <c r="D180">
        <v>42.29</v>
      </c>
      <c r="E180" s="28">
        <v>43.49</v>
      </c>
      <c r="F180">
        <v>1710200</v>
      </c>
    </row>
    <row r="181" spans="1:6">
      <c r="A181" s="84">
        <v>41157</v>
      </c>
      <c r="B181">
        <v>41.86</v>
      </c>
      <c r="C181">
        <v>42.24</v>
      </c>
      <c r="D181">
        <v>41.74</v>
      </c>
      <c r="E181" s="28">
        <v>42.18</v>
      </c>
      <c r="F181">
        <v>1323100</v>
      </c>
    </row>
    <row r="182" spans="1:6">
      <c r="A182" s="84">
        <v>41156</v>
      </c>
      <c r="B182">
        <v>41.43</v>
      </c>
      <c r="C182">
        <v>42.13</v>
      </c>
      <c r="D182">
        <v>41.31</v>
      </c>
      <c r="E182" s="28">
        <v>42</v>
      </c>
      <c r="F182">
        <v>1093100</v>
      </c>
    </row>
    <row r="183" spans="1:6">
      <c r="A183" s="84">
        <v>41155</v>
      </c>
      <c r="B183">
        <v>41.4</v>
      </c>
      <c r="C183">
        <v>41.4</v>
      </c>
      <c r="D183">
        <v>41.4</v>
      </c>
      <c r="E183" s="28">
        <v>41.4</v>
      </c>
      <c r="F183">
        <v>0</v>
      </c>
    </row>
    <row r="184" spans="1:6">
      <c r="A184" s="84">
        <v>41152</v>
      </c>
      <c r="B184">
        <v>41.46</v>
      </c>
      <c r="C184">
        <v>41.82</v>
      </c>
      <c r="D184">
        <v>41.07</v>
      </c>
      <c r="E184" s="28">
        <v>41.4</v>
      </c>
      <c r="F184">
        <v>1066600</v>
      </c>
    </row>
    <row r="185" spans="1:6">
      <c r="A185" s="84">
        <v>41151</v>
      </c>
      <c r="B185">
        <v>41.57</v>
      </c>
      <c r="C185">
        <v>41.6</v>
      </c>
      <c r="D185">
        <v>40.98</v>
      </c>
      <c r="E185" s="28">
        <v>41.09</v>
      </c>
      <c r="F185">
        <v>780100</v>
      </c>
    </row>
    <row r="186" spans="1:6">
      <c r="A186" s="84">
        <v>41150</v>
      </c>
      <c r="B186">
        <v>41.54</v>
      </c>
      <c r="C186">
        <v>41.82</v>
      </c>
      <c r="D186">
        <v>41.44</v>
      </c>
      <c r="E186" s="28">
        <v>41.75</v>
      </c>
      <c r="F186">
        <v>815200</v>
      </c>
    </row>
    <row r="187" spans="1:6">
      <c r="A187" s="84">
        <v>41149</v>
      </c>
      <c r="B187">
        <v>41.58</v>
      </c>
      <c r="C187">
        <v>41.94</v>
      </c>
      <c r="D187">
        <v>41.36</v>
      </c>
      <c r="E187" s="28">
        <v>41.68</v>
      </c>
      <c r="F187">
        <v>980000</v>
      </c>
    </row>
    <row r="188" spans="1:6">
      <c r="A188" s="84">
        <v>41148</v>
      </c>
      <c r="B188">
        <v>42.2</v>
      </c>
      <c r="C188">
        <v>42.22</v>
      </c>
      <c r="D188">
        <v>41.48</v>
      </c>
      <c r="E188" s="28">
        <v>41.54</v>
      </c>
      <c r="F188">
        <v>1056700</v>
      </c>
    </row>
    <row r="189" spans="1:6">
      <c r="A189" s="84">
        <v>41145</v>
      </c>
      <c r="B189">
        <v>41.86</v>
      </c>
      <c r="C189">
        <v>42.51</v>
      </c>
      <c r="D189">
        <v>41.81</v>
      </c>
      <c r="E189" s="28">
        <v>42.14</v>
      </c>
      <c r="F189">
        <v>1097900</v>
      </c>
    </row>
    <row r="190" spans="1:6">
      <c r="A190" s="84">
        <v>41144</v>
      </c>
      <c r="B190">
        <v>41.99</v>
      </c>
      <c r="C190">
        <v>42.35</v>
      </c>
      <c r="D190">
        <v>41.82</v>
      </c>
      <c r="E190" s="28">
        <v>42.04</v>
      </c>
      <c r="F190">
        <v>909300</v>
      </c>
    </row>
    <row r="191" spans="1:6">
      <c r="A191" s="84">
        <v>41143</v>
      </c>
      <c r="B191">
        <v>42.27</v>
      </c>
      <c r="C191">
        <v>42.42</v>
      </c>
      <c r="D191">
        <v>42.05</v>
      </c>
      <c r="E191" s="28">
        <v>42.17</v>
      </c>
      <c r="F191">
        <v>1272600</v>
      </c>
    </row>
    <row r="192" spans="1:6">
      <c r="A192" s="84">
        <v>41142</v>
      </c>
      <c r="B192">
        <v>42.26</v>
      </c>
      <c r="C192">
        <v>42.59</v>
      </c>
      <c r="D192">
        <v>42.14</v>
      </c>
      <c r="E192" s="28">
        <v>42.28</v>
      </c>
      <c r="F192">
        <v>1156900</v>
      </c>
    </row>
    <row r="193" spans="1:6">
      <c r="A193" s="84">
        <v>41141</v>
      </c>
      <c r="B193">
        <v>42.8</v>
      </c>
      <c r="C193">
        <v>42.8</v>
      </c>
      <c r="D193">
        <v>42.15</v>
      </c>
      <c r="E193" s="28">
        <v>42.24</v>
      </c>
      <c r="F193">
        <v>1209100</v>
      </c>
    </row>
    <row r="194" spans="1:6">
      <c r="A194" s="84">
        <v>41138</v>
      </c>
      <c r="B194">
        <v>42.48</v>
      </c>
      <c r="C194">
        <v>42.8</v>
      </c>
      <c r="D194">
        <v>41.89</v>
      </c>
      <c r="E194" s="28">
        <v>42.66</v>
      </c>
      <c r="F194">
        <v>1534100</v>
      </c>
    </row>
    <row r="195" spans="1:6">
      <c r="A195" s="84">
        <v>41137</v>
      </c>
      <c r="B195">
        <v>41.5</v>
      </c>
      <c r="C195">
        <v>42.43</v>
      </c>
      <c r="D195">
        <v>41.43</v>
      </c>
      <c r="E195" s="28">
        <v>42.4</v>
      </c>
      <c r="F195">
        <v>1482700</v>
      </c>
    </row>
    <row r="196" spans="1:6">
      <c r="A196" s="84">
        <v>41136</v>
      </c>
      <c r="B196">
        <v>40.99</v>
      </c>
      <c r="C196">
        <v>41.51</v>
      </c>
      <c r="D196">
        <v>40.85</v>
      </c>
      <c r="E196" s="28">
        <v>41.4</v>
      </c>
      <c r="F196">
        <v>609600</v>
      </c>
    </row>
    <row r="197" spans="1:6">
      <c r="A197" s="84">
        <v>41135</v>
      </c>
      <c r="B197">
        <v>41.11</v>
      </c>
      <c r="C197">
        <v>41.65</v>
      </c>
      <c r="D197">
        <v>40.94</v>
      </c>
      <c r="E197" s="28">
        <v>41.05</v>
      </c>
      <c r="F197">
        <v>1387400</v>
      </c>
    </row>
    <row r="198" spans="1:6">
      <c r="A198" s="84">
        <v>41134</v>
      </c>
      <c r="B198">
        <v>41.13</v>
      </c>
      <c r="C198">
        <v>41.33</v>
      </c>
      <c r="D198">
        <v>40.9</v>
      </c>
      <c r="E198" s="28">
        <v>41.01</v>
      </c>
      <c r="F198">
        <v>1147800</v>
      </c>
    </row>
    <row r="199" spans="1:6">
      <c r="A199" s="84">
        <v>41131</v>
      </c>
      <c r="B199">
        <v>40.93</v>
      </c>
      <c r="C199">
        <v>41.29</v>
      </c>
      <c r="D199">
        <v>40.9</v>
      </c>
      <c r="E199" s="28">
        <v>41.25</v>
      </c>
      <c r="F199">
        <v>843700</v>
      </c>
    </row>
    <row r="200" spans="1:6">
      <c r="A200" s="84">
        <v>41130</v>
      </c>
      <c r="B200">
        <v>40.71</v>
      </c>
      <c r="C200">
        <v>41.4</v>
      </c>
      <c r="D200">
        <v>40.68</v>
      </c>
      <c r="E200" s="28">
        <v>41</v>
      </c>
      <c r="F200">
        <v>1527000</v>
      </c>
    </row>
    <row r="201" spans="1:6">
      <c r="A201" s="84">
        <v>41129</v>
      </c>
      <c r="B201">
        <v>40.590000000000003</v>
      </c>
      <c r="C201">
        <v>41.23</v>
      </c>
      <c r="D201">
        <v>40.5</v>
      </c>
      <c r="E201" s="28">
        <v>40.93</v>
      </c>
      <c r="F201">
        <v>2104600</v>
      </c>
    </row>
    <row r="202" spans="1:6">
      <c r="A202" s="84">
        <v>41128</v>
      </c>
      <c r="B202">
        <v>40.340000000000003</v>
      </c>
      <c r="C202">
        <v>41.07</v>
      </c>
      <c r="D202">
        <v>40.32</v>
      </c>
      <c r="E202" s="28">
        <v>40.76</v>
      </c>
      <c r="F202">
        <v>2185300</v>
      </c>
    </row>
    <row r="203" spans="1:6">
      <c r="A203" s="84">
        <v>41127</v>
      </c>
      <c r="B203">
        <v>39.35</v>
      </c>
      <c r="C203">
        <v>40.72</v>
      </c>
      <c r="D203">
        <v>39.25</v>
      </c>
      <c r="E203" s="28">
        <v>40.340000000000003</v>
      </c>
      <c r="F203">
        <v>2203300</v>
      </c>
    </row>
    <row r="204" spans="1:6">
      <c r="A204" s="84">
        <v>41124</v>
      </c>
      <c r="B204">
        <v>38.26</v>
      </c>
      <c r="C204">
        <v>39.36</v>
      </c>
      <c r="D204">
        <v>38.08</v>
      </c>
      <c r="E204" s="28">
        <v>39.130000000000003</v>
      </c>
      <c r="F204">
        <v>2363800</v>
      </c>
    </row>
    <row r="205" spans="1:6">
      <c r="A205" s="84">
        <v>41123</v>
      </c>
      <c r="B205">
        <v>36.869999999999997</v>
      </c>
      <c r="C205">
        <v>37.86</v>
      </c>
      <c r="D205">
        <v>36.61</v>
      </c>
      <c r="E205" s="28">
        <v>37.81</v>
      </c>
      <c r="F205">
        <v>1965800</v>
      </c>
    </row>
    <row r="206" spans="1:6">
      <c r="A206" s="84">
        <v>41122</v>
      </c>
      <c r="B206">
        <v>36.92</v>
      </c>
      <c r="C206">
        <v>37.96</v>
      </c>
      <c r="D206">
        <v>35.479999999999997</v>
      </c>
      <c r="E206" s="28">
        <v>37.51</v>
      </c>
      <c r="F206">
        <v>4906500</v>
      </c>
    </row>
    <row r="207" spans="1:6">
      <c r="A207" s="84">
        <v>41121</v>
      </c>
      <c r="B207">
        <v>39.770000000000003</v>
      </c>
      <c r="C207">
        <v>39.99</v>
      </c>
      <c r="D207">
        <v>39.17</v>
      </c>
      <c r="E207" s="28">
        <v>39.6</v>
      </c>
      <c r="F207">
        <v>2479700</v>
      </c>
    </row>
    <row r="208" spans="1:6">
      <c r="A208" s="84">
        <v>41120</v>
      </c>
      <c r="B208">
        <v>39.93</v>
      </c>
      <c r="C208">
        <v>40.479999999999997</v>
      </c>
      <c r="D208">
        <v>39.29</v>
      </c>
      <c r="E208" s="28">
        <v>39.520000000000003</v>
      </c>
      <c r="F208">
        <v>1893200</v>
      </c>
    </row>
    <row r="209" spans="1:6">
      <c r="A209" s="84">
        <v>41117</v>
      </c>
      <c r="B209">
        <v>40</v>
      </c>
      <c r="C209">
        <v>40.11</v>
      </c>
      <c r="D209">
        <v>39.18</v>
      </c>
      <c r="E209" s="28">
        <v>39.76</v>
      </c>
      <c r="F209">
        <v>1922400</v>
      </c>
    </row>
    <row r="210" spans="1:6">
      <c r="A210" s="84">
        <v>41116</v>
      </c>
      <c r="B210">
        <v>39.840000000000003</v>
      </c>
      <c r="C210">
        <v>40.42</v>
      </c>
      <c r="D210">
        <v>39.4</v>
      </c>
      <c r="E210" s="28">
        <v>39.92</v>
      </c>
      <c r="F210">
        <v>1069200</v>
      </c>
    </row>
    <row r="211" spans="1:6">
      <c r="A211" s="84">
        <v>41115</v>
      </c>
      <c r="B211">
        <v>38.71</v>
      </c>
      <c r="C211">
        <v>39.43</v>
      </c>
      <c r="D211">
        <v>38.58</v>
      </c>
      <c r="E211" s="28">
        <v>39.130000000000003</v>
      </c>
      <c r="F211">
        <v>1218100</v>
      </c>
    </row>
    <row r="212" spans="1:6">
      <c r="A212" s="84">
        <v>41114</v>
      </c>
      <c r="B212">
        <v>39.31</v>
      </c>
      <c r="C212">
        <v>39.44</v>
      </c>
      <c r="D212">
        <v>38.520000000000003</v>
      </c>
      <c r="E212" s="28">
        <v>38.75</v>
      </c>
      <c r="F212">
        <v>1632900</v>
      </c>
    </row>
    <row r="213" spans="1:6">
      <c r="A213" s="84">
        <v>41113</v>
      </c>
      <c r="B213">
        <v>39.64</v>
      </c>
      <c r="C213">
        <v>39.72</v>
      </c>
      <c r="D213">
        <v>38.56</v>
      </c>
      <c r="E213" s="28">
        <v>39.299999999999997</v>
      </c>
      <c r="F213">
        <v>1595300</v>
      </c>
    </row>
    <row r="214" spans="1:6">
      <c r="A214" s="84">
        <v>41110</v>
      </c>
      <c r="B214">
        <v>40.880000000000003</v>
      </c>
      <c r="C214">
        <v>40.880000000000003</v>
      </c>
      <c r="D214">
        <v>40.229999999999997</v>
      </c>
      <c r="E214" s="28">
        <v>40.42</v>
      </c>
      <c r="F214">
        <v>1012800</v>
      </c>
    </row>
    <row r="215" spans="1:6">
      <c r="A215" s="84">
        <v>41109</v>
      </c>
      <c r="B215">
        <v>40.659999999999997</v>
      </c>
      <c r="C215">
        <v>41.27</v>
      </c>
      <c r="D215">
        <v>40.54</v>
      </c>
      <c r="E215" s="28">
        <v>40.83</v>
      </c>
      <c r="F215">
        <v>1302100</v>
      </c>
    </row>
    <row r="216" spans="1:6">
      <c r="A216" s="84">
        <v>41108</v>
      </c>
      <c r="B216">
        <v>39.17</v>
      </c>
      <c r="C216">
        <v>40.94</v>
      </c>
      <c r="D216">
        <v>39.090000000000003</v>
      </c>
      <c r="E216" s="28">
        <v>40.6</v>
      </c>
      <c r="F216">
        <v>1112200</v>
      </c>
    </row>
    <row r="217" spans="1:6">
      <c r="A217" s="84">
        <v>41107</v>
      </c>
      <c r="B217">
        <v>39.47</v>
      </c>
      <c r="C217">
        <v>39.619999999999997</v>
      </c>
      <c r="D217">
        <v>38.85</v>
      </c>
      <c r="E217" s="28">
        <v>39.51</v>
      </c>
      <c r="F217">
        <v>717200</v>
      </c>
    </row>
    <row r="218" spans="1:6">
      <c r="A218" s="84">
        <v>41106</v>
      </c>
      <c r="B218">
        <v>39.29</v>
      </c>
      <c r="C218">
        <v>39.479999999999997</v>
      </c>
      <c r="D218">
        <v>38.86</v>
      </c>
      <c r="E218" s="28">
        <v>39.32</v>
      </c>
      <c r="F218">
        <v>1218100</v>
      </c>
    </row>
    <row r="219" spans="1:6">
      <c r="A219" s="84">
        <v>41103</v>
      </c>
      <c r="B219">
        <v>39.020000000000003</v>
      </c>
      <c r="C219">
        <v>39.61</v>
      </c>
      <c r="D219">
        <v>38.94</v>
      </c>
      <c r="E219" s="28">
        <v>39.53</v>
      </c>
      <c r="F219">
        <v>1245300</v>
      </c>
    </row>
    <row r="220" spans="1:6">
      <c r="A220" s="84">
        <v>41102</v>
      </c>
      <c r="B220">
        <v>39.15</v>
      </c>
      <c r="C220">
        <v>39.33</v>
      </c>
      <c r="D220">
        <v>38.76</v>
      </c>
      <c r="E220" s="28">
        <v>39.07</v>
      </c>
      <c r="F220">
        <v>1199600</v>
      </c>
    </row>
    <row r="221" spans="1:6">
      <c r="A221" s="84">
        <v>41101</v>
      </c>
      <c r="B221">
        <v>39.64</v>
      </c>
      <c r="C221">
        <v>40.1</v>
      </c>
      <c r="D221">
        <v>39.21</v>
      </c>
      <c r="E221" s="28">
        <v>39.450000000000003</v>
      </c>
      <c r="F221">
        <v>1108700</v>
      </c>
    </row>
    <row r="222" spans="1:6">
      <c r="A222" s="84">
        <v>41100</v>
      </c>
      <c r="B222">
        <v>40.340000000000003</v>
      </c>
      <c r="C222">
        <v>40.6</v>
      </c>
      <c r="D222">
        <v>39.44</v>
      </c>
      <c r="E222" s="28">
        <v>39.64</v>
      </c>
      <c r="F222">
        <v>1340900</v>
      </c>
    </row>
    <row r="223" spans="1:6">
      <c r="A223" s="84">
        <v>41099</v>
      </c>
      <c r="B223">
        <v>40.47</v>
      </c>
      <c r="C223">
        <v>40.61</v>
      </c>
      <c r="D223">
        <v>39.82</v>
      </c>
      <c r="E223" s="28">
        <v>40.18</v>
      </c>
      <c r="F223">
        <v>1689500</v>
      </c>
    </row>
    <row r="224" spans="1:6">
      <c r="A224" s="84">
        <v>41096</v>
      </c>
      <c r="B224">
        <v>41.92</v>
      </c>
      <c r="C224">
        <v>42.12</v>
      </c>
      <c r="D224">
        <v>40.33</v>
      </c>
      <c r="E224" s="28">
        <v>40.67</v>
      </c>
      <c r="F224">
        <v>2169000</v>
      </c>
    </row>
    <row r="225" spans="1:6">
      <c r="A225" s="84">
        <v>41095</v>
      </c>
      <c r="B225">
        <v>42.38</v>
      </c>
      <c r="C225">
        <v>42.8</v>
      </c>
      <c r="D225">
        <v>41.97</v>
      </c>
      <c r="E225" s="28">
        <v>42.18</v>
      </c>
      <c r="F225">
        <v>1235000</v>
      </c>
    </row>
    <row r="226" spans="1:6">
      <c r="A226" s="84">
        <v>41094</v>
      </c>
      <c r="B226">
        <v>42.29</v>
      </c>
      <c r="C226">
        <v>42.29</v>
      </c>
      <c r="D226">
        <v>42.29</v>
      </c>
      <c r="E226" s="28">
        <v>42.29</v>
      </c>
      <c r="F226">
        <v>0</v>
      </c>
    </row>
    <row r="227" spans="1:6">
      <c r="A227" s="84">
        <v>41093</v>
      </c>
      <c r="B227">
        <v>42.91</v>
      </c>
      <c r="C227">
        <v>42.94</v>
      </c>
      <c r="D227">
        <v>42.04</v>
      </c>
      <c r="E227" s="28">
        <v>42.29</v>
      </c>
      <c r="F227">
        <v>1223400</v>
      </c>
    </row>
    <row r="228" spans="1:6">
      <c r="A228" s="84">
        <v>41092</v>
      </c>
      <c r="B228">
        <v>43</v>
      </c>
      <c r="C228">
        <v>43.6</v>
      </c>
      <c r="D228">
        <v>42.44</v>
      </c>
      <c r="E228" s="28">
        <v>42.58</v>
      </c>
      <c r="F228">
        <v>1157800</v>
      </c>
    </row>
    <row r="229" spans="1:6">
      <c r="A229" s="84">
        <v>41089</v>
      </c>
      <c r="B229">
        <v>42.14</v>
      </c>
      <c r="C229">
        <v>42.7</v>
      </c>
      <c r="D229">
        <v>41.81</v>
      </c>
      <c r="E229" s="28">
        <v>42.68</v>
      </c>
      <c r="F229">
        <v>1657200</v>
      </c>
    </row>
    <row r="230" spans="1:6">
      <c r="A230" s="84">
        <v>41088</v>
      </c>
      <c r="B230">
        <v>41.5</v>
      </c>
      <c r="C230">
        <v>41.64</v>
      </c>
      <c r="D230">
        <v>40.950000000000003</v>
      </c>
      <c r="E230" s="28">
        <v>41.53</v>
      </c>
      <c r="F230">
        <v>733700</v>
      </c>
    </row>
    <row r="231" spans="1:6">
      <c r="A231" s="84">
        <v>41087</v>
      </c>
      <c r="B231">
        <v>41.69</v>
      </c>
      <c r="C231">
        <v>42.04</v>
      </c>
      <c r="D231">
        <v>41.39</v>
      </c>
      <c r="E231" s="28">
        <v>41.71</v>
      </c>
      <c r="F231">
        <v>1079600</v>
      </c>
    </row>
    <row r="232" spans="1:6">
      <c r="A232" s="84">
        <v>41086</v>
      </c>
      <c r="B232">
        <v>41.83</v>
      </c>
      <c r="C232">
        <v>42</v>
      </c>
      <c r="D232">
        <v>41.45</v>
      </c>
      <c r="E232" s="28">
        <v>41.52</v>
      </c>
      <c r="F232">
        <v>1325900</v>
      </c>
    </row>
    <row r="233" spans="1:6">
      <c r="A233" s="84">
        <v>41085</v>
      </c>
      <c r="B233">
        <v>42.67</v>
      </c>
      <c r="C233">
        <v>42.72</v>
      </c>
      <c r="D233">
        <v>41.73</v>
      </c>
      <c r="E233" s="28">
        <v>41.78</v>
      </c>
      <c r="F233">
        <v>1405400</v>
      </c>
    </row>
    <row r="234" spans="1:6">
      <c r="A234" s="84">
        <v>41082</v>
      </c>
      <c r="B234">
        <v>42.32</v>
      </c>
      <c r="C234">
        <v>43.02</v>
      </c>
      <c r="D234">
        <v>42.32</v>
      </c>
      <c r="E234" s="28">
        <v>42.9</v>
      </c>
      <c r="F234">
        <v>1898100</v>
      </c>
    </row>
    <row r="235" spans="1:6">
      <c r="A235" s="84">
        <v>41081</v>
      </c>
      <c r="B235">
        <v>43.77</v>
      </c>
      <c r="C235">
        <v>43.99</v>
      </c>
      <c r="D235">
        <v>42.18</v>
      </c>
      <c r="E235" s="28">
        <v>42.32</v>
      </c>
      <c r="F235">
        <v>2368500</v>
      </c>
    </row>
    <row r="236" spans="1:6">
      <c r="A236" s="84">
        <v>41080</v>
      </c>
      <c r="B236">
        <v>43.94</v>
      </c>
      <c r="C236">
        <v>44.2</v>
      </c>
      <c r="D236">
        <v>43.68</v>
      </c>
      <c r="E236" s="28">
        <v>43.96</v>
      </c>
      <c r="F236">
        <v>1455100</v>
      </c>
    </row>
    <row r="237" spans="1:6">
      <c r="A237" s="84">
        <v>41079</v>
      </c>
      <c r="B237">
        <v>44.3</v>
      </c>
      <c r="C237">
        <v>44.69</v>
      </c>
      <c r="D237">
        <v>43.64</v>
      </c>
      <c r="E237" s="28">
        <v>43.83</v>
      </c>
      <c r="F237">
        <v>1695400</v>
      </c>
    </row>
    <row r="238" spans="1:6">
      <c r="A238" s="84">
        <v>41078</v>
      </c>
      <c r="B238">
        <v>43.69</v>
      </c>
      <c r="C238">
        <v>44.32</v>
      </c>
      <c r="D238">
        <v>43.45</v>
      </c>
      <c r="E238" s="28">
        <v>44.01</v>
      </c>
      <c r="F238">
        <v>1407300</v>
      </c>
    </row>
    <row r="239" spans="1:6">
      <c r="A239" s="84">
        <v>41075</v>
      </c>
      <c r="B239">
        <v>43.07</v>
      </c>
      <c r="C239">
        <v>43.85</v>
      </c>
      <c r="D239">
        <v>42.92</v>
      </c>
      <c r="E239" s="28">
        <v>43.76</v>
      </c>
      <c r="F239">
        <v>2489400</v>
      </c>
    </row>
    <row r="240" spans="1:6">
      <c r="A240" s="84">
        <v>41074</v>
      </c>
      <c r="B240">
        <v>43.31</v>
      </c>
      <c r="C240">
        <v>43.65</v>
      </c>
      <c r="D240">
        <v>42.68</v>
      </c>
      <c r="E240" s="28">
        <v>43</v>
      </c>
      <c r="F240">
        <v>2866600</v>
      </c>
    </row>
    <row r="241" spans="1:6">
      <c r="A241" s="84">
        <v>41073</v>
      </c>
      <c r="B241">
        <v>43</v>
      </c>
      <c r="C241">
        <v>43.73</v>
      </c>
      <c r="D241">
        <v>42.52</v>
      </c>
      <c r="E241" s="28">
        <v>43.44</v>
      </c>
      <c r="F241">
        <v>2176800</v>
      </c>
    </row>
    <row r="242" spans="1:6">
      <c r="A242" s="84">
        <v>41072</v>
      </c>
      <c r="B242">
        <v>42.48</v>
      </c>
      <c r="C242">
        <v>43.29</v>
      </c>
      <c r="D242">
        <v>42.3</v>
      </c>
      <c r="E242" s="28">
        <v>43.25</v>
      </c>
      <c r="F242">
        <v>1772100</v>
      </c>
    </row>
    <row r="243" spans="1:6">
      <c r="A243" s="84">
        <v>41071</v>
      </c>
      <c r="B243">
        <v>43.67</v>
      </c>
      <c r="C243">
        <v>43.78</v>
      </c>
      <c r="D243">
        <v>42.38</v>
      </c>
      <c r="E243" s="28">
        <v>42.47</v>
      </c>
      <c r="F243">
        <v>1672800</v>
      </c>
    </row>
    <row r="244" spans="1:6">
      <c r="A244" s="84">
        <v>41068</v>
      </c>
      <c r="B244">
        <v>43.36</v>
      </c>
      <c r="C244">
        <v>43.84</v>
      </c>
      <c r="D244">
        <v>43.21</v>
      </c>
      <c r="E244" s="28">
        <v>43.7</v>
      </c>
      <c r="F244">
        <v>1416100</v>
      </c>
    </row>
    <row r="245" spans="1:6">
      <c r="A245" s="84">
        <v>41067</v>
      </c>
      <c r="B245">
        <v>44</v>
      </c>
      <c r="C245">
        <v>44.07</v>
      </c>
      <c r="D245">
        <v>43.32</v>
      </c>
      <c r="E245" s="28">
        <v>43.71</v>
      </c>
      <c r="F245">
        <v>2255900</v>
      </c>
    </row>
    <row r="246" spans="1:6">
      <c r="A246" s="84">
        <v>41066</v>
      </c>
      <c r="B246">
        <v>42.52</v>
      </c>
      <c r="C246">
        <v>43.71</v>
      </c>
      <c r="D246">
        <v>42.36</v>
      </c>
      <c r="E246" s="28">
        <v>43.71</v>
      </c>
      <c r="F246">
        <v>1886000</v>
      </c>
    </row>
    <row r="247" spans="1:6">
      <c r="A247" s="84">
        <v>41065</v>
      </c>
      <c r="B247">
        <v>41.24</v>
      </c>
      <c r="C247">
        <v>42.38</v>
      </c>
      <c r="D247">
        <v>41.23</v>
      </c>
      <c r="E247" s="28">
        <v>42.23</v>
      </c>
      <c r="F247">
        <v>1126500</v>
      </c>
    </row>
    <row r="248" spans="1:6">
      <c r="A248" s="84">
        <v>41064</v>
      </c>
      <c r="B248">
        <v>42.04</v>
      </c>
      <c r="C248">
        <v>42.86</v>
      </c>
      <c r="D248">
        <v>41.27</v>
      </c>
      <c r="E248" s="28">
        <v>41.71</v>
      </c>
      <c r="F248">
        <v>1466500</v>
      </c>
    </row>
    <row r="249" spans="1:6">
      <c r="A249" s="84">
        <v>41061</v>
      </c>
      <c r="B249">
        <v>41.73</v>
      </c>
      <c r="C249">
        <v>42.56</v>
      </c>
      <c r="D249">
        <v>41.62</v>
      </c>
      <c r="E249" s="28">
        <v>41.89</v>
      </c>
      <c r="F249">
        <v>2829900</v>
      </c>
    </row>
    <row r="250" spans="1:6">
      <c r="A250" s="84">
        <v>41060</v>
      </c>
      <c r="B250">
        <v>43.12</v>
      </c>
      <c r="C250">
        <v>43.12</v>
      </c>
      <c r="D250">
        <v>41.77</v>
      </c>
      <c r="E250" s="28">
        <v>42.32</v>
      </c>
      <c r="F250">
        <v>3210800</v>
      </c>
    </row>
    <row r="251" spans="1:6">
      <c r="A251" s="84">
        <v>41059</v>
      </c>
      <c r="B251">
        <v>43.36</v>
      </c>
      <c r="C251">
        <v>43.38</v>
      </c>
      <c r="D251">
        <v>42.83</v>
      </c>
      <c r="E251" s="28">
        <v>43</v>
      </c>
      <c r="F251">
        <v>1445800</v>
      </c>
    </row>
    <row r="252" spans="1:6">
      <c r="A252" s="84">
        <v>41058</v>
      </c>
      <c r="B252">
        <v>44.05</v>
      </c>
      <c r="C252">
        <v>44.29</v>
      </c>
      <c r="D252">
        <v>43.27</v>
      </c>
      <c r="E252" s="28">
        <v>43.86</v>
      </c>
      <c r="F252">
        <v>1788200</v>
      </c>
    </row>
    <row r="253" spans="1:6">
      <c r="A253" s="84">
        <v>41057</v>
      </c>
      <c r="B253">
        <v>43.69</v>
      </c>
      <c r="C253">
        <v>43.69</v>
      </c>
      <c r="D253">
        <v>43.69</v>
      </c>
      <c r="E253" s="28">
        <v>43.69</v>
      </c>
      <c r="F253">
        <v>0</v>
      </c>
    </row>
    <row r="254" spans="1:6">
      <c r="A254" s="84">
        <v>41054</v>
      </c>
      <c r="B254">
        <v>43.15</v>
      </c>
      <c r="C254">
        <v>44.16</v>
      </c>
      <c r="D254">
        <v>43.01</v>
      </c>
      <c r="E254" s="28">
        <v>43.69</v>
      </c>
      <c r="F254">
        <v>2365600</v>
      </c>
    </row>
    <row r="255" spans="1:6">
      <c r="A255" s="84">
        <v>41053</v>
      </c>
      <c r="B255">
        <v>43.19</v>
      </c>
      <c r="C255">
        <v>43.24</v>
      </c>
      <c r="D255">
        <v>42.44</v>
      </c>
      <c r="E255" s="28">
        <v>42.97</v>
      </c>
      <c r="F255">
        <v>2489100</v>
      </c>
    </row>
    <row r="256" spans="1:6">
      <c r="A256" s="84">
        <v>41052</v>
      </c>
      <c r="B256">
        <v>42.37</v>
      </c>
      <c r="C256">
        <v>43.51</v>
      </c>
      <c r="D256">
        <v>42.01</v>
      </c>
      <c r="E256" s="28">
        <v>43.39</v>
      </c>
      <c r="F256">
        <v>2624200</v>
      </c>
    </row>
    <row r="257" spans="1:6">
      <c r="A257" s="84">
        <v>41051</v>
      </c>
      <c r="B257">
        <v>42.9</v>
      </c>
      <c r="C257">
        <v>43.01</v>
      </c>
      <c r="D257">
        <v>42.47</v>
      </c>
      <c r="E257" s="28">
        <v>42.73</v>
      </c>
      <c r="F257">
        <v>1839100</v>
      </c>
    </row>
    <row r="258" spans="1:6">
      <c r="A258" s="84">
        <v>41050</v>
      </c>
      <c r="B258">
        <v>41.59</v>
      </c>
      <c r="C258">
        <v>43.18</v>
      </c>
      <c r="D258">
        <v>41.49</v>
      </c>
      <c r="E258" s="28">
        <v>42.96</v>
      </c>
      <c r="F258">
        <v>2735200</v>
      </c>
    </row>
    <row r="259" spans="1:6">
      <c r="A259" s="84">
        <v>41047</v>
      </c>
      <c r="B259">
        <v>42.52</v>
      </c>
      <c r="C259">
        <v>43.05</v>
      </c>
      <c r="D259">
        <v>41.54</v>
      </c>
      <c r="E259" s="28">
        <v>41.66</v>
      </c>
      <c r="F259">
        <v>4568800</v>
      </c>
    </row>
    <row r="260" spans="1:6">
      <c r="A260" s="84">
        <v>41046</v>
      </c>
      <c r="B260">
        <v>43.5</v>
      </c>
      <c r="C260">
        <v>43.7</v>
      </c>
      <c r="D260">
        <v>42.35</v>
      </c>
      <c r="E260" s="28">
        <v>42.38</v>
      </c>
      <c r="F260">
        <v>2546500</v>
      </c>
    </row>
    <row r="261" spans="1:6">
      <c r="A261" s="84">
        <v>41045</v>
      </c>
      <c r="B261">
        <v>44.5</v>
      </c>
      <c r="C261">
        <v>44.5</v>
      </c>
      <c r="D261">
        <v>43.29</v>
      </c>
      <c r="E261" s="28">
        <v>43.3</v>
      </c>
      <c r="F261">
        <v>5806700</v>
      </c>
    </row>
    <row r="262" spans="1:6">
      <c r="A262" s="84">
        <v>41044</v>
      </c>
      <c r="B262">
        <v>43.75</v>
      </c>
      <c r="C262">
        <v>45.7</v>
      </c>
      <c r="D262">
        <v>42.88</v>
      </c>
      <c r="E262" s="28">
        <v>44.51</v>
      </c>
      <c r="F262">
        <v>9349900</v>
      </c>
    </row>
    <row r="263" spans="1:6">
      <c r="A263" s="84">
        <v>41043</v>
      </c>
      <c r="B263">
        <v>42.03</v>
      </c>
      <c r="C263">
        <v>44.35</v>
      </c>
      <c r="D263">
        <v>41.73</v>
      </c>
      <c r="E263" s="28">
        <v>43.92</v>
      </c>
      <c r="F263">
        <v>7045700</v>
      </c>
    </row>
    <row r="264" spans="1:6">
      <c r="A264" s="84">
        <v>41040</v>
      </c>
      <c r="B264">
        <v>40.11</v>
      </c>
      <c r="C264">
        <v>40.93</v>
      </c>
      <c r="D264">
        <v>40.07</v>
      </c>
      <c r="E264" s="28">
        <v>40.4</v>
      </c>
      <c r="F264">
        <v>1823400</v>
      </c>
    </row>
    <row r="265" spans="1:6">
      <c r="A265" s="84">
        <v>41039</v>
      </c>
      <c r="B265">
        <v>38.97</v>
      </c>
      <c r="C265">
        <v>40.68</v>
      </c>
      <c r="D265">
        <v>38.97</v>
      </c>
      <c r="E265" s="28">
        <v>40.28</v>
      </c>
      <c r="F265">
        <v>3679900</v>
      </c>
    </row>
    <row r="266" spans="1:6">
      <c r="A266" s="84">
        <v>41038</v>
      </c>
      <c r="B266">
        <v>39.46</v>
      </c>
      <c r="C266">
        <v>40.15</v>
      </c>
      <c r="D266">
        <v>39.08</v>
      </c>
      <c r="E266" s="28">
        <v>39.71</v>
      </c>
      <c r="F266">
        <v>2542600</v>
      </c>
    </row>
    <row r="267" spans="1:6">
      <c r="A267" s="84">
        <v>41037</v>
      </c>
      <c r="B267">
        <v>39.81</v>
      </c>
      <c r="C267">
        <v>39.92</v>
      </c>
      <c r="D267">
        <v>39.130000000000003</v>
      </c>
      <c r="E267" s="28">
        <v>39.86</v>
      </c>
      <c r="F267">
        <v>2381000</v>
      </c>
    </row>
    <row r="268" spans="1:6">
      <c r="A268" s="84">
        <v>41036</v>
      </c>
      <c r="B268">
        <v>39.9</v>
      </c>
      <c r="C268">
        <v>40.33</v>
      </c>
      <c r="D268">
        <v>39.86</v>
      </c>
      <c r="E268" s="28">
        <v>40.06</v>
      </c>
      <c r="F268">
        <v>1631100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LBO</vt:lpstr>
      <vt:lpstr>DCF</vt:lpstr>
      <vt:lpstr>Shares</vt:lpstr>
      <vt:lpstr>52wkHL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Wall Street Prep</dc:creator>
  <cp:lastModifiedBy>scottmccarthy</cp:lastModifiedBy>
  <cp:lastPrinted>2014-05-30T16:55:05Z</cp:lastPrinted>
  <dcterms:created xsi:type="dcterms:W3CDTF">2014-05-28T19:09:08Z</dcterms:created>
  <dcterms:modified xsi:type="dcterms:W3CDTF">2014-12-10T23:56:07Z</dcterms:modified>
</cp:coreProperties>
</file>