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уник\exel\"/>
    </mc:Choice>
  </mc:AlternateContent>
  <xr:revisionPtr revIDLastSave="0" documentId="13_ncr:1_{D6FB9D26-59A1-4C0D-B714-C5A19315117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Задание" sheetId="1" r:id="rId1"/>
    <sheet name="Задание 2" sheetId="5" r:id="rId2"/>
    <sheet name="Меры" sheetId="3" r:id="rId3"/>
    <sheet name="F" sheetId="2" r:id="rId4"/>
    <sheet name="Params" sheetId="4" r:id="rId5"/>
  </sheets>
  <definedNames>
    <definedName name="ExternalData_1" localSheetId="0" hidden="1">Задание!$A$12:$C$57</definedName>
    <definedName name="ExternalData_1" localSheetId="1" hidden="1">'Задание 2'!$A$9:$D$54</definedName>
    <definedName name="solver_adj" localSheetId="0" hidden="1">Задание!$N$5</definedName>
    <definedName name="solver_adj" localSheetId="1" hidden="1">'Задание 2'!$F$2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Задание!$N$5</definedName>
    <definedName name="solver_lhs1" localSheetId="1" hidden="1">'Задание 2'!$F$2</definedName>
    <definedName name="solver_lhs2" localSheetId="0" hidden="1">Задание!$O$5</definedName>
    <definedName name="solver_lhs2" localSheetId="1" hidden="1">'Задание 2'!$G$2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Задание!$Q$5</definedName>
    <definedName name="solver_opt" localSheetId="1" hidden="1">'Задание 2'!$I$2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hs1" localSheetId="0" hidden="1">1</definedName>
    <definedName name="solver_rhs1" localSheetId="1" hidden="1">1</definedName>
    <definedName name="solver_rhs2" localSheetId="0" hidden="1">0</definedName>
    <definedName name="solver_rhs2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 a="1"/>
  <c r="C2" i="5" s="1"/>
  <c r="C3" i="5" a="1"/>
  <c r="C3" i="5" s="1"/>
  <c r="I11" i="5"/>
  <c r="B3" i="5" s="1" a="1"/>
  <c r="B3" i="5" s="1"/>
  <c r="O3" i="5" s="1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G2" i="5"/>
  <c r="G11" i="5"/>
  <c r="H11" i="5"/>
  <c r="J11" i="5"/>
  <c r="G12" i="5"/>
  <c r="H12" i="5"/>
  <c r="J12" i="5"/>
  <c r="G13" i="5"/>
  <c r="H13" i="5"/>
  <c r="J13" i="5"/>
  <c r="G14" i="5"/>
  <c r="H14" i="5"/>
  <c r="J14" i="5"/>
  <c r="G15" i="5"/>
  <c r="H15" i="5"/>
  <c r="J15" i="5"/>
  <c r="G16" i="5"/>
  <c r="H16" i="5"/>
  <c r="J16" i="5"/>
  <c r="G17" i="5"/>
  <c r="H17" i="5"/>
  <c r="J17" i="5"/>
  <c r="G18" i="5"/>
  <c r="H18" i="5"/>
  <c r="J18" i="5"/>
  <c r="G19" i="5"/>
  <c r="H19" i="5"/>
  <c r="J19" i="5"/>
  <c r="G20" i="5"/>
  <c r="H20" i="5"/>
  <c r="J20" i="5"/>
  <c r="G21" i="5"/>
  <c r="H21" i="5"/>
  <c r="J21" i="5"/>
  <c r="G22" i="5"/>
  <c r="H22" i="5"/>
  <c r="J22" i="5"/>
  <c r="G23" i="5"/>
  <c r="H23" i="5"/>
  <c r="J23" i="5"/>
  <c r="G24" i="5"/>
  <c r="H24" i="5"/>
  <c r="J24" i="5"/>
  <c r="G25" i="5"/>
  <c r="H25" i="5"/>
  <c r="J25" i="5"/>
  <c r="G26" i="5"/>
  <c r="H26" i="5"/>
  <c r="J26" i="5"/>
  <c r="G27" i="5"/>
  <c r="H27" i="5"/>
  <c r="J27" i="5"/>
  <c r="G28" i="5"/>
  <c r="H28" i="5"/>
  <c r="J28" i="5"/>
  <c r="G29" i="5"/>
  <c r="H29" i="5"/>
  <c r="J29" i="5"/>
  <c r="G30" i="5"/>
  <c r="H30" i="5"/>
  <c r="J30" i="5"/>
  <c r="G31" i="5"/>
  <c r="H31" i="5"/>
  <c r="J31" i="5"/>
  <c r="G32" i="5"/>
  <c r="H32" i="5"/>
  <c r="J32" i="5"/>
  <c r="G33" i="5"/>
  <c r="H33" i="5"/>
  <c r="J33" i="5"/>
  <c r="G34" i="5"/>
  <c r="H34" i="5"/>
  <c r="J34" i="5"/>
  <c r="G35" i="5"/>
  <c r="H35" i="5"/>
  <c r="J35" i="5"/>
  <c r="G36" i="5"/>
  <c r="H36" i="5"/>
  <c r="J36" i="5"/>
  <c r="G37" i="5"/>
  <c r="H37" i="5"/>
  <c r="J37" i="5"/>
  <c r="G38" i="5"/>
  <c r="H38" i="5"/>
  <c r="J38" i="5"/>
  <c r="G39" i="5"/>
  <c r="H39" i="5"/>
  <c r="J39" i="5"/>
  <c r="G40" i="5"/>
  <c r="H40" i="5"/>
  <c r="J40" i="5"/>
  <c r="G41" i="5"/>
  <c r="H41" i="5"/>
  <c r="J41" i="5"/>
  <c r="G42" i="5"/>
  <c r="H42" i="5"/>
  <c r="J42" i="5"/>
  <c r="G43" i="5"/>
  <c r="H43" i="5"/>
  <c r="J43" i="5"/>
  <c r="G44" i="5"/>
  <c r="H44" i="5"/>
  <c r="J44" i="5"/>
  <c r="G45" i="5"/>
  <c r="H45" i="5"/>
  <c r="J45" i="5"/>
  <c r="M14" i="1"/>
  <c r="L14" i="1"/>
  <c r="P5" i="1"/>
  <c r="F10" i="1" a="1"/>
  <c r="F10" i="1" s="1"/>
  <c r="H46" i="5"/>
  <c r="J46" i="5"/>
  <c r="H47" i="5"/>
  <c r="J47" i="5"/>
  <c r="H48" i="5"/>
  <c r="J48" i="5"/>
  <c r="H49" i="5"/>
  <c r="J49" i="5"/>
  <c r="H50" i="5"/>
  <c r="J50" i="5"/>
  <c r="H51" i="5"/>
  <c r="J51" i="5"/>
  <c r="H52" i="5"/>
  <c r="J52" i="5"/>
  <c r="H53" i="5"/>
  <c r="J53" i="5"/>
  <c r="H54" i="5"/>
  <c r="J54" i="5"/>
  <c r="G46" i="5"/>
  <c r="G47" i="5"/>
  <c r="G48" i="5"/>
  <c r="G49" i="5"/>
  <c r="G50" i="5"/>
  <c r="G51" i="5"/>
  <c r="G52" i="5"/>
  <c r="G53" i="5"/>
  <c r="G54" i="5"/>
  <c r="D55" i="5"/>
  <c r="O5" i="1"/>
  <c r="K15" i="1"/>
  <c r="K16" i="1"/>
  <c r="K17" i="1"/>
  <c r="K18" i="1"/>
  <c r="K19" i="1"/>
  <c r="K20" i="1"/>
  <c r="K21" i="1"/>
  <c r="K22" i="1"/>
  <c r="K23" i="1"/>
  <c r="K24" i="1"/>
  <c r="G11" i="1" a="1"/>
  <c r="G11" i="1" s="1"/>
  <c r="F11" i="1" a="1"/>
  <c r="F11" i="1" s="1"/>
  <c r="G10" i="1" a="1"/>
  <c r="G10" i="1" s="1"/>
  <c r="K14" i="1"/>
  <c r="C58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4" i="1"/>
  <c r="B2" i="4" a="1"/>
  <c r="B2" i="4" s="1"/>
  <c r="U7" i="3"/>
  <c r="T7" i="3" s="1"/>
  <c r="S7" i="3" s="1"/>
  <c r="R7" i="3" s="1"/>
  <c r="Q7" i="3" s="1"/>
  <c r="P7" i="3" s="1"/>
  <c r="O7" i="3" s="1"/>
  <c r="N7" i="3" s="1"/>
  <c r="M7" i="3" s="1"/>
  <c r="L7" i="3" s="1"/>
  <c r="B2" i="5" l="1" a="1"/>
  <c r="B2" i="5" s="1"/>
  <c r="N5" i="5" s="1"/>
  <c r="L23" i="1"/>
  <c r="M18" i="1"/>
  <c r="L20" i="1"/>
  <c r="L19" i="1"/>
  <c r="M17" i="1"/>
  <c r="M24" i="1"/>
  <c r="M16" i="1"/>
  <c r="M23" i="1"/>
  <c r="M15" i="1"/>
  <c r="M22" i="1"/>
  <c r="L21" i="1"/>
  <c r="Q5" i="1"/>
  <c r="L18" i="1"/>
  <c r="M21" i="1"/>
  <c r="L17" i="1"/>
  <c r="M20" i="1"/>
  <c r="L24" i="1"/>
  <c r="L16" i="1"/>
  <c r="M19" i="1"/>
  <c r="L15" i="1"/>
  <c r="L22" i="1"/>
  <c r="N12" i="5" l="1"/>
  <c r="N4" i="5"/>
  <c r="N8" i="5"/>
  <c r="N10" i="5"/>
  <c r="N7" i="5"/>
  <c r="N9" i="5"/>
  <c r="H2" i="5"/>
  <c r="N3" i="5"/>
  <c r="N6" i="5"/>
  <c r="N11" i="5"/>
  <c r="N2" i="5"/>
  <c r="O7" i="5"/>
  <c r="O4" i="5"/>
  <c r="O8" i="5"/>
  <c r="O12" i="5"/>
  <c r="O2" i="5"/>
  <c r="O5" i="5"/>
  <c r="O9" i="5"/>
  <c r="O11" i="5"/>
  <c r="O10" i="5"/>
  <c r="O6" i="5"/>
  <c r="I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EEFF9-02C1-48C2-B3AD-D5384F6E4CA2}" keepAlive="1" name="Запрос — BANE" description="Соединение с запросом &quot;BANE&quot; в книге." type="5" refreshedVersion="0" background="1">
    <dbPr connection="Provider=Microsoft.Mashup.OleDb.1;Data Source=$Workbook$;Location=BANE;Extended Properties=&quot;&quot;" command="SELECT * FROM [BANE]"/>
  </connection>
  <connection id="2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0EAE199D-7B43-4E2A-BB5E-BCA21295B814}" keepAlive="1" name="Запрос — GaspSber" description="Соединение с запросом &quot;GaspSber&quot; в книге." type="5" refreshedVersion="8" background="1" saveData="1">
    <dbPr connection="Provider=Microsoft.Mashup.OleDb.1;Data Source=$Workbook$;Location=GaspSber;Extended Properties=&quot;&quot;" command="SELECT * FROM [GaspSber]"/>
  </connection>
  <connection id="4" xr16:uid="{492A3B84-C31F-43C4-A4C5-C95284A9E213}" keepAlive="1" name="Запрос — GaspSberBane" description="Соединение с запросом &quot;GaspSberBane&quot; в книге." type="5" refreshedVersion="8" background="1" saveData="1">
    <dbPr connection="Provider=Microsoft.Mashup.OleDb.1;Data Source=$Workbook$;Location=GaspSberBane;Extended Properties=&quot;&quot;" command="SELECT * FROM [GaspSberBane]"/>
  </connection>
  <connection id="5" xr16:uid="{3287755D-36FA-4AA8-B28E-5EF7D2C585F2}" keepAlive="1" name="Запрос — GAZP" description="Соединение с запросом &quot;GAZP&quot; в книге." type="5" refreshedVersion="0" background="1">
    <dbPr connection="Provider=Microsoft.Mashup.OleDb.1;Data Source=$Workbook$;Location=GAZP;Extended Properties=&quot;&quot;" command="SELECT * FROM [GAZP]"/>
  </connection>
  <connection id="6" xr16:uid="{1D30E6F1-3AD5-4A30-80D2-FA9AE3DF32FC}" keepAlive="1" name="Запрос — SBER" description="Соединение с запросом &quot;SBER&quot; в книге." type="5" refreshedVersion="0" background="1">
    <dbPr connection="Provider=Microsoft.Mashup.OleDb.1;Data Source=$Workbook$;Location=SBER;Extended Properties=&quot;&quot;" command="SELECT * FROM [SB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<sst xmlns="http://schemas.openxmlformats.org/spreadsheetml/2006/main" count="112" uniqueCount="81">
  <si>
    <t>НЕОБХОДИМЫЕ ФОРМУЛЫ</t>
  </si>
  <si>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</si>
  <si>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</si>
  <si>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</si>
  <si>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</si>
  <si>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</si>
  <si>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</si>
  <si>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</si>
  <si>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</si>
  <si>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</si>
  <si>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</si>
  <si>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</si>
  <si>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</si>
  <si>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</si>
  <si>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</si>
  <si>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</si>
  <si>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</si>
  <si>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</si>
  <si>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</si>
  <si>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</si>
  <si>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</si>
  <si>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</si>
  <si>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</si>
  <si>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</si>
  <si>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</si>
  <si>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</si>
  <si>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</si>
  <si>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</si>
  <si>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</si>
  <si>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</si>
  <si>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</si>
  <si>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</si>
  <si>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</si>
  <si>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</si>
  <si>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</si>
  <si>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</si>
  <si>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</si>
  <si>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</si>
  <si>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</si>
  <si>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</si>
  <si>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</si>
  <si>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</si>
  <si>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</si>
  <si>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</si>
  <si>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</si>
  <si>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</si>
  <si>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</si>
  <si>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</si>
  <si>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</si>
  <si>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</si>
  <si>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</si>
  <si>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</si>
  <si>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</si>
  <si>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</si>
  <si>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</si>
  <si>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</si>
  <si>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</si>
  <si>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</si>
  <si>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</si>
  <si>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</si>
  <si>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&lt;DATE&gt;</t>
  </si>
  <si>
    <t>GAZP.&lt;CLOSE&gt;</t>
  </si>
  <si>
    <t>SBER.&lt;CLOSE&gt;</t>
  </si>
  <si>
    <t>Итог</t>
  </si>
  <si>
    <t>w1</t>
  </si>
  <si>
    <t>w2</t>
  </si>
  <si>
    <t>sigma</t>
  </si>
  <si>
    <t>s</t>
  </si>
  <si>
    <t>Столбец1</t>
  </si>
  <si>
    <t>Столбец2</t>
  </si>
  <si>
    <t>портфель минимального риска</t>
  </si>
  <si>
    <t>BANE.&lt;CLOSE&gt;</t>
  </si>
  <si>
    <t>Gasp</t>
  </si>
  <si>
    <t>Sber</t>
  </si>
  <si>
    <t>Bane</t>
  </si>
  <si>
    <t>w1w2</t>
  </si>
  <si>
    <t>w3</t>
  </si>
  <si>
    <t>sbergasp</t>
  </si>
  <si>
    <t>переменная</t>
  </si>
  <si>
    <t>SG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</si>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</sst>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14" fontId="0" fillId="0" borderId="0" xfId="0" applyNumberFormat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</cellXfs>
  <cellStyles count="3">
    <cellStyle name="Обычный" xfId="0" builtinId="0"/>
    <cellStyle name="Обычный 2" xfId="1" xr:uid="{DFA88403-7874-4CFE-8111-5046ED369C16}"/>
    <cellStyle name="Процентный 2" xfId="2" xr:uid="{1B6EFA44-0EAC-4E88-97CF-AFD05BC6869C}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Задание!$M$13</c:f>
              <c:strCache>
                <c:ptCount val="1"/>
                <c:pt idx="0">
                  <c:v>sigma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Задание!$L$14:$L$24</c:f>
              <c:numCache>
                <c:formatCode>General</c:formatCode>
                <c:ptCount val="11"/>
                <c:pt idx="0">
                  <c:v>0.10511499843391409</c:v>
                </c:pt>
                <c:pt idx="1">
                  <c:v>0.11923675745042286</c:v>
                </c:pt>
                <c:pt idx="2">
                  <c:v>0.13335851646693164</c:v>
                </c:pt>
                <c:pt idx="3">
                  <c:v>0.14748027548344039</c:v>
                </c:pt>
                <c:pt idx="4">
                  <c:v>0.1616020344999492</c:v>
                </c:pt>
                <c:pt idx="5">
                  <c:v>0.17572379351645795</c:v>
                </c:pt>
                <c:pt idx="6">
                  <c:v>0.18984555253296675</c:v>
                </c:pt>
                <c:pt idx="7">
                  <c:v>0.20396731154947551</c:v>
                </c:pt>
                <c:pt idx="8">
                  <c:v>0.21808907056598428</c:v>
                </c:pt>
                <c:pt idx="9">
                  <c:v>0.23221082958249306</c:v>
                </c:pt>
                <c:pt idx="10">
                  <c:v>0.24633258859900184</c:v>
                </c:pt>
              </c:numCache>
            </c:numRef>
          </c:xVal>
          <c:yVal>
            <c:numRef>
              <c:f>Задание!$M$14:$M$24</c:f>
              <c:numCache>
                <c:formatCode>General</c:formatCode>
                <c:ptCount val="11"/>
                <c:pt idx="0">
                  <c:v>8.5250326526060669E-2</c:v>
                </c:pt>
                <c:pt idx="1">
                  <c:v>7.9876458984119686E-2</c:v>
                </c:pt>
                <c:pt idx="2">
                  <c:v>7.5522736372354043E-2</c:v>
                </c:pt>
                <c:pt idx="3">
                  <c:v>7.2373497917255336E-2</c:v>
                </c:pt>
                <c:pt idx="4">
                  <c:v>7.0590135108769839E-2</c:v>
                </c:pt>
                <c:pt idx="5">
                  <c:v>7.0276707598281377E-2</c:v>
                </c:pt>
                <c:pt idx="6">
                  <c:v>7.1452561670795542E-2</c:v>
                </c:pt>
                <c:pt idx="7">
                  <c:v>7.4046782442371395E-2</c:v>
                </c:pt>
                <c:pt idx="8">
                  <c:v>7.7917827825867092E-2</c:v>
                </c:pt>
                <c:pt idx="9">
                  <c:v>8.2886997040667321E-2</c:v>
                </c:pt>
                <c:pt idx="10">
                  <c:v>8.8770068976103997E-2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E1-4D02-8EA7-1E67DE90A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909760"/>
        <c:axId val="1520340960"/>
      </c:scatterChart>
      <c:valAx>
        <c:axId val="150990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0340960"/>
        <c:crosses val="autoZero"/>
        <c:crossBetween val="midCat"/>
      </c:valAx>
      <c:valAx>
        <c:axId val="15203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90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2'!$O$1</c:f>
              <c:strCache>
                <c:ptCount val="1"/>
                <c:pt idx="0">
                  <c:v>sigma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2'!$N$2:$N$12</c:f>
              <c:numCache>
                <c:formatCode>General</c:formatCode>
                <c:ptCount val="11"/>
                <c:pt idx="0">
                  <c:v>5.5067602133110398E-2</c:v>
                </c:pt>
                <c:pt idx="1">
                  <c:v>6.6584090114407385E-2</c:v>
                </c:pt>
                <c:pt idx="2">
                  <c:v>7.8100578095704365E-2</c:v>
                </c:pt>
                <c:pt idx="3">
                  <c:v>8.9617066077001345E-2</c:v>
                </c:pt>
                <c:pt idx="4">
                  <c:v>0.10113355405829834</c:v>
                </c:pt>
                <c:pt idx="5">
                  <c:v>0.11265004203959532</c:v>
                </c:pt>
                <c:pt idx="6">
                  <c:v>0.12416653002089229</c:v>
                </c:pt>
                <c:pt idx="7">
                  <c:v>0.13568301800218929</c:v>
                </c:pt>
                <c:pt idx="8">
                  <c:v>0.14719950598348627</c:v>
                </c:pt>
                <c:pt idx="9">
                  <c:v>0.15871599396478325</c:v>
                </c:pt>
                <c:pt idx="10">
                  <c:v>0.17023248194608023</c:v>
                </c:pt>
              </c:numCache>
            </c:numRef>
          </c:xVal>
          <c:yVal>
            <c:numRef>
              <c:f>'Задание 2'!$O$2:$O$12</c:f>
              <c:numCache>
                <c:formatCode>General</c:formatCode>
                <c:ptCount val="11"/>
                <c:pt idx="0">
                  <c:v>0.13911768193342899</c:v>
                </c:pt>
                <c:pt idx="1">
                  <c:v>0.12787886864647219</c:v>
                </c:pt>
                <c:pt idx="2">
                  <c:v>0.11704041658495895</c:v>
                </c:pt>
                <c:pt idx="3">
                  <c:v>0.1067243722434939</c:v>
                </c:pt>
                <c:pt idx="4">
                  <c:v>9.7097387171144064E-2</c:v>
                </c:pt>
                <c:pt idx="5">
                  <c:v>8.8384908261910464E-2</c:v>
                </c:pt>
                <c:pt idx="6">
                  <c:v>8.0883001117525805E-2</c:v>
                </c:pt>
                <c:pt idx="7">
                  <c:v>7.4956028305914843E-2</c:v>
                </c:pt>
                <c:pt idx="8">
                  <c:v>7.0999513641465284E-2</c:v>
                </c:pt>
                <c:pt idx="9">
                  <c:v>6.9351525892082544E-2</c:v>
                </c:pt>
                <c:pt idx="10">
                  <c:v>7.0174894357625167E-2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8D7-4A77-84AA-2C4640DE8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797951"/>
        <c:axId val="1790579087"/>
      </c:scatterChart>
      <c:valAx>
        <c:axId val="195879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579087"/>
        <c:crosses val="autoZero"/>
        <c:crossBetween val="midCat"/>
      </c:valAx>
      <c:valAx>
        <c:axId val="179057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79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405764</xdr:colOff>
      <xdr:row>1</xdr:row>
      <xdr:rowOff>81915</xdr:rowOff>
    </xdr:from>
    <xdr:ext cx="7397115" cy="1188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405764" y="264795"/>
          <a:ext cx="7397115" cy="118814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  <xdr:twoCellAnchor>
    <xdr:from>
      <xdr:col>9</xdr:col>
      <xdr:colOff>38100</xdr:colOff>
      <xdr:row>25</xdr:row>
      <xdr:rowOff>47625</xdr:rowOff>
    </xdr:from>
    <xdr:to>
      <xdr:col>16</xdr:col>
      <xdr:colOff>342900</xdr:colOff>
      <xdr:row>40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E593EBC-D9A5-2B59-74DA-5894360EB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3242</xdr:colOff>
      <xdr:row>13</xdr:row>
      <xdr:rowOff>453</xdr:rowOff>
    </xdr:from>
    <xdr:to>
      <xdr:col>18</xdr:col>
      <xdr:colOff>306421</xdr:colOff>
      <xdr:row>27</xdr:row>
      <xdr:rowOff>165553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B3FD90B-A695-1820-2272-EFBF538C6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8D0822-256B-47A0-ACBA-B072D72837BD}" autoFormatId="16" applyNumberFormats="0" applyBorderFormats="0" applyFontFormats="0" applyPatternFormats="0" applyAlignmentFormats="0" applyWidthHeightFormats="0">
  <queryTableRefresh nextId="4">
    <queryTableFields count="3">
      <queryTableField id="1" name="&lt;DATE&gt;" tableColumnId="1"/>
      <queryTableField id="2" name="GAZP.&lt;CLOSE&gt;" tableColumnId="2"/>
      <queryTableField id="3" name="SBER.&lt;CLOSE&gt;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6B6FD3D-DCC9-4C77-A777-33A19849F64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&lt;DATE&gt;" tableColumnId="1"/>
      <queryTableField id="2" name="GAZP.&lt;CLOSE&gt;" tableColumnId="2"/>
      <queryTableField id="3" name="SBER.&lt;CLOSE&gt;" tableColumnId="3"/>
      <queryTableField id="4" name="BANE.&lt;CLOSE&gt;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D1148-768C-42D7-84EE-6F2132309291}" name="GaspSber" displayName="GaspSber" ref="A12:C58" tableType="queryTable" totalsRowCount="1">
  <autoFilter ref="A12:C57" xr:uid="{1ACD1148-768C-42D7-84EE-6F2132309291}"/>
  <tableColumns count="3">
    <tableColumn id="1" xr3:uid="{2831415B-CE5B-4191-BCA0-984C58538C07}" uniqueName="1" name="&lt;DATE&gt;" totalsRowLabel="Итог" queryTableFieldId="1" dataDxfId="3"/>
    <tableColumn id="2" xr3:uid="{437517CA-37C0-4E7F-9230-7F50C28C272B}" uniqueName="2" name="GAZP.&lt;CLOSE&gt;" queryTableFieldId="2"/>
    <tableColumn id="3" xr3:uid="{ADFA98C1-3049-49A3-95AC-0B99B301E93A}" uniqueName="3" name="SBER.&lt;CLOSE&gt;" totalsRowFunction="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D067D-CD97-47C6-8BF1-635C13C081CB}" name="Таблица3" displayName="Таблица3" ref="F13:G57" totalsRowShown="0">
  <autoFilter ref="F13:G57" xr:uid="{43ED067D-CD97-47C6-8BF1-635C13C081CB}"/>
  <tableColumns count="2">
    <tableColumn id="1" xr3:uid="{1723EC75-45D9-4638-B54B-058B01DC810B}" name="Столбец1">
      <calculatedColumnFormula>(B14-B13)/B13</calculatedColumnFormula>
    </tableColumn>
    <tableColumn id="2" xr3:uid="{20D1C0CC-626A-4154-9A53-CFC8BA04C0F8}" name="Столбец2">
      <calculatedColumnFormula>(C14-C13)/C13</calculatedColumnFormula>
    </tableColumn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1004A3-97EE-4727-8356-05A27A3B4A48}" name="Таблица4" displayName="Таблица4" ref="J13:M24" totalsRowShown="0">
  <autoFilter ref="J13:M24" xr:uid="{FA1004A3-97EE-4727-8356-05A27A3B4A48}"/>
  <tableColumns count="4">
    <tableColumn id="1" xr3:uid="{A6537CBC-D961-499A-A091-F0F85E6D0050}" name="w1"/>
    <tableColumn id="2" xr3:uid="{9210EA67-3065-4D8E-923A-E433249F656C}" name="w2">
      <calculatedColumnFormula>1-J14</calculatedColumnFormula>
    </tableColumn>
    <tableColumn id="3" xr3:uid="{726CD562-D8D0-49DB-8C6A-CC9F8CE9312C}" name="r">
      <calculatedColumnFormula>SUMPRODUCT(J14:K14,$F$10:$G$10)</calculatedColumnFormula>
    </tableColumn>
    <tableColumn id="4" xr3:uid="{D3E782E9-48E8-4BD1-BE60-79DEC1EADF42}" name="sigma">
      <calculatedColumnFormula>SQRT(J14^2*$F$11^2 +K14^2 * $G$11^2 + 2*J14*K14*$F$11*$G$11*CORREL(Таблица3[Столбец1],Таблица3[Столбец2]))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1E10B7-231E-4D19-A400-899BB6D5E4B8}" name="GaspSberBane" displayName="GaspSberBane" ref="A9:E55" tableType="queryTable" totalsRowCount="1">
  <autoFilter ref="A9:E54" xr:uid="{911E10B7-231E-4D19-A400-899BB6D5E4B8}"/>
  <tableColumns count="5">
    <tableColumn id="1" xr3:uid="{AAE5B352-9F05-411D-AF38-6BDC32FC7991}" uniqueName="1" name="&lt;DATE&gt;" totalsRowLabel="Итог" queryTableFieldId="1" dataDxfId="2"/>
    <tableColumn id="2" xr3:uid="{F974F61F-E65B-410E-BC70-8FA1631CB6DE}" uniqueName="2" name="GAZP.&lt;CLOSE&gt;" queryTableFieldId="2"/>
    <tableColumn id="3" xr3:uid="{DECA1BF2-B334-4633-ABED-1FFB0CA432CD}" uniqueName="3" name="SBER.&lt;CLOSE&gt;" queryTableFieldId="3"/>
    <tableColumn id="4" xr3:uid="{8415C7B0-8B5B-4305-8D2F-481326B39BAC}" uniqueName="4" name="BANE.&lt;CLOSE&gt;" totalsRowFunction="count" queryTableFieldId="4"/>
    <tableColumn id="5" xr3:uid="{4FCD6CA7-4933-4562-BE54-0E3CFDA7D282}" uniqueName="5" name="Столбец1" queryTableFieldId="5" dataDxfId="1">
      <calculatedColumnFormula>0.47*GaspSberBane[[#This Row],[GAZP.&lt;CLOSE&gt;]]+0.53*GaspSberBane[[#This Row],[SBER.&lt;CLOSE&gt;]]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F8B74E-7355-4FD5-BD18-43D3F3113DA0}" name="Таблица6" displayName="Таблица6" ref="G10:J54" totalsRowShown="0">
  <autoFilter ref="G10:J54" xr:uid="{50F8B74E-7355-4FD5-BD18-43D3F3113DA0}"/>
  <tableColumns count="4">
    <tableColumn id="1" xr3:uid="{D8301E73-E525-440B-81CB-E95E97150931}" name="Gasp">
      <calculatedColumnFormula>(B11-B10)/B10</calculatedColumnFormula>
    </tableColumn>
    <tableColumn id="2" xr3:uid="{8206752B-23BE-4FFE-B472-3C9994856D29}" name="Sber">
      <calculatedColumnFormula>(C11-C10)/C10</calculatedColumnFormula>
    </tableColumn>
    <tableColumn id="3" xr3:uid="{86D77FAE-1C57-4289-8773-6A699AB1B129}" name="sbergasp" dataDxfId="0">
      <calculatedColumnFormula>(GaspSberBane[[#This Row],[Столбец1]]-E10)/E10</calculatedColumnFormula>
    </tableColumn>
    <tableColumn id="4" xr3:uid="{82868836-CB82-4BB9-BA5C-43C832D84423}" name="Bane">
      <calculatedColumnFormula>(D11-D10)/D10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614904-7778-43E8-A6EA-1D7FA29622A2}" name="Таблица7" displayName="Таблица7" ref="L1:O12" totalsRowShown="0">
  <autoFilter ref="L1:O12" xr:uid="{30614904-7778-43E8-A6EA-1D7FA29622A2}"/>
  <tableColumns count="4">
    <tableColumn id="1" xr3:uid="{17301329-09D1-4C63-B040-7174ABF020FA}" name="w1w2"/>
    <tableColumn id="2" xr3:uid="{10C222DC-7FD2-4002-B5D4-AF937F0B4B92}" name="w3"/>
    <tableColumn id="3" xr3:uid="{94196EC0-CA45-4C6D-9C79-3547D01CC27C}" name="r">
      <calculatedColumnFormula>SUMPRODUCT(L2:M2,$B$2:$C$2)</calculatedColumnFormula>
    </tableColumn>
    <tableColumn id="4" xr3:uid="{5BE2A45B-709B-40E5-B742-7AA7AEA410B5}" name="sigma">
      <calculatedColumnFormula>SQRT(L2^2*$B$3^2 +M2^2 * $C$3^2 + 2*L2*M2*$B$3*$C$3*CORREL(Таблица6[sbergasp],Таблица6[Bane]))</calculatedColumnFormula>
    </tableColumn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A9C813-E3D4-425E-B58D-9B33413A8CEB}" name="Таблица8" displayName="Таблица8" ref="F1:I2" totalsRowShown="0">
  <autoFilter ref="F1:I2" xr:uid="{8AA9C813-E3D4-425E-B58D-9B33413A8CEB}"/>
  <tableColumns count="4">
    <tableColumn id="1" xr3:uid="{DDED9184-F01E-49C1-BA8C-83AE8D1A5097}" name="w1w2"/>
    <tableColumn id="2" xr3:uid="{026BF1BA-7484-4B98-B8FD-84692F4CC029}" name="w3">
      <calculatedColumnFormula>1-F2</calculatedColumnFormula>
    </tableColumn>
    <tableColumn id="3" xr3:uid="{6A7B2DE9-9745-42EC-A0CB-2BF82202F829}" name="r">
      <calculatedColumnFormula>SUMPRODUCT(F2:G2,B2:C2)</calculatedColumnFormula>
    </tableColumn>
    <tableColumn id="4" xr3:uid="{71202322-EBC9-4FD0-944E-CBC0E48B4012}" name="s">
      <calculatedColumnFormula>SQRT(F2^2*$B$3^2 +G2^2 * $C$3^2 + 2*F2*G2*$B$3*$C$3*CORREL(Таблица6[sbergasp],Таблица6[Bane]))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7ADA75-778D-44DD-A708-81BD239717F4}" name="Таблица9" displayName="Таблица9" ref="A1:C3" totalsRowShown="0">
  <autoFilter ref="A1:C3" xr:uid="{0B7ADA75-778D-44DD-A708-81BD239717F4}"/>
  <tableColumns count="3">
    <tableColumn id="1" xr3:uid="{462AD7DA-4C32-4E70-B0C1-E7F9ECDD387C}" name="переменная"/>
    <tableColumn id="2" xr3:uid="{CE92A825-81B8-4507-B6FD-9A4A4A4ECA86}" name="SG"/>
    <tableColumn id="3" xr3:uid="{6BF3ECD4-B42D-4D8E-B1EE-AEC71A2C630D}" name="B">
      <calculatedColumnFormula array="1">_xlfn.STDEV.S(Таблица6[Bane] * SQRT(GaspSberBane[[#Totals],[BANE.&lt;CLOSE&gt;]]))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8"/>
  <sheetViews>
    <sheetView topLeftCell="A10" zoomScale="58" workbookViewId="0">
      <selection activeCell="N14" sqref="N14"/>
    </sheetView>
  </sheetViews>
  <sheetFormatPr defaultRowHeight="14.5" x14ac:dyDescent="0.35"/>
  <cols>
    <col min="1" max="1" width="9.90625" bestFit="1" customWidth="1"/>
    <col min="2" max="2" width="15.453125" bestFit="1" customWidth="1"/>
    <col min="3" max="3" width="14.90625" bestFit="1" customWidth="1"/>
    <col min="5" max="6" width="11" customWidth="1"/>
  </cols>
  <sheetData>
    <row r="2" spans="1:17" x14ac:dyDescent="0.35">
      <c r="N2" t="s">
        <v>70</v>
      </c>
    </row>
    <row r="4" spans="1:17" x14ac:dyDescent="0.35">
      <c r="N4" t="s">
        <v>64</v>
      </c>
      <c r="O4" t="s">
        <v>65</v>
      </c>
      <c r="P4" t="s">
        <v>2</v>
      </c>
      <c r="Q4" t="s">
        <v>67</v>
      </c>
    </row>
    <row r="5" spans="1:17" x14ac:dyDescent="0.35">
      <c r="N5">
        <v>0.47094430983708629</v>
      </c>
      <c r="O5">
        <f>1-N5</f>
        <v>0.52905569016291376</v>
      </c>
      <c r="P5">
        <f>SUMPRODUCT(N5:O5,$F$10:$G$10)</f>
        <v>0.17162061897106784</v>
      </c>
      <c r="Q5">
        <f>SQRT(N5^2*$F$11^2 +O5^2 * $G$11^2 + 2*N5*O5*$F$11*$G$11*CORREL(Таблица3[Столбец1],Таблица3[Столбец2]))</f>
        <v>7.0213369271254253E-2</v>
      </c>
    </row>
    <row r="10" spans="1:17" x14ac:dyDescent="0.35">
      <c r="E10" t="s">
        <v>2</v>
      </c>
      <c r="F10" cm="1">
        <f t="array" ref="F10">AVERAGE(Таблица3[Столбец1]*GaspSber[[#Totals],[SBER.&lt;CLOSE&gt;]])</f>
        <v>0.24633258859900184</v>
      </c>
      <c r="G10" cm="1">
        <f t="array" ref="G10">AVERAGE(Таблица3[Столбец2]*GaspSber[[#Totals],[SBER.&lt;CLOSE&gt;]])</f>
        <v>0.10511499843391409</v>
      </c>
    </row>
    <row r="11" spans="1:17" x14ac:dyDescent="0.35">
      <c r="E11" t="s">
        <v>67</v>
      </c>
      <c r="F11" cm="1">
        <f t="array" ref="F11">_xlfn.STDEV.S(Таблица3[Столбец1] * SQRT(GaspSber[[#Totals],[SBER.&lt;CLOSE&gt;]]))</f>
        <v>8.8770068976103997E-2</v>
      </c>
      <c r="G11" cm="1">
        <f t="array" ref="G11">_xlfn.STDEV.S(Таблица3[Столбец2] * SQRT(GaspSber[[#Totals],[SBER.&lt;CLOSE&gt;]]))</f>
        <v>8.5250326526060669E-2</v>
      </c>
    </row>
    <row r="12" spans="1:17" x14ac:dyDescent="0.35">
      <c r="A12" t="s">
        <v>60</v>
      </c>
      <c r="B12" t="s">
        <v>61</v>
      </c>
      <c r="C12" t="s">
        <v>62</v>
      </c>
    </row>
    <row r="13" spans="1:17" x14ac:dyDescent="0.35">
      <c r="A13" s="39">
        <v>44410</v>
      </c>
      <c r="B13">
        <v>286.75</v>
      </c>
      <c r="C13">
        <v>306.51</v>
      </c>
      <c r="F13" t="s">
        <v>68</v>
      </c>
      <c r="G13" t="s">
        <v>69</v>
      </c>
      <c r="J13" t="s">
        <v>64</v>
      </c>
      <c r="K13" t="s">
        <v>65</v>
      </c>
      <c r="L13" t="s">
        <v>2</v>
      </c>
      <c r="M13" t="s">
        <v>66</v>
      </c>
    </row>
    <row r="14" spans="1:17" x14ac:dyDescent="0.35">
      <c r="A14" s="39">
        <v>44411</v>
      </c>
      <c r="B14">
        <v>287.08999999999997</v>
      </c>
      <c r="C14">
        <v>309.89</v>
      </c>
      <c r="F14">
        <f>(B14-B13)/B13</f>
        <v>1.1857018308630339E-3</v>
      </c>
      <c r="G14">
        <f>(C14-C13)/C13</f>
        <v>1.1027372679521046E-2</v>
      </c>
      <c r="J14">
        <v>0</v>
      </c>
      <c r="K14">
        <f>1-J14</f>
        <v>1</v>
      </c>
      <c r="L14">
        <f>SUMPRODUCT(J14:K14,$F$10:$G$10)</f>
        <v>0.10511499843391409</v>
      </c>
      <c r="M14">
        <f>SQRT(J14^2*$F$11^2 +K14^2 * $G$11^2 + 2*J14*K14*$F$11*$G$11*CORREL(Таблица3[Столбец1],Таблица3[Столбец2]))</f>
        <v>8.5250326526060669E-2</v>
      </c>
    </row>
    <row r="15" spans="1:17" x14ac:dyDescent="0.35">
      <c r="A15" s="39">
        <v>44412</v>
      </c>
      <c r="B15">
        <v>287.94</v>
      </c>
      <c r="C15">
        <v>311.10000000000002</v>
      </c>
      <c r="F15">
        <f>(B15-B14)/B14</f>
        <v>2.9607440175555499E-3</v>
      </c>
      <c r="G15">
        <f>(C15-C14)/C14</f>
        <v>3.9046113136920729E-3</v>
      </c>
      <c r="J15">
        <v>0.1</v>
      </c>
      <c r="K15">
        <f t="shared" ref="K15:K24" si="0">1-J15</f>
        <v>0.9</v>
      </c>
      <c r="L15">
        <f>SUMPRODUCT(J15:K15,$F$10:$G$10)</f>
        <v>0.11923675745042286</v>
      </c>
      <c r="M15">
        <f>SQRT(J15^2*$F$11^2 +K15^2 * $G$11^2 + 2*J15*K15*$F$11*$G$11*CORREL(Таблица3[Столбец1],Таблица3[Столбец2]))</f>
        <v>7.9876458984119686E-2</v>
      </c>
    </row>
    <row r="16" spans="1:17" x14ac:dyDescent="0.35">
      <c r="A16" s="39">
        <v>44413</v>
      </c>
      <c r="B16">
        <v>285.95</v>
      </c>
      <c r="C16">
        <v>315.82</v>
      </c>
      <c r="F16">
        <f>(B16-B15)/B15</f>
        <v>-6.9111620476488477E-3</v>
      </c>
      <c r="G16">
        <f>(C16-C15)/C15</f>
        <v>1.5171970427515172E-2</v>
      </c>
      <c r="J16">
        <v>0.2</v>
      </c>
      <c r="K16">
        <f t="shared" si="0"/>
        <v>0.8</v>
      </c>
      <c r="L16">
        <f>SUMPRODUCT(J16:K16,$F$10:$G$10)</f>
        <v>0.13335851646693164</v>
      </c>
      <c r="M16">
        <f>SQRT(J16^2*$F$11^2 +K16^2 * $G$11^2 + 2*J16*K16*$F$11*$G$11*CORREL(Таблица3[Столбец1],Таблица3[Столбец2]))</f>
        <v>7.5522736372354043E-2</v>
      </c>
    </row>
    <row r="17" spans="1:13" x14ac:dyDescent="0.35">
      <c r="A17" s="39">
        <v>44414</v>
      </c>
      <c r="B17">
        <v>282.27</v>
      </c>
      <c r="C17">
        <v>319.14999999999998</v>
      </c>
      <c r="F17">
        <f>(B17-B16)/B16</f>
        <v>-1.2869382759223665E-2</v>
      </c>
      <c r="G17">
        <f>(C17-C16)/C16</f>
        <v>1.0543980748527592E-2</v>
      </c>
      <c r="J17">
        <v>0.3</v>
      </c>
      <c r="K17">
        <f t="shared" si="0"/>
        <v>0.7</v>
      </c>
      <c r="L17">
        <f>SUMPRODUCT(J17:K17,$F$10:$G$10)</f>
        <v>0.14748027548344039</v>
      </c>
      <c r="M17">
        <f>SQRT(J17^2*$F$11^2 +K17^2 * $G$11^2 + 2*J17*K17*$F$11*$G$11*CORREL(Таблица3[Столбец1],Таблица3[Столбец2]))</f>
        <v>7.2373497917255336E-2</v>
      </c>
    </row>
    <row r="18" spans="1:13" x14ac:dyDescent="0.35">
      <c r="A18" s="39">
        <v>44417</v>
      </c>
      <c r="B18">
        <v>286.68</v>
      </c>
      <c r="C18">
        <v>326.91000000000003</v>
      </c>
      <c r="F18">
        <f>(B18-B17)/B17</f>
        <v>1.5623339355935895E-2</v>
      </c>
      <c r="G18">
        <f>(C18-C17)/C17</f>
        <v>2.4314585618048092E-2</v>
      </c>
      <c r="J18">
        <v>0.4</v>
      </c>
      <c r="K18">
        <f t="shared" si="0"/>
        <v>0.6</v>
      </c>
      <c r="L18">
        <f>SUMPRODUCT(J18:K18,$F$10:$G$10)</f>
        <v>0.1616020344999492</v>
      </c>
      <c r="M18">
        <f>SQRT(J18^2*$F$11^2 +K18^2 * $G$11^2 + 2*J18*K18*$F$11*$G$11*CORREL(Таблица3[Столбец1],Таблица3[Столбец2]))</f>
        <v>7.0590135108769839E-2</v>
      </c>
    </row>
    <row r="19" spans="1:13" x14ac:dyDescent="0.35">
      <c r="A19" s="39">
        <v>44418</v>
      </c>
      <c r="B19">
        <v>288.61</v>
      </c>
      <c r="C19">
        <v>330.11</v>
      </c>
      <c r="F19">
        <f>(B19-B18)/B18</f>
        <v>6.7322450118599371E-3</v>
      </c>
      <c r="G19">
        <f>(C19-C18)/C18</f>
        <v>9.78862683919118E-3</v>
      </c>
      <c r="J19">
        <v>0.5</v>
      </c>
      <c r="K19">
        <f t="shared" si="0"/>
        <v>0.5</v>
      </c>
      <c r="L19">
        <f>SUMPRODUCT(J19:K19,$F$10:$G$10)</f>
        <v>0.17572379351645795</v>
      </c>
      <c r="M19">
        <f>SQRT(J19^2*$F$11^2 +K19^2 * $G$11^2 + 2*J19*K19*$F$11*$G$11*CORREL(Таблица3[Столбец1],Таблица3[Столбец2]))</f>
        <v>7.0276707598281377E-2</v>
      </c>
    </row>
    <row r="20" spans="1:13" x14ac:dyDescent="0.35">
      <c r="A20" s="39">
        <v>44419</v>
      </c>
      <c r="B20">
        <v>290.35000000000002</v>
      </c>
      <c r="C20">
        <v>329.9</v>
      </c>
      <c r="F20">
        <f>(B20-B19)/B19</f>
        <v>6.0288971276116869E-3</v>
      </c>
      <c r="G20">
        <f>(C20-C19)/C19</f>
        <v>-6.3615158583513491E-4</v>
      </c>
      <c r="J20">
        <v>0.6</v>
      </c>
      <c r="K20">
        <f t="shared" si="0"/>
        <v>0.4</v>
      </c>
      <c r="L20">
        <f>SUMPRODUCT(J20:K20,$F$10:$G$10)</f>
        <v>0.18984555253296675</v>
      </c>
      <c r="M20">
        <f>SQRT(J20^2*$F$11^2 +K20^2 * $G$11^2 + 2*J20*K20*$F$11*$G$11*CORREL(Таблица3[Столбец1],Таблица3[Столбец2]))</f>
        <v>7.1452561670795542E-2</v>
      </c>
    </row>
    <row r="21" spans="1:13" x14ac:dyDescent="0.35">
      <c r="A21" s="39">
        <v>44420</v>
      </c>
      <c r="B21">
        <v>293.23</v>
      </c>
      <c r="C21">
        <v>328.57</v>
      </c>
      <c r="F21">
        <f>(B21-B20)/B20</f>
        <v>9.9190631995866897E-3</v>
      </c>
      <c r="G21">
        <f>(C21-C20)/C20</f>
        <v>-4.0315247044558477E-3</v>
      </c>
      <c r="J21">
        <v>0.7</v>
      </c>
      <c r="K21">
        <f t="shared" si="0"/>
        <v>0.30000000000000004</v>
      </c>
      <c r="L21">
        <f>SUMPRODUCT(J21:K21,$F$10:$G$10)</f>
        <v>0.20396731154947551</v>
      </c>
      <c r="M21">
        <f>SQRT(J21^2*$F$11^2 +K21^2 * $G$11^2 + 2*J21*K21*$F$11*$G$11*CORREL(Таблица3[Столбец1],Таблица3[Столбец2]))</f>
        <v>7.4046782442371395E-2</v>
      </c>
    </row>
    <row r="22" spans="1:13" x14ac:dyDescent="0.35">
      <c r="A22" s="39">
        <v>44421</v>
      </c>
      <c r="B22">
        <v>292.7</v>
      </c>
      <c r="C22">
        <v>328.68</v>
      </c>
      <c r="F22">
        <f>(B22-B21)/B21</f>
        <v>-1.807454898884935E-3</v>
      </c>
      <c r="G22">
        <f>(C22-C21)/C21</f>
        <v>3.3478406427858189E-4</v>
      </c>
      <c r="J22">
        <v>0.8</v>
      </c>
      <c r="K22">
        <f t="shared" si="0"/>
        <v>0.19999999999999996</v>
      </c>
      <c r="L22">
        <f>SUMPRODUCT(J22:K22,$F$10:$G$10)</f>
        <v>0.21808907056598428</v>
      </c>
      <c r="M22">
        <f>SQRT(J22^2*$F$11^2 +K22^2 * $G$11^2 + 2*J22*K22*$F$11*$G$11*CORREL(Таблица3[Столбец1],Таблица3[Столбец2]))</f>
        <v>7.7917827825867092E-2</v>
      </c>
    </row>
    <row r="23" spans="1:13" x14ac:dyDescent="0.35">
      <c r="A23" s="39">
        <v>44424</v>
      </c>
      <c r="B23">
        <v>295.10000000000002</v>
      </c>
      <c r="C23">
        <v>329.36</v>
      </c>
      <c r="F23">
        <f>(B23-B22)/B22</f>
        <v>8.199521694567934E-3</v>
      </c>
      <c r="G23">
        <f>(C23-C22)/C22</f>
        <v>2.0688815869538968E-3</v>
      </c>
      <c r="J23">
        <v>0.9</v>
      </c>
      <c r="K23">
        <f t="shared" si="0"/>
        <v>9.9999999999999978E-2</v>
      </c>
      <c r="L23">
        <f>SUMPRODUCT(J23:K23,$F$10:$G$10)</f>
        <v>0.23221082958249306</v>
      </c>
      <c r="M23">
        <f>SQRT(J23^2*$F$11^2 +K23^2 * $G$11^2 + 2*J23*K23*$F$11*$G$11*CORREL(Таблица3[Столбец1],Таблица3[Столбец2]))</f>
        <v>8.2886997040667321E-2</v>
      </c>
    </row>
    <row r="24" spans="1:13" x14ac:dyDescent="0.35">
      <c r="A24" s="39">
        <v>44425</v>
      </c>
      <c r="B24">
        <v>298.32</v>
      </c>
      <c r="C24">
        <v>334.5</v>
      </c>
      <c r="F24">
        <f>(B24-B23)/B23</f>
        <v>1.0911555404947374E-2</v>
      </c>
      <c r="G24">
        <f>(C24-C23)/C23</f>
        <v>1.5606023803740546E-2</v>
      </c>
      <c r="J24">
        <v>1</v>
      </c>
      <c r="K24">
        <f t="shared" si="0"/>
        <v>0</v>
      </c>
      <c r="L24">
        <f>SUMPRODUCT(J24:K24,$F$10:$G$10)</f>
        <v>0.24633258859900184</v>
      </c>
      <c r="M24">
        <f>SQRT(J24^2*$F$11^2 +K24^2 * $G$11^2 + 2*J24*K24*$F$11*$G$11*CORREL(Таблица3[Столбец1],Таблица3[Столбец2]))</f>
        <v>8.8770068976103997E-2</v>
      </c>
    </row>
    <row r="25" spans="1:13" x14ac:dyDescent="0.35">
      <c r="A25" s="39">
        <v>44426</v>
      </c>
      <c r="B25">
        <v>295.05</v>
      </c>
      <c r="C25">
        <v>334.9</v>
      </c>
      <c r="F25">
        <f>(B25-B24)/B24</f>
        <v>-1.0961383748994307E-2</v>
      </c>
      <c r="G25">
        <f>(C25-C24)/C24</f>
        <v>1.1958146487293789E-3</v>
      </c>
    </row>
    <row r="26" spans="1:13" x14ac:dyDescent="0.35">
      <c r="A26" s="39">
        <v>44427</v>
      </c>
      <c r="B26">
        <v>293.68</v>
      </c>
      <c r="C26">
        <v>332.69</v>
      </c>
      <c r="F26">
        <f>(B26-B25)/B25</f>
        <v>-4.6432807998644451E-3</v>
      </c>
      <c r="G26">
        <f>(C26-C25)/C25</f>
        <v>-6.5989847715735434E-3</v>
      </c>
    </row>
    <row r="27" spans="1:13" x14ac:dyDescent="0.35">
      <c r="A27" s="39">
        <v>44428</v>
      </c>
      <c r="B27">
        <v>292.57</v>
      </c>
      <c r="C27">
        <v>325.67</v>
      </c>
      <c r="F27">
        <f>(B27-B26)/B26</f>
        <v>-3.7796240806320268E-3</v>
      </c>
      <c r="G27">
        <f>(C27-C26)/C26</f>
        <v>-2.1100724398088255E-2</v>
      </c>
    </row>
    <row r="28" spans="1:13" x14ac:dyDescent="0.35">
      <c r="A28" s="39">
        <v>44431</v>
      </c>
      <c r="B28">
        <v>297.69</v>
      </c>
      <c r="C28">
        <v>329.22</v>
      </c>
      <c r="F28">
        <f>(B28-B27)/B27</f>
        <v>1.7500085449636001E-2</v>
      </c>
      <c r="G28">
        <f>(C28-C27)/C27</f>
        <v>1.0900604906807538E-2</v>
      </c>
    </row>
    <row r="29" spans="1:13" x14ac:dyDescent="0.35">
      <c r="A29" s="39">
        <v>44432</v>
      </c>
      <c r="B29">
        <v>298.7</v>
      </c>
      <c r="C29">
        <v>324.83</v>
      </c>
      <c r="F29">
        <f>(B29-B28)/B28</f>
        <v>3.3927911585877623E-3</v>
      </c>
      <c r="G29">
        <f>(C29-C28)/C28</f>
        <v>-1.3334548326347253E-2</v>
      </c>
    </row>
    <row r="30" spans="1:13" x14ac:dyDescent="0.35">
      <c r="A30" s="39">
        <v>44433</v>
      </c>
      <c r="B30">
        <v>296.7</v>
      </c>
      <c r="C30">
        <v>324.57</v>
      </c>
      <c r="F30">
        <f>(B30-B29)/B29</f>
        <v>-6.6956812855708068E-3</v>
      </c>
      <c r="G30">
        <f>(C30-C29)/C29</f>
        <v>-8.0041868054056249E-4</v>
      </c>
    </row>
    <row r="31" spans="1:13" x14ac:dyDescent="0.35">
      <c r="A31" s="39">
        <v>44434</v>
      </c>
      <c r="B31">
        <v>294.33999999999997</v>
      </c>
      <c r="C31">
        <v>322.54000000000002</v>
      </c>
      <c r="F31">
        <f>(B31-B30)/B30</f>
        <v>-7.9541624536569391E-3</v>
      </c>
      <c r="G31">
        <f>(C31-C30)/C30</f>
        <v>-6.2544289367469971E-3</v>
      </c>
    </row>
    <row r="32" spans="1:13" x14ac:dyDescent="0.35">
      <c r="A32" s="39">
        <v>44435</v>
      </c>
      <c r="B32">
        <v>299.66000000000003</v>
      </c>
      <c r="C32">
        <v>327.41000000000003</v>
      </c>
      <c r="F32">
        <f>(B32-B31)/B31</f>
        <v>1.8074335802133759E-2</v>
      </c>
      <c r="G32">
        <f>(C32-C31)/C31</f>
        <v>1.5098902461710188E-2</v>
      </c>
    </row>
    <row r="33" spans="1:7" x14ac:dyDescent="0.35">
      <c r="A33" s="39">
        <v>44438</v>
      </c>
      <c r="B33">
        <v>305.17</v>
      </c>
      <c r="C33">
        <v>328.28</v>
      </c>
      <c r="F33">
        <f>(B33-B32)/B32</f>
        <v>1.8387505839951912E-2</v>
      </c>
      <c r="G33">
        <f>(C33-C32)/C32</f>
        <v>2.6572187776792025E-3</v>
      </c>
    </row>
    <row r="34" spans="1:7" x14ac:dyDescent="0.35">
      <c r="A34" s="39">
        <v>44439</v>
      </c>
      <c r="B34">
        <v>305.64999999999998</v>
      </c>
      <c r="C34">
        <v>327.94</v>
      </c>
      <c r="F34">
        <f>(B34-B33)/B33</f>
        <v>1.5728937968999617E-3</v>
      </c>
      <c r="G34">
        <f>(C34-C33)/C33</f>
        <v>-1.0357012306566804E-3</v>
      </c>
    </row>
    <row r="35" spans="1:7" x14ac:dyDescent="0.35">
      <c r="A35" s="39">
        <v>44440</v>
      </c>
      <c r="B35">
        <v>312.89</v>
      </c>
      <c r="C35">
        <v>334.57</v>
      </c>
      <c r="F35">
        <f>(B35-B34)/B34</f>
        <v>2.3687223948961261E-2</v>
      </c>
      <c r="G35">
        <f>(C35-C34)/C34</f>
        <v>2.0217112886503616E-2</v>
      </c>
    </row>
    <row r="36" spans="1:7" x14ac:dyDescent="0.35">
      <c r="A36" s="39">
        <v>44441</v>
      </c>
      <c r="B36">
        <v>312.3</v>
      </c>
      <c r="C36">
        <v>329</v>
      </c>
      <c r="F36">
        <f>(B36-B35)/B35</f>
        <v>-1.8856467129022181E-3</v>
      </c>
      <c r="G36">
        <f>(C36-C35)/C35</f>
        <v>-1.6648235047972002E-2</v>
      </c>
    </row>
    <row r="37" spans="1:7" x14ac:dyDescent="0.35">
      <c r="A37" s="39">
        <v>44442</v>
      </c>
      <c r="B37">
        <v>317.94</v>
      </c>
      <c r="C37">
        <v>329.71</v>
      </c>
      <c r="F37">
        <f>(B37-B36)/B36</f>
        <v>1.8059558117194962E-2</v>
      </c>
      <c r="G37">
        <f>(C37-C36)/C36</f>
        <v>2.1580547112461383E-3</v>
      </c>
    </row>
    <row r="38" spans="1:7" x14ac:dyDescent="0.35">
      <c r="A38" s="39">
        <v>44445</v>
      </c>
      <c r="B38">
        <v>328.93</v>
      </c>
      <c r="C38">
        <v>329.37</v>
      </c>
      <c r="F38">
        <f>(B38-B37)/B37</f>
        <v>3.456627036547779E-2</v>
      </c>
      <c r="G38">
        <f>(C38-C37)/C37</f>
        <v>-1.0312092444875042E-3</v>
      </c>
    </row>
    <row r="39" spans="1:7" x14ac:dyDescent="0.35">
      <c r="A39" s="39">
        <v>44446</v>
      </c>
      <c r="B39">
        <v>327.73</v>
      </c>
      <c r="C39">
        <v>325.95999999999998</v>
      </c>
      <c r="F39">
        <f>(B39-B38)/B38</f>
        <v>-3.6481926245705426E-3</v>
      </c>
      <c r="G39">
        <f>(C39-C38)/C38</f>
        <v>-1.0353098339253802E-2</v>
      </c>
    </row>
    <row r="40" spans="1:7" x14ac:dyDescent="0.35">
      <c r="A40" s="39">
        <v>44447</v>
      </c>
      <c r="B40">
        <v>327.60000000000002</v>
      </c>
      <c r="C40">
        <v>331.7</v>
      </c>
      <c r="F40">
        <f>(B40-B39)/B39</f>
        <v>-3.9666798889328244E-4</v>
      </c>
      <c r="G40">
        <f>(C40-C39)/C39</f>
        <v>1.7609522640814852E-2</v>
      </c>
    </row>
    <row r="41" spans="1:7" x14ac:dyDescent="0.35">
      <c r="A41" s="39">
        <v>44448</v>
      </c>
      <c r="B41">
        <v>324.57</v>
      </c>
      <c r="C41">
        <v>326.01</v>
      </c>
      <c r="F41">
        <f>(B41-B40)/B40</f>
        <v>-9.2490842490843394E-3</v>
      </c>
      <c r="G41">
        <f>(C41-C40)/C40</f>
        <v>-1.7154054868857394E-2</v>
      </c>
    </row>
    <row r="42" spans="1:7" x14ac:dyDescent="0.35">
      <c r="A42" s="39">
        <v>44449</v>
      </c>
      <c r="B42">
        <v>326.43</v>
      </c>
      <c r="C42">
        <v>326.25</v>
      </c>
      <c r="F42">
        <f>(B42-B41)/B41</f>
        <v>5.7306590257880079E-3</v>
      </c>
      <c r="G42">
        <f>(C42-C41)/C41</f>
        <v>7.3617373700196034E-4</v>
      </c>
    </row>
    <row r="43" spans="1:7" x14ac:dyDescent="0.35">
      <c r="A43" s="39">
        <v>44452</v>
      </c>
      <c r="B43">
        <v>332.75</v>
      </c>
      <c r="C43">
        <v>327.41000000000003</v>
      </c>
      <c r="F43">
        <f>(B43-B42)/B42</f>
        <v>1.9360965597524715E-2</v>
      </c>
      <c r="G43">
        <f>(C43-C42)/C42</f>
        <v>3.5555555555556321E-3</v>
      </c>
    </row>
    <row r="44" spans="1:7" x14ac:dyDescent="0.35">
      <c r="A44" s="39">
        <v>44453</v>
      </c>
      <c r="B44">
        <v>338.98</v>
      </c>
      <c r="C44">
        <v>326.48</v>
      </c>
      <c r="F44">
        <f>(B44-B43)/B43</f>
        <v>1.8722764838467371E-2</v>
      </c>
      <c r="G44">
        <f>(C44-C43)/C43</f>
        <v>-2.840475245105546E-3</v>
      </c>
    </row>
    <row r="45" spans="1:7" x14ac:dyDescent="0.35">
      <c r="A45" s="39">
        <v>44454</v>
      </c>
      <c r="B45">
        <v>343.34</v>
      </c>
      <c r="C45">
        <v>333.51</v>
      </c>
      <c r="F45">
        <f>(B45-B44)/B44</f>
        <v>1.2862115759041703E-2</v>
      </c>
      <c r="G45">
        <f>(C45-C44)/C44</f>
        <v>2.1532712570448333E-2</v>
      </c>
    </row>
    <row r="46" spans="1:7" x14ac:dyDescent="0.35">
      <c r="A46" s="39">
        <v>44455</v>
      </c>
      <c r="B46">
        <v>338.5</v>
      </c>
      <c r="C46">
        <v>326.99</v>
      </c>
      <c r="F46">
        <f>(B46-B45)/B45</f>
        <v>-1.4096813654103733E-2</v>
      </c>
      <c r="G46">
        <f>(C46-C45)/C45</f>
        <v>-1.9549638691493454E-2</v>
      </c>
    </row>
    <row r="47" spans="1:7" x14ac:dyDescent="0.35">
      <c r="A47" s="39">
        <v>44456</v>
      </c>
      <c r="B47">
        <v>334.5</v>
      </c>
      <c r="C47">
        <v>329.56</v>
      </c>
      <c r="F47">
        <f>(B47-B46)/B46</f>
        <v>-1.1816838995568686E-2</v>
      </c>
      <c r="G47">
        <f>(C47-C46)/C46</f>
        <v>7.8595675708737055E-3</v>
      </c>
    </row>
    <row r="48" spans="1:7" x14ac:dyDescent="0.35">
      <c r="A48" s="39">
        <v>44459</v>
      </c>
      <c r="B48">
        <v>325.7</v>
      </c>
      <c r="C48">
        <v>326.92</v>
      </c>
      <c r="F48">
        <f>(B48-B47)/B47</f>
        <v>-2.6307922272047868E-2</v>
      </c>
      <c r="G48">
        <f>(C48-C47)/C47</f>
        <v>-8.0106809078771286E-3</v>
      </c>
    </row>
    <row r="49" spans="1:7" x14ac:dyDescent="0.35">
      <c r="A49" s="39">
        <v>44460</v>
      </c>
      <c r="B49">
        <v>335.3</v>
      </c>
      <c r="C49">
        <v>323.25</v>
      </c>
      <c r="F49">
        <f>(B49-B48)/B48</f>
        <v>2.9474976972674313E-2</v>
      </c>
      <c r="G49">
        <f>(C49-C48)/C48</f>
        <v>-1.1225988009298958E-2</v>
      </c>
    </row>
    <row r="50" spans="1:7" x14ac:dyDescent="0.35">
      <c r="A50" s="39">
        <v>44461</v>
      </c>
      <c r="B50">
        <v>340.59</v>
      </c>
      <c r="C50">
        <v>327.8</v>
      </c>
      <c r="F50">
        <f>(B50-B49)/B49</f>
        <v>1.5776916194452619E-2</v>
      </c>
      <c r="G50">
        <f>(C50-C49)/C49</f>
        <v>1.4075792730085109E-2</v>
      </c>
    </row>
    <row r="51" spans="1:7" x14ac:dyDescent="0.35">
      <c r="A51" s="39">
        <v>44462</v>
      </c>
      <c r="B51">
        <v>343.47</v>
      </c>
      <c r="C51">
        <v>327.02</v>
      </c>
      <c r="F51">
        <f>(B51-B50)/B50</f>
        <v>8.4559147361932315E-3</v>
      </c>
      <c r="G51">
        <f>(C51-C50)/C50</f>
        <v>-2.3794996949360265E-3</v>
      </c>
    </row>
    <row r="52" spans="1:7" x14ac:dyDescent="0.35">
      <c r="A52" s="39">
        <v>44463</v>
      </c>
      <c r="B52">
        <v>344.29</v>
      </c>
      <c r="C52">
        <v>325.44</v>
      </c>
      <c r="F52">
        <f>(B52-B51)/B51</f>
        <v>2.3873991906134249E-3</v>
      </c>
      <c r="G52">
        <f>(C52-C51)/C51</f>
        <v>-4.8315087762215896E-3</v>
      </c>
    </row>
    <row r="53" spans="1:7" x14ac:dyDescent="0.35">
      <c r="A53" s="39">
        <v>44466</v>
      </c>
      <c r="B53">
        <v>355.19</v>
      </c>
      <c r="C53">
        <v>331.68</v>
      </c>
      <c r="F53">
        <f>(B53-B52)/B52</f>
        <v>3.1659356937465438E-2</v>
      </c>
      <c r="G53">
        <f>(C53-C52)/C52</f>
        <v>1.9174041297935131E-2</v>
      </c>
    </row>
    <row r="54" spans="1:7" x14ac:dyDescent="0.35">
      <c r="A54" s="39">
        <v>44467</v>
      </c>
      <c r="B54">
        <v>354.07</v>
      </c>
      <c r="C54">
        <v>329.3</v>
      </c>
      <c r="F54">
        <f>(B54-B53)/B53</f>
        <v>-3.1532419268560617E-3</v>
      </c>
      <c r="G54">
        <f>(C54-C53)/C53</f>
        <v>-7.1755909310178348E-3</v>
      </c>
    </row>
    <row r="55" spans="1:7" x14ac:dyDescent="0.35">
      <c r="A55" s="39">
        <v>44468</v>
      </c>
      <c r="B55">
        <v>360.88</v>
      </c>
      <c r="C55">
        <v>328.43</v>
      </c>
      <c r="F55">
        <f>(B55-B54)/B54</f>
        <v>1.9233484904115011E-2</v>
      </c>
      <c r="G55">
        <f>(C55-C54)/C54</f>
        <v>-2.64196781050715E-3</v>
      </c>
    </row>
    <row r="56" spans="1:7" x14ac:dyDescent="0.35">
      <c r="A56" s="39">
        <v>44469</v>
      </c>
      <c r="B56">
        <v>360.8</v>
      </c>
      <c r="C56">
        <v>340.99</v>
      </c>
      <c r="F56">
        <f>(B56-B55)/B55</f>
        <v>-2.2168033695406806E-4</v>
      </c>
      <c r="G56">
        <f>(C56-C55)/C55</f>
        <v>3.8242547879304575E-2</v>
      </c>
    </row>
    <row r="57" spans="1:7" x14ac:dyDescent="0.35">
      <c r="A57" s="39">
        <v>44470</v>
      </c>
      <c r="B57">
        <v>363.25</v>
      </c>
      <c r="C57">
        <v>338.48</v>
      </c>
      <c r="F57">
        <f>(B57-B56)/B56</f>
        <v>6.7904656319290151E-3</v>
      </c>
      <c r="G57">
        <f>(C57-C56)/C56</f>
        <v>-7.360919675063758E-3</v>
      </c>
    </row>
    <row r="58" spans="1:7" x14ac:dyDescent="0.35">
      <c r="A58" t="s">
        <v>63</v>
      </c>
      <c r="C58">
        <f>SUBTOTAL(103,GaspSber[SBER.&lt;CLOSE&gt;])</f>
        <v>45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DF37-AC09-4899-8B6C-7955AA818FF6}">
  <dimension ref="A1:O55"/>
  <sheetViews>
    <sheetView tabSelected="1" zoomScale="47" zoomScaleNormal="55" workbookViewId="0">
      <selection activeCell="H6" sqref="H6"/>
    </sheetView>
  </sheetViews>
  <sheetFormatPr defaultRowHeight="14.5" x14ac:dyDescent="0.35"/>
  <cols>
    <col min="1" max="1" width="11" customWidth="1"/>
    <col min="2" max="2" width="15.453125" bestFit="1" customWidth="1"/>
    <col min="3" max="3" width="14.90625" bestFit="1" customWidth="1"/>
    <col min="4" max="4" width="15.453125" bestFit="1" customWidth="1"/>
    <col min="6" max="8" width="11" customWidth="1"/>
    <col min="9" max="9" width="9.81640625" customWidth="1"/>
  </cols>
  <sheetData>
    <row r="1" spans="1:15" x14ac:dyDescent="0.35">
      <c r="A1" t="s">
        <v>78</v>
      </c>
      <c r="B1" t="s">
        <v>79</v>
      </c>
      <c r="C1" t="s">
        <v>80</v>
      </c>
      <c r="F1" t="s">
        <v>75</v>
      </c>
      <c r="G1" t="s">
        <v>76</v>
      </c>
      <c r="H1" t="s">
        <v>2</v>
      </c>
      <c r="I1" t="s">
        <v>67</v>
      </c>
      <c r="L1" t="s">
        <v>75</v>
      </c>
      <c r="M1" t="s">
        <v>76</v>
      </c>
      <c r="N1" t="s">
        <v>2</v>
      </c>
      <c r="O1" t="s">
        <v>66</v>
      </c>
    </row>
    <row r="2" spans="1:15" x14ac:dyDescent="0.35">
      <c r="A2" t="s">
        <v>2</v>
      </c>
      <c r="B2" cm="1">
        <f t="array" ref="B2">AVERAGE(Таблица6[sbergasp]*GaspSberBane[[#Totals],[BANE.&lt;CLOSE&gt;]])</f>
        <v>0.17023248194608023</v>
      </c>
      <c r="C2" cm="1">
        <f t="array" ref="C2">AVERAGE(Таблица6[Bane]*GaspSberBane[[#Totals],[BANE.&lt;CLOSE&gt;]])</f>
        <v>5.5067602133110398E-2</v>
      </c>
      <c r="F2">
        <v>0.91718788095328363</v>
      </c>
      <c r="G2">
        <f>1-F2</f>
        <v>8.281211904671637E-2</v>
      </c>
      <c r="H2">
        <f>SUMPRODUCT(F2:G2,B2:C2)</f>
        <v>0.16069543420900781</v>
      </c>
      <c r="I2">
        <f>SQRT(F2^2*$B$3^2 +G2^2 * $C$3^2 + 2*F2*G2*$B$3*$C$3*CORREL(Таблица6[sbergasp],Таблица6[Bane]))</f>
        <v>6.9316253172921324E-2</v>
      </c>
      <c r="L2">
        <v>0</v>
      </c>
      <c r="M2">
        <v>1</v>
      </c>
      <c r="N2">
        <f>SUMPRODUCT(L2:M2,$B$2:$C$2)</f>
        <v>5.5067602133110398E-2</v>
      </c>
      <c r="O2">
        <f>SQRT(L2^2*$B$3^2 +M2^2 * $C$3^2 + 2*L2*M2*$B$3*$C$3*CORREL(Таблица6[sbergasp],Таблица6[Bane]))</f>
        <v>0.13911768193342899</v>
      </c>
    </row>
    <row r="3" spans="1:15" x14ac:dyDescent="0.35">
      <c r="A3" t="s">
        <v>67</v>
      </c>
      <c r="B3" cm="1">
        <f t="array" ref="B3">_xlfn.STDEV.S(Таблица6[sbergasp] * SQRT(GaspSberBane[[#Totals],[BANE.&lt;CLOSE&gt;]]))</f>
        <v>7.0174894357625167E-2</v>
      </c>
      <c r="C3" cm="1">
        <f t="array" ref="C3">_xlfn.STDEV.S(Таблица6[Bane] * SQRT(GaspSberBane[[#Totals],[BANE.&lt;CLOSE&gt;]]))</f>
        <v>0.13911768193342899</v>
      </c>
      <c r="L3">
        <v>0.1</v>
      </c>
      <c r="M3">
        <v>0.9</v>
      </c>
      <c r="N3">
        <f>SUMPRODUCT(L3:M3,$B$2:$C$2)</f>
        <v>6.6584090114407385E-2</v>
      </c>
      <c r="O3">
        <f>SQRT(L3^2*$B$3^2 +M3^2 * $C$3^2 + 2*L3*M3*$B$3*$C$3*CORREL(Таблица6[sbergasp],Таблица6[Bane]))</f>
        <v>0.12787886864647219</v>
      </c>
    </row>
    <row r="4" spans="1:15" x14ac:dyDescent="0.35">
      <c r="L4">
        <v>0.2</v>
      </c>
      <c r="M4">
        <v>0.8</v>
      </c>
      <c r="N4">
        <f>SUMPRODUCT(L4:M4,$B$2:$C$2)</f>
        <v>7.8100578095704365E-2</v>
      </c>
      <c r="O4">
        <f>SQRT(L4^2*$B$3^2 +M4^2 * $C$3^2 + 2*L4*M4*$B$3*$C$3*CORREL(Таблица6[sbergasp],Таблица6[Bane]))</f>
        <v>0.11704041658495895</v>
      </c>
    </row>
    <row r="5" spans="1:15" x14ac:dyDescent="0.35">
      <c r="L5">
        <v>0.3</v>
      </c>
      <c r="M5">
        <v>0.7</v>
      </c>
      <c r="N5">
        <f>SUMPRODUCT(L5:M5,$B$2:$C$2)</f>
        <v>8.9617066077001345E-2</v>
      </c>
      <c r="O5">
        <f>SQRT(L5^2*$B$3^2 +M5^2 * $C$3^2 + 2*L5*M5*$B$3*$C$3*CORREL(Таблица6[sbergasp],Таблица6[Bane]))</f>
        <v>0.1067243722434939</v>
      </c>
    </row>
    <row r="6" spans="1:15" x14ac:dyDescent="0.35">
      <c r="L6">
        <v>0.4</v>
      </c>
      <c r="M6">
        <v>0.6</v>
      </c>
      <c r="N6">
        <f>SUMPRODUCT(L6:M6,$B$2:$C$2)</f>
        <v>0.10113355405829834</v>
      </c>
      <c r="O6">
        <f>SQRT(L6^2*$B$3^2 +M6^2 * $C$3^2 + 2*L6*M6*$B$3*$C$3*CORREL(Таблица6[sbergasp],Таблица6[Bane]))</f>
        <v>9.7097387171144064E-2</v>
      </c>
    </row>
    <row r="7" spans="1:15" x14ac:dyDescent="0.35">
      <c r="L7">
        <v>0.5</v>
      </c>
      <c r="M7">
        <v>0.5</v>
      </c>
      <c r="N7">
        <f>SUMPRODUCT(L7:M7,$B$2:$C$2)</f>
        <v>0.11265004203959532</v>
      </c>
      <c r="O7">
        <f>SQRT(L7^2*$B$3^2 +M7^2 * $C$3^2 + 2*L7*M7*$B$3*$C$3*CORREL(Таблица6[sbergasp],Таблица6[Bane]))</f>
        <v>8.8384908261910464E-2</v>
      </c>
    </row>
    <row r="8" spans="1:15" x14ac:dyDescent="0.35">
      <c r="L8">
        <v>0.6</v>
      </c>
      <c r="M8">
        <v>0.4</v>
      </c>
      <c r="N8">
        <f>SUMPRODUCT(L8:M8,$B$2:$C$2)</f>
        <v>0.12416653002089229</v>
      </c>
      <c r="O8">
        <f>SQRT(L8^2*$B$3^2 +M8^2 * $C$3^2 + 2*L8*M8*$B$3*$C$3*CORREL(Таблица6[sbergasp],Таблица6[Bane]))</f>
        <v>8.0883001117525805E-2</v>
      </c>
    </row>
    <row r="9" spans="1:15" x14ac:dyDescent="0.35">
      <c r="A9" t="s">
        <v>60</v>
      </c>
      <c r="B9" t="s">
        <v>61</v>
      </c>
      <c r="C9" t="s">
        <v>62</v>
      </c>
      <c r="D9" t="s">
        <v>71</v>
      </c>
      <c r="E9" t="s">
        <v>68</v>
      </c>
      <c r="L9">
        <v>0.7</v>
      </c>
      <c r="M9">
        <v>0.3</v>
      </c>
      <c r="N9">
        <f>SUMPRODUCT(L9:M9,$B$2:$C$2)</f>
        <v>0.13568301800218929</v>
      </c>
      <c r="O9">
        <f>SQRT(L9^2*$B$3^2 +M9^2 * $C$3^2 + 2*L9*M9*$B$3*$C$3*CORREL(Таблица6[sbergasp],Таблица6[Bane]))</f>
        <v>7.4956028305914843E-2</v>
      </c>
    </row>
    <row r="10" spans="1:15" x14ac:dyDescent="0.35">
      <c r="A10" s="39">
        <v>44410</v>
      </c>
      <c r="B10">
        <v>286.75</v>
      </c>
      <c r="C10">
        <v>306.51</v>
      </c>
      <c r="D10">
        <v>1400</v>
      </c>
      <c r="E10">
        <f>0.47*GaspSberBane[[#This Row],[GAZP.&lt;CLOSE&gt;]]+0.53*GaspSberBane[[#This Row],[SBER.&lt;CLOSE&gt;]]</f>
        <v>297.22280000000001</v>
      </c>
      <c r="G10" t="s">
        <v>72</v>
      </c>
      <c r="H10" t="s">
        <v>73</v>
      </c>
      <c r="I10" t="s">
        <v>77</v>
      </c>
      <c r="J10" t="s">
        <v>74</v>
      </c>
      <c r="L10">
        <v>0.8</v>
      </c>
      <c r="M10">
        <v>0.2</v>
      </c>
      <c r="N10">
        <f>SUMPRODUCT(L10:M10,$B$2:$C$2)</f>
        <v>0.14719950598348627</v>
      </c>
      <c r="O10">
        <f>SQRT(L10^2*$B$3^2 +M10^2 * $C$3^2 + 2*L10*M10*$B$3*$C$3*CORREL(Таблица6[sbergasp],Таблица6[Bane]))</f>
        <v>7.0999513641465284E-2</v>
      </c>
    </row>
    <row r="11" spans="1:15" x14ac:dyDescent="0.35">
      <c r="A11" s="39">
        <v>44411</v>
      </c>
      <c r="B11">
        <v>287.08999999999997</v>
      </c>
      <c r="C11">
        <v>309.89</v>
      </c>
      <c r="D11">
        <v>1387</v>
      </c>
      <c r="E11">
        <f>0.47*GaspSberBane[[#This Row],[GAZP.&lt;CLOSE&gt;]]+0.53*GaspSberBane[[#This Row],[SBER.&lt;CLOSE&gt;]]</f>
        <v>299.17399999999998</v>
      </c>
      <c r="G11">
        <f>(B11-B10)/B10</f>
        <v>1.1857018308630339E-3</v>
      </c>
      <c r="H11">
        <f>(C11-C10)/C10</f>
        <v>1.1027372679521046E-2</v>
      </c>
      <c r="I11">
        <f>(GaspSberBane[[#This Row],[Столбец1]]-E10)/E10</f>
        <v>6.564772285302378E-3</v>
      </c>
      <c r="J11">
        <f>(D11-D10)/D10</f>
        <v>-9.285714285714286E-3</v>
      </c>
      <c r="L11">
        <v>0.9</v>
      </c>
      <c r="M11">
        <v>0.1</v>
      </c>
      <c r="N11">
        <f>SUMPRODUCT(L11:M11,$B$2:$C$2)</f>
        <v>0.15871599396478325</v>
      </c>
      <c r="O11">
        <f>SQRT(L11^2*$B$3^2 +M11^2 * $C$3^2 + 2*L11*M11*$B$3*$C$3*CORREL(Таблица6[sbergasp],Таблица6[Bane]))</f>
        <v>6.9351525892082544E-2</v>
      </c>
    </row>
    <row r="12" spans="1:15" x14ac:dyDescent="0.35">
      <c r="A12" s="39">
        <v>44412</v>
      </c>
      <c r="B12">
        <v>287.94</v>
      </c>
      <c r="C12">
        <v>311.10000000000002</v>
      </c>
      <c r="D12">
        <v>1395.5</v>
      </c>
      <c r="E12">
        <f>0.47*GaspSberBane[[#This Row],[GAZP.&lt;CLOSE&gt;]]+0.53*GaspSberBane[[#This Row],[SBER.&lt;CLOSE&gt;]]</f>
        <v>300.21479999999997</v>
      </c>
      <c r="G12">
        <f>(B12-B11)/B11</f>
        <v>2.9607440175555499E-3</v>
      </c>
      <c r="H12">
        <f>(C12-C11)/C11</f>
        <v>3.9046113136920729E-3</v>
      </c>
      <c r="I12">
        <f>(GaspSberBane[[#This Row],[Столбец1]]-E11)/E11</f>
        <v>3.4789119375346462E-3</v>
      </c>
      <c r="J12">
        <f>(D12-D11)/D11</f>
        <v>6.1283345349675555E-3</v>
      </c>
      <c r="L12">
        <v>1</v>
      </c>
      <c r="M12">
        <v>0</v>
      </c>
      <c r="N12">
        <f>SUMPRODUCT(L12:M12,$B$2:$C$2)</f>
        <v>0.17023248194608023</v>
      </c>
      <c r="O12">
        <f>SQRT(L12^2*$B$3^2 +M12^2 * $C$3^2 + 2*L12*M12*$B$3*$C$3*CORREL(Таблица6[sbergasp],Таблица6[Bane]))</f>
        <v>7.0174894357625167E-2</v>
      </c>
    </row>
    <row r="13" spans="1:15" x14ac:dyDescent="0.35">
      <c r="A13" s="39">
        <v>44413</v>
      </c>
      <c r="B13">
        <v>285.95</v>
      </c>
      <c r="C13">
        <v>315.82</v>
      </c>
      <c r="D13">
        <v>1360</v>
      </c>
      <c r="E13">
        <f>0.47*GaspSberBane[[#This Row],[GAZP.&lt;CLOSE&gt;]]+0.53*GaspSberBane[[#This Row],[SBER.&lt;CLOSE&gt;]]</f>
        <v>301.78109999999998</v>
      </c>
      <c r="G13">
        <f>(B13-B12)/B12</f>
        <v>-6.9111620476488477E-3</v>
      </c>
      <c r="H13">
        <f>(C13-C12)/C12</f>
        <v>1.5171970427515172E-2</v>
      </c>
      <c r="I13">
        <f>(GaspSberBane[[#This Row],[Столбец1]]-E12)/E12</f>
        <v>5.2172644386619602E-3</v>
      </c>
      <c r="J13">
        <f>(D13-D12)/D12</f>
        <v>-2.5438910784664995E-2</v>
      </c>
    </row>
    <row r="14" spans="1:15" x14ac:dyDescent="0.35">
      <c r="A14" s="39">
        <v>44414</v>
      </c>
      <c r="B14">
        <v>282.27</v>
      </c>
      <c r="C14">
        <v>319.14999999999998</v>
      </c>
      <c r="D14">
        <v>1355</v>
      </c>
      <c r="E14">
        <f>0.47*GaspSberBane[[#This Row],[GAZP.&lt;CLOSE&gt;]]+0.53*GaspSberBane[[#This Row],[SBER.&lt;CLOSE&gt;]]</f>
        <v>301.81639999999993</v>
      </c>
      <c r="G14">
        <f>(B14-B13)/B13</f>
        <v>-1.2869382759223665E-2</v>
      </c>
      <c r="H14">
        <f>(C14-C13)/C13</f>
        <v>1.0543980748527592E-2</v>
      </c>
      <c r="I14">
        <f>(GaspSberBane[[#This Row],[Столбец1]]-E13)/E13</f>
        <v>1.1697220269907462E-4</v>
      </c>
      <c r="J14">
        <f>(D14-D13)/D13</f>
        <v>-3.6764705882352941E-3</v>
      </c>
    </row>
    <row r="15" spans="1:15" x14ac:dyDescent="0.35">
      <c r="A15" s="39">
        <v>44417</v>
      </c>
      <c r="B15">
        <v>286.68</v>
      </c>
      <c r="C15">
        <v>326.91000000000003</v>
      </c>
      <c r="D15">
        <v>1336</v>
      </c>
      <c r="E15">
        <f>0.47*GaspSberBane[[#This Row],[GAZP.&lt;CLOSE&gt;]]+0.53*GaspSberBane[[#This Row],[SBER.&lt;CLOSE&gt;]]</f>
        <v>308.00189999999998</v>
      </c>
      <c r="G15">
        <f>(B15-B14)/B14</f>
        <v>1.5623339355935895E-2</v>
      </c>
      <c r="H15">
        <f>(C15-C14)/C14</f>
        <v>2.4314585618048092E-2</v>
      </c>
      <c r="I15">
        <f>(GaspSberBane[[#This Row],[Столбец1]]-E14)/E14</f>
        <v>2.0494247496160078E-2</v>
      </c>
      <c r="J15">
        <f>(D15-D14)/D14</f>
        <v>-1.4022140221402213E-2</v>
      </c>
    </row>
    <row r="16" spans="1:15" x14ac:dyDescent="0.35">
      <c r="A16" s="39">
        <v>44418</v>
      </c>
      <c r="B16">
        <v>288.61</v>
      </c>
      <c r="C16">
        <v>330.11</v>
      </c>
      <c r="D16">
        <v>1343</v>
      </c>
      <c r="E16">
        <f>0.47*GaspSberBane[[#This Row],[GAZP.&lt;CLOSE&gt;]]+0.53*GaspSberBane[[#This Row],[SBER.&lt;CLOSE&gt;]]</f>
        <v>310.60500000000002</v>
      </c>
      <c r="G16">
        <f>(B16-B15)/B15</f>
        <v>6.7322450118599371E-3</v>
      </c>
      <c r="H16">
        <f>(C16-C15)/C15</f>
        <v>9.78862683919118E-3</v>
      </c>
      <c r="I16">
        <f>(GaspSberBane[[#This Row],[Столбец1]]-E15)/E15</f>
        <v>8.4515712403074161E-3</v>
      </c>
      <c r="J16">
        <f>(D16-D15)/D15</f>
        <v>5.239520958083832E-3</v>
      </c>
    </row>
    <row r="17" spans="1:10" x14ac:dyDescent="0.35">
      <c r="A17" s="39">
        <v>44419</v>
      </c>
      <c r="B17">
        <v>290.35000000000002</v>
      </c>
      <c r="C17">
        <v>329.9</v>
      </c>
      <c r="D17">
        <v>1360</v>
      </c>
      <c r="E17">
        <f>0.47*GaspSberBane[[#This Row],[GAZP.&lt;CLOSE&gt;]]+0.53*GaspSberBane[[#This Row],[SBER.&lt;CLOSE&gt;]]</f>
        <v>311.31150000000002</v>
      </c>
      <c r="G17">
        <f>(B17-B16)/B16</f>
        <v>6.0288971276116869E-3</v>
      </c>
      <c r="H17">
        <f>(C17-C16)/C16</f>
        <v>-6.3615158583513491E-4</v>
      </c>
      <c r="I17">
        <f>(GaspSberBane[[#This Row],[Столбец1]]-E16)/E16</f>
        <v>2.2745931327570563E-3</v>
      </c>
      <c r="J17">
        <f>(D17-D16)/D16</f>
        <v>1.2658227848101266E-2</v>
      </c>
    </row>
    <row r="18" spans="1:10" x14ac:dyDescent="0.35">
      <c r="A18" s="39">
        <v>44420</v>
      </c>
      <c r="B18">
        <v>293.23</v>
      </c>
      <c r="C18">
        <v>328.57</v>
      </c>
      <c r="D18">
        <v>1357</v>
      </c>
      <c r="E18">
        <f>0.47*GaspSberBane[[#This Row],[GAZP.&lt;CLOSE&gt;]]+0.53*GaspSberBane[[#This Row],[SBER.&lt;CLOSE&gt;]]</f>
        <v>311.96019999999999</v>
      </c>
      <c r="G18">
        <f>(B18-B17)/B17</f>
        <v>9.9190631995866897E-3</v>
      </c>
      <c r="H18">
        <f>(C18-C17)/C17</f>
        <v>-4.0315247044558477E-3</v>
      </c>
      <c r="I18">
        <f>(GaspSberBane[[#This Row],[Столбец1]]-E17)/E17</f>
        <v>2.0837649749526196E-3</v>
      </c>
      <c r="J18">
        <f>(D18-D17)/D17</f>
        <v>-2.2058823529411764E-3</v>
      </c>
    </row>
    <row r="19" spans="1:10" x14ac:dyDescent="0.35">
      <c r="A19" s="39">
        <v>44421</v>
      </c>
      <c r="B19">
        <v>292.7</v>
      </c>
      <c r="C19">
        <v>328.68</v>
      </c>
      <c r="D19">
        <v>1397</v>
      </c>
      <c r="E19">
        <f>0.47*GaspSberBane[[#This Row],[GAZP.&lt;CLOSE&gt;]]+0.53*GaspSberBane[[#This Row],[SBER.&lt;CLOSE&gt;]]</f>
        <v>311.76940000000002</v>
      </c>
      <c r="G19">
        <f>(B19-B18)/B18</f>
        <v>-1.807454898884935E-3</v>
      </c>
      <c r="H19">
        <f>(C19-C18)/C18</f>
        <v>3.3478406427858189E-4</v>
      </c>
      <c r="I19">
        <f>(GaspSberBane[[#This Row],[Столбец1]]-E18)/E18</f>
        <v>-6.1161648184597734E-4</v>
      </c>
      <c r="J19">
        <f>(D19-D18)/D18</f>
        <v>2.9476787030213707E-2</v>
      </c>
    </row>
    <row r="20" spans="1:10" x14ac:dyDescent="0.35">
      <c r="A20" s="39">
        <v>44424</v>
      </c>
      <c r="B20">
        <v>295.10000000000002</v>
      </c>
      <c r="C20">
        <v>329.36</v>
      </c>
      <c r="D20">
        <v>1415</v>
      </c>
      <c r="E20">
        <f>0.47*GaspSberBane[[#This Row],[GAZP.&lt;CLOSE&gt;]]+0.53*GaspSberBane[[#This Row],[SBER.&lt;CLOSE&gt;]]</f>
        <v>313.25780000000003</v>
      </c>
      <c r="G20">
        <f>(B20-B19)/B19</f>
        <v>8.199521694567934E-3</v>
      </c>
      <c r="H20">
        <f>(C20-C19)/C19</f>
        <v>2.0688815869538968E-3</v>
      </c>
      <c r="I20">
        <f>(GaspSberBane[[#This Row],[Столбец1]]-E19)/E19</f>
        <v>4.7740413266985559E-3</v>
      </c>
      <c r="J20">
        <f>(D20-D19)/D19</f>
        <v>1.2884753042233358E-2</v>
      </c>
    </row>
    <row r="21" spans="1:10" x14ac:dyDescent="0.35">
      <c r="A21" s="39">
        <v>44425</v>
      </c>
      <c r="B21">
        <v>298.32</v>
      </c>
      <c r="C21">
        <v>334.5</v>
      </c>
      <c r="D21">
        <v>1519.5</v>
      </c>
      <c r="E21">
        <f>0.47*GaspSberBane[[#This Row],[GAZP.&lt;CLOSE&gt;]]+0.53*GaspSberBane[[#This Row],[SBER.&lt;CLOSE&gt;]]</f>
        <v>317.49540000000002</v>
      </c>
      <c r="G21">
        <f>(B21-B20)/B20</f>
        <v>1.0911555404947374E-2</v>
      </c>
      <c r="H21">
        <f>(C21-C20)/C20</f>
        <v>1.5606023803740546E-2</v>
      </c>
      <c r="I21">
        <f>(GaspSberBane[[#This Row],[Столбец1]]-E20)/E20</f>
        <v>1.3527516314039062E-2</v>
      </c>
      <c r="J21">
        <f>(D21-D20)/D20</f>
        <v>7.3851590106007073E-2</v>
      </c>
    </row>
    <row r="22" spans="1:10" x14ac:dyDescent="0.35">
      <c r="A22" s="39">
        <v>44426</v>
      </c>
      <c r="B22">
        <v>295.05</v>
      </c>
      <c r="C22">
        <v>334.9</v>
      </c>
      <c r="D22">
        <v>1520.5</v>
      </c>
      <c r="E22">
        <f>0.47*GaspSberBane[[#This Row],[GAZP.&lt;CLOSE&gt;]]+0.53*GaspSberBane[[#This Row],[SBER.&lt;CLOSE&gt;]]</f>
        <v>316.17049999999995</v>
      </c>
      <c r="G22">
        <f>(B22-B21)/B21</f>
        <v>-1.0961383748994307E-2</v>
      </c>
      <c r="H22">
        <f>(C22-C21)/C21</f>
        <v>1.1958146487293789E-3</v>
      </c>
      <c r="I22">
        <f>(GaspSberBane[[#This Row],[Столбец1]]-E21)/E21</f>
        <v>-4.1729738446606487E-3</v>
      </c>
      <c r="J22">
        <f>(D22-D21)/D21</f>
        <v>6.5811122079631457E-4</v>
      </c>
    </row>
    <row r="23" spans="1:10" x14ac:dyDescent="0.35">
      <c r="A23" s="39">
        <v>44427</v>
      </c>
      <c r="B23">
        <v>293.68</v>
      </c>
      <c r="C23">
        <v>332.69</v>
      </c>
      <c r="D23">
        <v>1457.5</v>
      </c>
      <c r="E23">
        <f>0.47*GaspSberBane[[#This Row],[GAZP.&lt;CLOSE&gt;]]+0.53*GaspSberBane[[#This Row],[SBER.&lt;CLOSE&gt;]]</f>
        <v>314.3553</v>
      </c>
      <c r="G23">
        <f>(B23-B22)/B22</f>
        <v>-4.6432807998644451E-3</v>
      </c>
      <c r="H23">
        <f>(C23-C22)/C22</f>
        <v>-6.5989847715735434E-3</v>
      </c>
      <c r="I23">
        <f>(GaspSberBane[[#This Row],[Столбец1]]-E22)/E22</f>
        <v>-5.7412060897520413E-3</v>
      </c>
      <c r="J23">
        <f>(D23-D22)/D22</f>
        <v>-4.1433738901677078E-2</v>
      </c>
    </row>
    <row r="24" spans="1:10" x14ac:dyDescent="0.35">
      <c r="A24" s="39">
        <v>44428</v>
      </c>
      <c r="B24">
        <v>292.57</v>
      </c>
      <c r="C24">
        <v>325.67</v>
      </c>
      <c r="D24">
        <v>1445.5</v>
      </c>
      <c r="E24">
        <f>0.47*GaspSberBane[[#This Row],[GAZP.&lt;CLOSE&gt;]]+0.53*GaspSberBane[[#This Row],[SBER.&lt;CLOSE&gt;]]</f>
        <v>310.113</v>
      </c>
      <c r="G24">
        <f>(B24-B23)/B23</f>
        <v>-3.7796240806320268E-3</v>
      </c>
      <c r="H24">
        <f>(C24-C23)/C23</f>
        <v>-2.1100724398088255E-2</v>
      </c>
      <c r="I24">
        <f>(GaspSberBane[[#This Row],[Столбец1]]-E23)/E23</f>
        <v>-1.349523930406136E-2</v>
      </c>
      <c r="J24">
        <f>(D24-D23)/D23</f>
        <v>-8.2332761578044599E-3</v>
      </c>
    </row>
    <row r="25" spans="1:10" x14ac:dyDescent="0.35">
      <c r="A25" s="39">
        <v>44431</v>
      </c>
      <c r="B25">
        <v>297.69</v>
      </c>
      <c r="C25">
        <v>329.22</v>
      </c>
      <c r="D25">
        <v>1473</v>
      </c>
      <c r="E25">
        <f>0.47*GaspSberBane[[#This Row],[GAZP.&lt;CLOSE&gt;]]+0.53*GaspSberBane[[#This Row],[SBER.&lt;CLOSE&gt;]]</f>
        <v>314.40089999999998</v>
      </c>
      <c r="G25">
        <f>(B25-B24)/B24</f>
        <v>1.7500085449636001E-2</v>
      </c>
      <c r="H25">
        <f>(C25-C24)/C24</f>
        <v>1.0900604906807538E-2</v>
      </c>
      <c r="I25">
        <f>(GaspSberBane[[#This Row],[Столбец1]]-E24)/E24</f>
        <v>1.3826895357498651E-2</v>
      </c>
      <c r="J25">
        <f>(D25-D24)/D24</f>
        <v>1.9024558976132824E-2</v>
      </c>
    </row>
    <row r="26" spans="1:10" x14ac:dyDescent="0.35">
      <c r="A26" s="39">
        <v>44432</v>
      </c>
      <c r="B26">
        <v>298.7</v>
      </c>
      <c r="C26">
        <v>324.83</v>
      </c>
      <c r="D26">
        <v>1464.5</v>
      </c>
      <c r="E26">
        <f>0.47*GaspSberBane[[#This Row],[GAZP.&lt;CLOSE&gt;]]+0.53*GaspSberBane[[#This Row],[SBER.&lt;CLOSE&gt;]]</f>
        <v>312.5489</v>
      </c>
      <c r="G26">
        <f>(B26-B25)/B25</f>
        <v>3.3927911585877623E-3</v>
      </c>
      <c r="H26">
        <f>(C26-C25)/C25</f>
        <v>-1.3334548326347253E-2</v>
      </c>
      <c r="I26">
        <f>(GaspSberBane[[#This Row],[Столбец1]]-E25)/E25</f>
        <v>-5.8905683794161388E-3</v>
      </c>
      <c r="J26">
        <f>(D26-D25)/D25</f>
        <v>-5.7705363204344877E-3</v>
      </c>
    </row>
    <row r="27" spans="1:10" x14ac:dyDescent="0.35">
      <c r="A27" s="39">
        <v>44433</v>
      </c>
      <c r="B27">
        <v>296.7</v>
      </c>
      <c r="C27">
        <v>324.57</v>
      </c>
      <c r="D27">
        <v>1458</v>
      </c>
      <c r="E27">
        <f>0.47*GaspSberBane[[#This Row],[GAZP.&lt;CLOSE&gt;]]+0.53*GaspSberBane[[#This Row],[SBER.&lt;CLOSE&gt;]]</f>
        <v>311.47109999999998</v>
      </c>
      <c r="G27">
        <f>(B27-B26)/B26</f>
        <v>-6.6956812855708068E-3</v>
      </c>
      <c r="H27">
        <f>(C27-C26)/C26</f>
        <v>-8.0041868054056249E-4</v>
      </c>
      <c r="I27">
        <f>(GaspSberBane[[#This Row],[Столбец1]]-E26)/E26</f>
        <v>-3.4484203911772679E-3</v>
      </c>
      <c r="J27">
        <f>(D27-D26)/D26</f>
        <v>-4.4383748719699556E-3</v>
      </c>
    </row>
    <row r="28" spans="1:10" x14ac:dyDescent="0.35">
      <c r="A28" s="39">
        <v>44434</v>
      </c>
      <c r="B28">
        <v>294.33999999999997</v>
      </c>
      <c r="C28">
        <v>322.54000000000002</v>
      </c>
      <c r="D28">
        <v>1435</v>
      </c>
      <c r="E28">
        <f>0.47*GaspSberBane[[#This Row],[GAZP.&lt;CLOSE&gt;]]+0.53*GaspSberBane[[#This Row],[SBER.&lt;CLOSE&gt;]]</f>
        <v>309.286</v>
      </c>
      <c r="G28">
        <f>(B28-B27)/B27</f>
        <v>-7.9541624536569391E-3</v>
      </c>
      <c r="H28">
        <f>(C28-C27)/C27</f>
        <v>-6.2544289367469971E-3</v>
      </c>
      <c r="I28">
        <f>(GaspSberBane[[#This Row],[Столбец1]]-E27)/E27</f>
        <v>-7.0154181238643882E-3</v>
      </c>
      <c r="J28">
        <f>(D28-D27)/D27</f>
        <v>-1.5775034293552811E-2</v>
      </c>
    </row>
    <row r="29" spans="1:10" x14ac:dyDescent="0.35">
      <c r="A29" s="39">
        <v>44435</v>
      </c>
      <c r="B29">
        <v>299.66000000000003</v>
      </c>
      <c r="C29">
        <v>327.41000000000003</v>
      </c>
      <c r="D29">
        <v>1442</v>
      </c>
      <c r="E29">
        <f>0.47*GaspSberBane[[#This Row],[GAZP.&lt;CLOSE&gt;]]+0.53*GaspSberBane[[#This Row],[SBER.&lt;CLOSE&gt;]]</f>
        <v>314.36750000000006</v>
      </c>
      <c r="G29">
        <f>(B29-B28)/B28</f>
        <v>1.8074335802133759E-2</v>
      </c>
      <c r="H29">
        <f>(C29-C28)/C28</f>
        <v>1.5098902461710188E-2</v>
      </c>
      <c r="I29">
        <f>(GaspSberBane[[#This Row],[Столбец1]]-E28)/E28</f>
        <v>1.6429776970183139E-2</v>
      </c>
      <c r="J29">
        <f>(D29-D28)/D28</f>
        <v>4.8780487804878049E-3</v>
      </c>
    </row>
    <row r="30" spans="1:10" x14ac:dyDescent="0.35">
      <c r="A30" s="39">
        <v>44438</v>
      </c>
      <c r="B30">
        <v>305.17</v>
      </c>
      <c r="C30">
        <v>328.28</v>
      </c>
      <c r="D30">
        <v>1446.5</v>
      </c>
      <c r="E30">
        <f>0.47*GaspSberBane[[#This Row],[GAZP.&lt;CLOSE&gt;]]+0.53*GaspSberBane[[#This Row],[SBER.&lt;CLOSE&gt;]]</f>
        <v>317.41829999999999</v>
      </c>
      <c r="G30">
        <f>(B30-B29)/B29</f>
        <v>1.8387505839951912E-2</v>
      </c>
      <c r="H30">
        <f>(C30-C29)/C29</f>
        <v>2.6572187776792025E-3</v>
      </c>
      <c r="I30">
        <f>(GaspSberBane[[#This Row],[Столбец1]]-E29)/E29</f>
        <v>9.7045655164733104E-3</v>
      </c>
      <c r="J30">
        <f>(D30-D29)/D29</f>
        <v>3.1206657420249652E-3</v>
      </c>
    </row>
    <row r="31" spans="1:10" x14ac:dyDescent="0.35">
      <c r="A31" s="39">
        <v>44439</v>
      </c>
      <c r="B31">
        <v>305.64999999999998</v>
      </c>
      <c r="C31">
        <v>327.94</v>
      </c>
      <c r="D31">
        <v>1445</v>
      </c>
      <c r="E31">
        <f>0.47*GaspSberBane[[#This Row],[GAZP.&lt;CLOSE&gt;]]+0.53*GaspSberBane[[#This Row],[SBER.&lt;CLOSE&gt;]]</f>
        <v>317.46370000000002</v>
      </c>
      <c r="G31">
        <f>(B31-B30)/B30</f>
        <v>1.5728937968999617E-3</v>
      </c>
      <c r="H31">
        <f>(C31-C30)/C30</f>
        <v>-1.0357012306566804E-3</v>
      </c>
      <c r="I31">
        <f>(GaspSberBane[[#This Row],[Столбец1]]-E30)/E30</f>
        <v>1.4302893059420075E-4</v>
      </c>
      <c r="J31">
        <f>(D31-D30)/D30</f>
        <v>-1.0369858278603526E-3</v>
      </c>
    </row>
    <row r="32" spans="1:10" x14ac:dyDescent="0.35">
      <c r="A32" s="39">
        <v>44440</v>
      </c>
      <c r="B32">
        <v>312.89</v>
      </c>
      <c r="C32">
        <v>334.57</v>
      </c>
      <c r="D32">
        <v>1454</v>
      </c>
      <c r="E32">
        <f>0.47*GaspSberBane[[#This Row],[GAZP.&lt;CLOSE&gt;]]+0.53*GaspSberBane[[#This Row],[SBER.&lt;CLOSE&gt;]]</f>
        <v>324.38040000000001</v>
      </c>
      <c r="G32">
        <f>(B32-B31)/B31</f>
        <v>2.3687223948961261E-2</v>
      </c>
      <c r="H32">
        <f>(C32-C31)/C31</f>
        <v>2.0217112886503616E-2</v>
      </c>
      <c r="I32">
        <f>(GaspSberBane[[#This Row],[Столбец1]]-E31)/E31</f>
        <v>2.1787372855542195E-2</v>
      </c>
      <c r="J32">
        <f>(D32-D31)/D31</f>
        <v>6.2283737024221453E-3</v>
      </c>
    </row>
    <row r="33" spans="1:10" x14ac:dyDescent="0.35">
      <c r="A33" s="39">
        <v>44441</v>
      </c>
      <c r="B33">
        <v>312.3</v>
      </c>
      <c r="C33">
        <v>329</v>
      </c>
      <c r="D33">
        <v>1486</v>
      </c>
      <c r="E33">
        <f>0.47*GaspSberBane[[#This Row],[GAZP.&lt;CLOSE&gt;]]+0.53*GaspSberBane[[#This Row],[SBER.&lt;CLOSE&gt;]]</f>
        <v>321.15100000000001</v>
      </c>
      <c r="G33">
        <f>(B33-B32)/B32</f>
        <v>-1.8856467129022181E-3</v>
      </c>
      <c r="H33">
        <f>(C33-C32)/C32</f>
        <v>-1.6648235047972002E-2</v>
      </c>
      <c r="I33">
        <f>(GaspSberBane[[#This Row],[Столбец1]]-E32)/E32</f>
        <v>-9.9555953442316426E-3</v>
      </c>
      <c r="J33">
        <f>(D33-D32)/D32</f>
        <v>2.2008253094910592E-2</v>
      </c>
    </row>
    <row r="34" spans="1:10" x14ac:dyDescent="0.35">
      <c r="A34" s="39">
        <v>44442</v>
      </c>
      <c r="B34">
        <v>317.94</v>
      </c>
      <c r="C34">
        <v>329.71</v>
      </c>
      <c r="D34">
        <v>1461.5</v>
      </c>
      <c r="E34">
        <f>0.47*GaspSberBane[[#This Row],[GAZP.&lt;CLOSE&gt;]]+0.53*GaspSberBane[[#This Row],[SBER.&lt;CLOSE&gt;]]</f>
        <v>324.17809999999997</v>
      </c>
      <c r="G34">
        <f>(B34-B33)/B33</f>
        <v>1.8059558117194962E-2</v>
      </c>
      <c r="H34">
        <f>(C34-C33)/C33</f>
        <v>2.1580547112461383E-3</v>
      </c>
      <c r="I34">
        <f>(GaspSberBane[[#This Row],[Столбец1]]-E33)/E33</f>
        <v>9.4257841326975834E-3</v>
      </c>
      <c r="J34">
        <f>(D34-D33)/D33</f>
        <v>-1.6487213997308209E-2</v>
      </c>
    </row>
    <row r="35" spans="1:10" x14ac:dyDescent="0.35">
      <c r="A35" s="39">
        <v>44445</v>
      </c>
      <c r="B35">
        <v>328.93</v>
      </c>
      <c r="C35">
        <v>329.37</v>
      </c>
      <c r="D35">
        <v>1448</v>
      </c>
      <c r="E35">
        <f>0.47*GaspSberBane[[#This Row],[GAZP.&lt;CLOSE&gt;]]+0.53*GaspSberBane[[#This Row],[SBER.&lt;CLOSE&gt;]]</f>
        <v>329.16319999999996</v>
      </c>
      <c r="G35">
        <f>(B35-B34)/B34</f>
        <v>3.456627036547779E-2</v>
      </c>
      <c r="H35">
        <f>(C35-C34)/C34</f>
        <v>-1.0312092444875042E-3</v>
      </c>
      <c r="I35">
        <f>(GaspSberBane[[#This Row],[Столбец1]]-E34)/E34</f>
        <v>1.5377658145321936E-2</v>
      </c>
      <c r="J35">
        <f>(D35-D34)/D34</f>
        <v>-9.2370851864522745E-3</v>
      </c>
    </row>
    <row r="36" spans="1:10" x14ac:dyDescent="0.35">
      <c r="A36" s="39">
        <v>44446</v>
      </c>
      <c r="B36">
        <v>327.73</v>
      </c>
      <c r="C36">
        <v>325.95999999999998</v>
      </c>
      <c r="D36">
        <v>1448.5</v>
      </c>
      <c r="E36">
        <f>0.47*GaspSberBane[[#This Row],[GAZP.&lt;CLOSE&gt;]]+0.53*GaspSberBane[[#This Row],[SBER.&lt;CLOSE&gt;]]</f>
        <v>326.7919</v>
      </c>
      <c r="G36">
        <f>(B36-B35)/B35</f>
        <v>-3.6481926245705426E-3</v>
      </c>
      <c r="H36">
        <f>(C36-C35)/C35</f>
        <v>-1.0353098339253802E-2</v>
      </c>
      <c r="I36">
        <f>(GaspSberBane[[#This Row],[Столбец1]]-E35)/E35</f>
        <v>-7.2040252373289683E-3</v>
      </c>
      <c r="J36">
        <f>(D36-D35)/D35</f>
        <v>3.453038674033149E-4</v>
      </c>
    </row>
    <row r="37" spans="1:10" x14ac:dyDescent="0.35">
      <c r="A37" s="39">
        <v>44447</v>
      </c>
      <c r="B37">
        <v>327.60000000000002</v>
      </c>
      <c r="C37">
        <v>331.7</v>
      </c>
      <c r="D37">
        <v>1441</v>
      </c>
      <c r="E37">
        <f>0.47*GaspSberBane[[#This Row],[GAZP.&lt;CLOSE&gt;]]+0.53*GaspSberBane[[#This Row],[SBER.&lt;CLOSE&gt;]]</f>
        <v>329.77300000000002</v>
      </c>
      <c r="G37">
        <f>(B37-B36)/B36</f>
        <v>-3.9666798889328244E-4</v>
      </c>
      <c r="H37">
        <f>(C37-C36)/C36</f>
        <v>1.7609522640814852E-2</v>
      </c>
      <c r="I37">
        <f>(GaspSberBane[[#This Row],[Столбец1]]-E36)/E36</f>
        <v>9.1223191272489512E-3</v>
      </c>
      <c r="J37">
        <f>(D37-D36)/D36</f>
        <v>-5.1777701070072485E-3</v>
      </c>
    </row>
    <row r="38" spans="1:10" x14ac:dyDescent="0.35">
      <c r="A38" s="39">
        <v>44448</v>
      </c>
      <c r="B38">
        <v>324.57</v>
      </c>
      <c r="C38">
        <v>326.01</v>
      </c>
      <c r="D38">
        <v>1452.5</v>
      </c>
      <c r="E38">
        <f>0.47*GaspSberBane[[#This Row],[GAZP.&lt;CLOSE&gt;]]+0.53*GaspSberBane[[#This Row],[SBER.&lt;CLOSE&gt;]]</f>
        <v>325.33320000000003</v>
      </c>
      <c r="G38">
        <f>(B38-B37)/B37</f>
        <v>-9.2490842490843394E-3</v>
      </c>
      <c r="H38">
        <f>(C38-C37)/C37</f>
        <v>-1.7154054868857394E-2</v>
      </c>
      <c r="I38">
        <f>(GaspSberBane[[#This Row],[Столбец1]]-E37)/E37</f>
        <v>-1.3463200443941713E-2</v>
      </c>
      <c r="J38">
        <f>(D38-D37)/D37</f>
        <v>7.9805690492713386E-3</v>
      </c>
    </row>
    <row r="39" spans="1:10" x14ac:dyDescent="0.35">
      <c r="A39" s="39">
        <v>44449</v>
      </c>
      <c r="B39">
        <v>326.43</v>
      </c>
      <c r="C39">
        <v>326.25</v>
      </c>
      <c r="D39">
        <v>1446</v>
      </c>
      <c r="E39">
        <f>0.47*GaspSberBane[[#This Row],[GAZP.&lt;CLOSE&gt;]]+0.53*GaspSberBane[[#This Row],[SBER.&lt;CLOSE&gt;]]</f>
        <v>326.33460000000002</v>
      </c>
      <c r="G39">
        <f>(B39-B38)/B38</f>
        <v>5.7306590257880079E-3</v>
      </c>
      <c r="H39">
        <f>(C39-C38)/C38</f>
        <v>7.3617373700196034E-4</v>
      </c>
      <c r="I39">
        <f>(GaspSberBane[[#This Row],[Столбец1]]-E38)/E38</f>
        <v>3.0780750319979316E-3</v>
      </c>
      <c r="J39">
        <f>(D39-D38)/D38</f>
        <v>-4.4750430292598963E-3</v>
      </c>
    </row>
    <row r="40" spans="1:10" x14ac:dyDescent="0.35">
      <c r="A40" s="39">
        <v>44452</v>
      </c>
      <c r="B40">
        <v>332.75</v>
      </c>
      <c r="C40">
        <v>327.41000000000003</v>
      </c>
      <c r="D40">
        <v>1454</v>
      </c>
      <c r="E40">
        <f>0.47*GaspSberBane[[#This Row],[GAZP.&lt;CLOSE&gt;]]+0.53*GaspSberBane[[#This Row],[SBER.&lt;CLOSE&gt;]]</f>
        <v>329.91980000000001</v>
      </c>
      <c r="G40">
        <f>(B40-B39)/B39</f>
        <v>1.9360965597524715E-2</v>
      </c>
      <c r="H40">
        <f>(C40-C39)/C39</f>
        <v>3.5555555555556321E-3</v>
      </c>
      <c r="I40">
        <f>(GaspSberBane[[#This Row],[Столбец1]]-E39)/E39</f>
        <v>1.0986269920504861E-2</v>
      </c>
      <c r="J40">
        <f>(D40-D39)/D39</f>
        <v>5.5325034578146614E-3</v>
      </c>
    </row>
    <row r="41" spans="1:10" x14ac:dyDescent="0.35">
      <c r="A41" s="39">
        <v>44453</v>
      </c>
      <c r="B41">
        <v>338.98</v>
      </c>
      <c r="C41">
        <v>326.48</v>
      </c>
      <c r="D41">
        <v>1436.5</v>
      </c>
      <c r="E41">
        <f>0.47*GaspSberBane[[#This Row],[GAZP.&lt;CLOSE&gt;]]+0.53*GaspSberBane[[#This Row],[SBER.&lt;CLOSE&gt;]]</f>
        <v>332.35500000000002</v>
      </c>
      <c r="G41">
        <f>(B41-B40)/B40</f>
        <v>1.8722764838467371E-2</v>
      </c>
      <c r="H41">
        <f>(C41-C40)/C40</f>
        <v>-2.840475245105546E-3</v>
      </c>
      <c r="I41">
        <f>(GaspSberBane[[#This Row],[Столбец1]]-E40)/E40</f>
        <v>7.3811877916997067E-3</v>
      </c>
      <c r="J41">
        <f>(D41-D40)/D40</f>
        <v>-1.2035763411279229E-2</v>
      </c>
    </row>
    <row r="42" spans="1:10" x14ac:dyDescent="0.35">
      <c r="A42" s="39">
        <v>44454</v>
      </c>
      <c r="B42">
        <v>343.34</v>
      </c>
      <c r="C42">
        <v>333.51</v>
      </c>
      <c r="D42">
        <v>1518.5</v>
      </c>
      <c r="E42">
        <f>0.47*GaspSberBane[[#This Row],[GAZP.&lt;CLOSE&gt;]]+0.53*GaspSberBane[[#This Row],[SBER.&lt;CLOSE&gt;]]</f>
        <v>338.13009999999997</v>
      </c>
      <c r="G42">
        <f>(B42-B41)/B41</f>
        <v>1.2862115759041703E-2</v>
      </c>
      <c r="H42">
        <f>(C42-C41)/C41</f>
        <v>2.1532712570448333E-2</v>
      </c>
      <c r="I42">
        <f>(GaspSberBane[[#This Row],[Столбец1]]-E41)/E41</f>
        <v>1.7376299438852889E-2</v>
      </c>
      <c r="J42">
        <f>(D42-D41)/D41</f>
        <v>5.7083188304907759E-2</v>
      </c>
    </row>
    <row r="43" spans="1:10" x14ac:dyDescent="0.35">
      <c r="A43" s="39">
        <v>44455</v>
      </c>
      <c r="B43">
        <v>338.5</v>
      </c>
      <c r="C43">
        <v>326.99</v>
      </c>
      <c r="D43">
        <v>1455</v>
      </c>
      <c r="E43">
        <f>0.47*GaspSberBane[[#This Row],[GAZP.&lt;CLOSE&gt;]]+0.53*GaspSberBane[[#This Row],[SBER.&lt;CLOSE&gt;]]</f>
        <v>332.39970000000005</v>
      </c>
      <c r="G43">
        <f>(B43-B42)/B42</f>
        <v>-1.4096813654103733E-2</v>
      </c>
      <c r="H43">
        <f>(C43-C42)/C42</f>
        <v>-1.9549638691493454E-2</v>
      </c>
      <c r="I43">
        <f>(GaspSberBane[[#This Row],[Столбец1]]-E42)/E42</f>
        <v>-1.6947322938714766E-2</v>
      </c>
      <c r="J43">
        <f>(D43-D42)/D42</f>
        <v>-4.1817583141257823E-2</v>
      </c>
    </row>
    <row r="44" spans="1:10" x14ac:dyDescent="0.35">
      <c r="A44" s="39">
        <v>44456</v>
      </c>
      <c r="B44">
        <v>334.5</v>
      </c>
      <c r="C44">
        <v>329.56</v>
      </c>
      <c r="D44">
        <v>1463.5</v>
      </c>
      <c r="E44">
        <f>0.47*GaspSberBane[[#This Row],[GAZP.&lt;CLOSE&gt;]]+0.53*GaspSberBane[[#This Row],[SBER.&lt;CLOSE&gt;]]</f>
        <v>331.8818</v>
      </c>
      <c r="G44">
        <f>(B44-B43)/B43</f>
        <v>-1.1816838995568686E-2</v>
      </c>
      <c r="H44">
        <f>(C44-C43)/C43</f>
        <v>7.8595675708737055E-3</v>
      </c>
      <c r="I44">
        <f>(GaspSberBane[[#This Row],[Столбец1]]-E43)/E43</f>
        <v>-1.5580639814056815E-3</v>
      </c>
      <c r="J44">
        <f>(D44-D43)/D43</f>
        <v>5.8419243986254296E-3</v>
      </c>
    </row>
    <row r="45" spans="1:10" x14ac:dyDescent="0.35">
      <c r="A45" s="39">
        <v>44459</v>
      </c>
      <c r="B45">
        <v>325.7</v>
      </c>
      <c r="C45">
        <v>326.92</v>
      </c>
      <c r="D45">
        <v>1418</v>
      </c>
      <c r="E45">
        <f>0.47*GaspSberBane[[#This Row],[GAZP.&lt;CLOSE&gt;]]+0.53*GaspSberBane[[#This Row],[SBER.&lt;CLOSE&gt;]]</f>
        <v>326.34659999999997</v>
      </c>
      <c r="G45">
        <f>(B45-B44)/B44</f>
        <v>-2.6307922272047868E-2</v>
      </c>
      <c r="H45">
        <f>(C45-C44)/C44</f>
        <v>-8.0106809078771286E-3</v>
      </c>
      <c r="I45">
        <f>(GaspSberBane[[#This Row],[Столбец1]]-E44)/E44</f>
        <v>-1.6678227007326199E-2</v>
      </c>
      <c r="J45">
        <f>(D45-D44)/D44</f>
        <v>-3.1089853091902972E-2</v>
      </c>
    </row>
    <row r="46" spans="1:10" x14ac:dyDescent="0.35">
      <c r="A46" s="39">
        <v>44460</v>
      </c>
      <c r="B46">
        <v>335.3</v>
      </c>
      <c r="C46">
        <v>323.25</v>
      </c>
      <c r="D46">
        <v>1405</v>
      </c>
      <c r="E46">
        <f>0.47*GaspSberBane[[#This Row],[GAZP.&lt;CLOSE&gt;]]+0.53*GaspSberBane[[#This Row],[SBER.&lt;CLOSE&gt;]]</f>
        <v>328.9135</v>
      </c>
      <c r="G46">
        <f>(B46-B45)/B45</f>
        <v>2.9474976972674313E-2</v>
      </c>
      <c r="H46">
        <f>(C46-C45)/C45</f>
        <v>-1.1225988009298958E-2</v>
      </c>
      <c r="I46">
        <f>(GaspSberBane[[#This Row],[Столбец1]]-E45)/E45</f>
        <v>7.8655637901544947E-3</v>
      </c>
      <c r="J46">
        <f>(D46-D45)/D45</f>
        <v>-9.1678420310296188E-3</v>
      </c>
    </row>
    <row r="47" spans="1:10" x14ac:dyDescent="0.35">
      <c r="A47" s="39">
        <v>44461</v>
      </c>
      <c r="B47">
        <v>340.59</v>
      </c>
      <c r="C47">
        <v>327.8</v>
      </c>
      <c r="D47">
        <v>1416.5</v>
      </c>
      <c r="E47">
        <f>0.47*GaspSberBane[[#This Row],[GAZP.&lt;CLOSE&gt;]]+0.53*GaspSberBane[[#This Row],[SBER.&lt;CLOSE&gt;]]</f>
        <v>333.81129999999996</v>
      </c>
      <c r="G47">
        <f>(B47-B46)/B46</f>
        <v>1.5776916194452619E-2</v>
      </c>
      <c r="H47">
        <f>(C47-C46)/C46</f>
        <v>1.4075792730085109E-2</v>
      </c>
      <c r="I47">
        <f>(GaspSberBane[[#This Row],[Столбец1]]-E46)/E46</f>
        <v>1.4890845161417702E-2</v>
      </c>
      <c r="J47">
        <f>(D47-D46)/D46</f>
        <v>8.1850533807829185E-3</v>
      </c>
    </row>
    <row r="48" spans="1:10" x14ac:dyDescent="0.35">
      <c r="A48" s="39">
        <v>44462</v>
      </c>
      <c r="B48">
        <v>343.47</v>
      </c>
      <c r="C48">
        <v>327.02</v>
      </c>
      <c r="D48">
        <v>1414.5</v>
      </c>
      <c r="E48">
        <f>0.47*GaspSberBane[[#This Row],[GAZP.&lt;CLOSE&gt;]]+0.53*GaspSberBane[[#This Row],[SBER.&lt;CLOSE&gt;]]</f>
        <v>334.75150000000002</v>
      </c>
      <c r="G48">
        <f>(B48-B47)/B47</f>
        <v>8.4559147361932315E-3</v>
      </c>
      <c r="H48">
        <f>(C48-C47)/C47</f>
        <v>-2.3794996949360265E-3</v>
      </c>
      <c r="I48">
        <f>(GaspSberBane[[#This Row],[Столбец1]]-E47)/E47</f>
        <v>2.816561332705218E-3</v>
      </c>
      <c r="J48">
        <f>(D48-D47)/D47</f>
        <v>-1.4119308153900459E-3</v>
      </c>
    </row>
    <row r="49" spans="1:10" x14ac:dyDescent="0.35">
      <c r="A49" s="39">
        <v>44463</v>
      </c>
      <c r="B49">
        <v>344.29</v>
      </c>
      <c r="C49">
        <v>325.44</v>
      </c>
      <c r="D49">
        <v>1415</v>
      </c>
      <c r="E49">
        <f>0.47*GaspSberBane[[#This Row],[GAZP.&lt;CLOSE&gt;]]+0.53*GaspSberBane[[#This Row],[SBER.&lt;CLOSE&gt;]]</f>
        <v>334.29950000000002</v>
      </c>
      <c r="G49">
        <f>(B49-B48)/B48</f>
        <v>2.3873991906134249E-3</v>
      </c>
      <c r="H49">
        <f>(C49-C48)/C48</f>
        <v>-4.8315087762215896E-3</v>
      </c>
      <c r="I49">
        <f>(GaspSberBane[[#This Row],[Столбец1]]-E48)/E48</f>
        <v>-1.3502553386616585E-3</v>
      </c>
      <c r="J49">
        <f>(D49-D48)/D48</f>
        <v>3.5348179568752211E-4</v>
      </c>
    </row>
    <row r="50" spans="1:10" x14ac:dyDescent="0.35">
      <c r="A50" s="39">
        <v>44466</v>
      </c>
      <c r="B50">
        <v>355.19</v>
      </c>
      <c r="C50">
        <v>331.68</v>
      </c>
      <c r="D50">
        <v>1443</v>
      </c>
      <c r="E50">
        <f>0.47*GaspSberBane[[#This Row],[GAZP.&lt;CLOSE&gt;]]+0.53*GaspSberBane[[#This Row],[SBER.&lt;CLOSE&gt;]]</f>
        <v>342.72969999999998</v>
      </c>
      <c r="G50">
        <f>(B50-B49)/B49</f>
        <v>3.1659356937465438E-2</v>
      </c>
      <c r="H50">
        <f>(C50-C49)/C49</f>
        <v>1.9174041297935131E-2</v>
      </c>
      <c r="I50">
        <f>(GaspSberBane[[#This Row],[Столбец1]]-E49)/E49</f>
        <v>2.5217507055798637E-2</v>
      </c>
      <c r="J50">
        <f>(D50-D49)/D49</f>
        <v>1.9787985865724382E-2</v>
      </c>
    </row>
    <row r="51" spans="1:10" x14ac:dyDescent="0.35">
      <c r="A51" s="39">
        <v>44467</v>
      </c>
      <c r="B51">
        <v>354.07</v>
      </c>
      <c r="C51">
        <v>329.3</v>
      </c>
      <c r="D51">
        <v>1472</v>
      </c>
      <c r="E51">
        <f>0.47*GaspSberBane[[#This Row],[GAZP.&lt;CLOSE&gt;]]+0.53*GaspSberBane[[#This Row],[SBER.&lt;CLOSE&gt;]]</f>
        <v>340.94190000000003</v>
      </c>
      <c r="G51">
        <f>(B51-B50)/B50</f>
        <v>-3.1532419268560617E-3</v>
      </c>
      <c r="H51">
        <f>(C51-C50)/C50</f>
        <v>-7.1755909310178348E-3</v>
      </c>
      <c r="I51">
        <f>(GaspSberBane[[#This Row],[Столбец1]]-E50)/E50</f>
        <v>-5.2163556295236379E-3</v>
      </c>
      <c r="J51">
        <f>(D51-D50)/D50</f>
        <v>2.0097020097020097E-2</v>
      </c>
    </row>
    <row r="52" spans="1:10" x14ac:dyDescent="0.35">
      <c r="A52" s="39">
        <v>44468</v>
      </c>
      <c r="B52">
        <v>360.88</v>
      </c>
      <c r="C52">
        <v>328.43</v>
      </c>
      <c r="D52">
        <v>1449.5</v>
      </c>
      <c r="E52">
        <f>0.47*GaspSberBane[[#This Row],[GAZP.&lt;CLOSE&gt;]]+0.53*GaspSberBane[[#This Row],[SBER.&lt;CLOSE&gt;]]</f>
        <v>343.68150000000003</v>
      </c>
      <c r="G52">
        <f>(B52-B51)/B51</f>
        <v>1.9233484904115011E-2</v>
      </c>
      <c r="H52">
        <f>(C52-C51)/C51</f>
        <v>-2.64196781050715E-3</v>
      </c>
      <c r="I52">
        <f>(GaspSberBane[[#This Row],[Столбец1]]-E51)/E51</f>
        <v>8.0353866743864445E-3</v>
      </c>
      <c r="J52">
        <f>(D52-D51)/D51</f>
        <v>-1.5285326086956522E-2</v>
      </c>
    </row>
    <row r="53" spans="1:10" x14ac:dyDescent="0.35">
      <c r="A53" s="39">
        <v>44469</v>
      </c>
      <c r="B53">
        <v>360.8</v>
      </c>
      <c r="C53">
        <v>340.99</v>
      </c>
      <c r="D53">
        <v>1454</v>
      </c>
      <c r="E53">
        <f>0.47*GaspSberBane[[#This Row],[GAZP.&lt;CLOSE&gt;]]+0.53*GaspSberBane[[#This Row],[SBER.&lt;CLOSE&gt;]]</f>
        <v>350.30070000000001</v>
      </c>
      <c r="G53">
        <f>(B53-B52)/B52</f>
        <v>-2.2168033695406806E-4</v>
      </c>
      <c r="H53">
        <f>(C53-C52)/C52</f>
        <v>3.8242547879304575E-2</v>
      </c>
      <c r="I53">
        <f>(GaspSberBane[[#This Row],[Столбец1]]-E52)/E52</f>
        <v>1.9259692476900785E-2</v>
      </c>
      <c r="J53">
        <f>(D53-D52)/D52</f>
        <v>3.1045187995860641E-3</v>
      </c>
    </row>
    <row r="54" spans="1:10" x14ac:dyDescent="0.35">
      <c r="A54" s="39">
        <v>44470</v>
      </c>
      <c r="B54">
        <v>363.25</v>
      </c>
      <c r="C54">
        <v>338.48</v>
      </c>
      <c r="D54">
        <v>1464</v>
      </c>
      <c r="E54">
        <f>0.47*GaspSberBane[[#This Row],[GAZP.&lt;CLOSE&gt;]]+0.53*GaspSberBane[[#This Row],[SBER.&lt;CLOSE&gt;]]</f>
        <v>350.12189999999998</v>
      </c>
      <c r="G54">
        <f>(B54-B53)/B53</f>
        <v>6.7904656319290151E-3</v>
      </c>
      <c r="H54">
        <f>(C54-C53)/C53</f>
        <v>-7.360919675063758E-3</v>
      </c>
      <c r="I54">
        <f>(GaspSberBane[[#This Row],[Столбец1]]-E53)/E53</f>
        <v>-5.1041862034538845E-4</v>
      </c>
      <c r="J54">
        <f>(D54-D53)/D53</f>
        <v>6.8775790921595595E-3</v>
      </c>
    </row>
    <row r="55" spans="1:10" x14ac:dyDescent="0.35">
      <c r="A55" t="s">
        <v>63</v>
      </c>
      <c r="D55">
        <f>SUBTOTAL(103,GaspSberBane[BANE.&lt;CLOSE&gt;])</f>
        <v>45</v>
      </c>
    </row>
  </sheetData>
  <phoneticPr fontId="9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16" zoomScale="85" zoomScaleNormal="85" workbookViewId="0">
      <selection activeCell="A25" sqref="A25:V27"/>
    </sheetView>
  </sheetViews>
  <sheetFormatPr defaultColWidth="9.08984375" defaultRowHeight="14.5" x14ac:dyDescent="0.35"/>
  <cols>
    <col min="1" max="1" width="9.08984375" style="1"/>
    <col min="2" max="2" width="11.08984375" style="1" bestFit="1" customWidth="1"/>
    <col min="3" max="16384" width="9.08984375" style="1"/>
  </cols>
  <sheetData>
    <row r="1" spans="1:22" x14ac:dyDescent="0.35">
      <c r="A1" s="43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5"/>
    </row>
    <row r="2" spans="1:22" x14ac:dyDescent="0.3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/>
    </row>
    <row r="3" spans="1:22" x14ac:dyDescent="0.35">
      <c r="A3" s="40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1:22" x14ac:dyDescent="0.35">
      <c r="A4" s="40" t="s">
        <v>16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</row>
    <row r="5" spans="1:22" ht="18.5" x14ac:dyDescent="0.45">
      <c r="A5" s="49" t="s">
        <v>17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1"/>
    </row>
    <row r="6" spans="1:22" ht="15" thickBot="1" x14ac:dyDescent="0.4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/>
    </row>
    <row r="7" spans="1:22" x14ac:dyDescent="0.35">
      <c r="A7" s="55" t="s">
        <v>18</v>
      </c>
      <c r="B7" s="56"/>
      <c r="C7" s="56"/>
      <c r="D7" s="56"/>
      <c r="E7" s="56"/>
      <c r="F7" s="56"/>
      <c r="G7" s="56"/>
      <c r="H7" s="56"/>
      <c r="I7" s="56"/>
      <c r="J7" s="56"/>
      <c r="K7" s="16" t="s">
        <v>19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" thickBot="1" x14ac:dyDescent="0.4">
      <c r="A8" s="57"/>
      <c r="B8" s="58"/>
      <c r="C8" s="58"/>
      <c r="D8" s="58"/>
      <c r="E8" s="58"/>
      <c r="F8" s="58"/>
      <c r="G8" s="58"/>
      <c r="H8" s="58"/>
      <c r="I8" s="58"/>
      <c r="J8" s="58"/>
      <c r="K8" s="18" t="s">
        <v>20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3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35">
      <c r="A10" s="40" t="s">
        <v>21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2"/>
    </row>
    <row r="11" spans="1:22" ht="18.5" x14ac:dyDescent="0.45">
      <c r="A11" s="49" t="s">
        <v>22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1"/>
    </row>
    <row r="12" spans="1:22" ht="18.5" x14ac:dyDescent="0.45">
      <c r="A12" s="49" t="s">
        <v>23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/>
    </row>
    <row r="13" spans="1:22" ht="16" thickBot="1" x14ac:dyDescent="0.4">
      <c r="A13" s="59" t="s">
        <v>24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1"/>
    </row>
    <row r="14" spans="1:22" ht="16" thickBot="1" x14ac:dyDescent="0.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5" x14ac:dyDescent="0.35">
      <c r="A15" s="62" t="s">
        <v>25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4"/>
    </row>
    <row r="16" spans="1:22" x14ac:dyDescent="0.35">
      <c r="A16" s="40" t="s">
        <v>26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</row>
    <row r="17" spans="1:26" ht="15" thickBot="1" x14ac:dyDescent="0.4">
      <c r="A17" s="77" t="s">
        <v>27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9"/>
    </row>
    <row r="18" spans="1:26" x14ac:dyDescent="0.35">
      <c r="A18" s="80"/>
      <c r="B18" s="81"/>
      <c r="C18" s="81"/>
      <c r="D18" s="81"/>
      <c r="E18" s="81"/>
      <c r="F18" s="81"/>
      <c r="G18" s="81"/>
      <c r="H18" s="21"/>
      <c r="I18" s="5" t="s">
        <v>2</v>
      </c>
      <c r="J18" s="6" t="s">
        <v>28</v>
      </c>
      <c r="K18" s="21"/>
      <c r="L18" s="21"/>
      <c r="M18" s="5" t="s">
        <v>29</v>
      </c>
      <c r="N18" s="6" t="s">
        <v>30</v>
      </c>
      <c r="O18" s="6"/>
      <c r="P18" s="6"/>
      <c r="Q18" s="6"/>
      <c r="R18" s="21"/>
      <c r="S18" s="6"/>
      <c r="T18" s="6"/>
      <c r="U18" s="6"/>
      <c r="V18" s="22"/>
    </row>
    <row r="19" spans="1:26" x14ac:dyDescent="0.35">
      <c r="A19" s="82"/>
      <c r="B19" s="83"/>
      <c r="C19" s="83"/>
      <c r="D19" s="83"/>
      <c r="E19" s="83"/>
      <c r="F19" s="83"/>
      <c r="G19" s="83"/>
      <c r="H19" s="23" t="s">
        <v>1</v>
      </c>
      <c r="I19" s="10" t="s">
        <v>31</v>
      </c>
      <c r="J19" s="3" t="s">
        <v>32</v>
      </c>
      <c r="K19" s="9"/>
      <c r="L19" s="9"/>
      <c r="M19" s="10" t="s">
        <v>33</v>
      </c>
      <c r="N19" s="3" t="s">
        <v>34</v>
      </c>
      <c r="O19" s="3"/>
      <c r="P19" s="3"/>
      <c r="Q19" s="3"/>
      <c r="R19" s="9"/>
      <c r="S19" s="3"/>
      <c r="T19" s="3"/>
      <c r="U19" s="3"/>
      <c r="V19" s="24"/>
    </row>
    <row r="20" spans="1:26" ht="15" thickBot="1" x14ac:dyDescent="0.4">
      <c r="A20" s="77"/>
      <c r="B20" s="78"/>
      <c r="C20" s="78"/>
      <c r="D20" s="78"/>
      <c r="E20" s="78"/>
      <c r="F20" s="78"/>
      <c r="G20" s="78"/>
      <c r="H20" s="25"/>
      <c r="I20" s="11" t="s">
        <v>35</v>
      </c>
      <c r="J20" s="12" t="s">
        <v>36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35">
      <c r="A21" s="74" t="s">
        <v>37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6"/>
    </row>
    <row r="22" spans="1:26" x14ac:dyDescent="0.35">
      <c r="A22" s="27" t="s">
        <v>38</v>
      </c>
      <c r="C22" s="1" t="s">
        <v>39</v>
      </c>
      <c r="I22" s="1" t="s">
        <v>40</v>
      </c>
      <c r="K22" s="1" t="s">
        <v>39</v>
      </c>
      <c r="P22" s="1" t="s">
        <v>41</v>
      </c>
      <c r="R22" s="1" t="s">
        <v>39</v>
      </c>
      <c r="V22" s="28"/>
    </row>
    <row r="23" spans="1:26" ht="15" thickBot="1" x14ac:dyDescent="0.4">
      <c r="A23" s="27" t="s">
        <v>42</v>
      </c>
      <c r="C23" s="1" t="s">
        <v>43</v>
      </c>
      <c r="I23" s="1" t="s">
        <v>42</v>
      </c>
      <c r="K23" s="1" t="s">
        <v>44</v>
      </c>
      <c r="P23" s="1" t="s">
        <v>42</v>
      </c>
      <c r="R23" s="1" t="s">
        <v>45</v>
      </c>
      <c r="V23" s="28"/>
    </row>
    <row r="24" spans="1:26" x14ac:dyDescent="0.35">
      <c r="A24" s="84" t="s">
        <v>46</v>
      </c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</row>
    <row r="25" spans="1:26" x14ac:dyDescent="0.35">
      <c r="A25" s="87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9"/>
    </row>
    <row r="26" spans="1:26" x14ac:dyDescent="0.35">
      <c r="A26" s="87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9"/>
      <c r="Z26" s="29"/>
    </row>
    <row r="27" spans="1:26" ht="15" thickBot="1" x14ac:dyDescent="0.4">
      <c r="A27" s="90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</row>
    <row r="28" spans="1:26" ht="15" thickBot="1" x14ac:dyDescent="0.4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5" x14ac:dyDescent="0.35">
      <c r="A29" s="62" t="s">
        <v>25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4"/>
    </row>
    <row r="30" spans="1:26" x14ac:dyDescent="0.35">
      <c r="A30" s="40" t="s">
        <v>47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</row>
    <row r="31" spans="1:26" ht="15" thickBot="1" x14ac:dyDescent="0.4">
      <c r="A31" s="65" t="s">
        <v>48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7"/>
    </row>
    <row r="32" spans="1:26" x14ac:dyDescent="0.35">
      <c r="A32" s="68" t="s">
        <v>49</v>
      </c>
      <c r="B32" s="69"/>
      <c r="C32" s="69"/>
      <c r="D32" s="69"/>
      <c r="E32" s="69"/>
      <c r="F32" s="69"/>
      <c r="G32" s="69"/>
      <c r="H32" s="6"/>
      <c r="I32" s="30" t="s">
        <v>4</v>
      </c>
      <c r="J32" s="6" t="s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35">
      <c r="A33" s="70"/>
      <c r="B33" s="71"/>
      <c r="C33" s="71"/>
      <c r="D33" s="71"/>
      <c r="E33" s="71"/>
      <c r="F33" s="71"/>
      <c r="G33" s="71"/>
      <c r="H33" s="31" t="s">
        <v>1</v>
      </c>
      <c r="I33" s="8" t="s">
        <v>51</v>
      </c>
      <c r="J33" s="3" t="s">
        <v>52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" thickBot="1" x14ac:dyDescent="0.4">
      <c r="A34" s="72"/>
      <c r="B34" s="73"/>
      <c r="C34" s="73"/>
      <c r="D34" s="73"/>
      <c r="E34" s="73"/>
      <c r="F34" s="73"/>
      <c r="G34" s="73"/>
      <c r="H34" s="12"/>
      <c r="I34" s="11" t="s">
        <v>33</v>
      </c>
      <c r="J34" s="12" t="s">
        <v>34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35">
      <c r="A35" s="74" t="s">
        <v>37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6"/>
    </row>
    <row r="36" spans="1:22" ht="15" thickBot="1" x14ac:dyDescent="0.4">
      <c r="A36" s="27" t="s">
        <v>53</v>
      </c>
      <c r="H36" s="1" t="s">
        <v>54</v>
      </c>
      <c r="P36" s="1" t="s">
        <v>55</v>
      </c>
      <c r="V36" s="28"/>
    </row>
    <row r="37" spans="1:22" x14ac:dyDescent="0.35">
      <c r="A37" s="32" t="s">
        <v>56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3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" thickBot="1" x14ac:dyDescent="0.4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zoomScale="140" zoomScaleNormal="140" workbookViewId="0">
      <selection sqref="A1:O1"/>
    </sheetView>
  </sheetViews>
  <sheetFormatPr defaultColWidth="9.08984375" defaultRowHeight="14.5" x14ac:dyDescent="0.35"/>
  <cols>
    <col min="1" max="16384" width="9.08984375" style="1"/>
  </cols>
  <sheetData>
    <row r="1" spans="1:15" ht="15" thickBot="1" x14ac:dyDescent="0.4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15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3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" thickBot="1" x14ac:dyDescent="0.4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35">
      <c r="A14" s="2"/>
      <c r="B14" s="3"/>
      <c r="C14" s="3"/>
      <c r="D14" s="3"/>
      <c r="E14" s="3"/>
      <c r="F14" s="3"/>
      <c r="G14" s="3"/>
      <c r="H14" s="3"/>
      <c r="I14" s="96" t="s">
        <v>1</v>
      </c>
      <c r="J14" s="5" t="s">
        <v>2</v>
      </c>
      <c r="K14" s="6" t="s">
        <v>3</v>
      </c>
      <c r="L14" s="6"/>
      <c r="M14" s="6"/>
      <c r="N14" s="7"/>
      <c r="O14" s="4"/>
    </row>
    <row r="15" spans="1:15" x14ac:dyDescent="0.35">
      <c r="A15" s="2"/>
      <c r="B15" s="3"/>
      <c r="C15" s="3"/>
      <c r="D15" s="3"/>
      <c r="E15" s="3"/>
      <c r="F15" s="3"/>
      <c r="G15" s="3"/>
      <c r="H15" s="3"/>
      <c r="I15" s="97"/>
      <c r="J15" s="8" t="s">
        <v>4</v>
      </c>
      <c r="K15" s="3" t="s">
        <v>5</v>
      </c>
      <c r="L15" s="3"/>
      <c r="M15" s="9"/>
      <c r="N15" s="4"/>
      <c r="O15" s="4"/>
    </row>
    <row r="16" spans="1:15" x14ac:dyDescent="0.35">
      <c r="A16" s="2"/>
      <c r="B16" s="3"/>
      <c r="C16" s="3"/>
      <c r="D16" s="3"/>
      <c r="E16" s="3"/>
      <c r="F16" s="3"/>
      <c r="G16" s="3"/>
      <c r="H16" s="3"/>
      <c r="I16" s="97"/>
      <c r="J16" s="10" t="s">
        <v>6</v>
      </c>
      <c r="K16" s="3" t="s">
        <v>7</v>
      </c>
      <c r="L16" s="9"/>
      <c r="M16" s="3"/>
      <c r="N16" s="4"/>
      <c r="O16" s="4"/>
    </row>
    <row r="17" spans="1:20" x14ac:dyDescent="0.35">
      <c r="A17" s="2"/>
      <c r="B17" s="3"/>
      <c r="C17" s="3"/>
      <c r="D17" s="3"/>
      <c r="E17" s="3"/>
      <c r="F17" s="3"/>
      <c r="G17" s="3"/>
      <c r="H17" s="3"/>
      <c r="I17" s="97"/>
      <c r="J17" s="10" t="s">
        <v>8</v>
      </c>
      <c r="K17" s="3" t="s">
        <v>9</v>
      </c>
      <c r="L17" s="3"/>
      <c r="M17" s="3"/>
      <c r="N17" s="4"/>
      <c r="O17" s="4"/>
    </row>
    <row r="18" spans="1:20" x14ac:dyDescent="0.35">
      <c r="A18" s="2"/>
      <c r="B18" s="3"/>
      <c r="C18" s="3"/>
      <c r="D18" s="3"/>
      <c r="E18" s="3"/>
      <c r="F18" s="3"/>
      <c r="G18" s="3"/>
      <c r="H18" s="3"/>
      <c r="I18" s="97"/>
      <c r="J18" s="10" t="s">
        <v>10</v>
      </c>
      <c r="K18" s="3" t="s">
        <v>11</v>
      </c>
      <c r="L18" s="3"/>
      <c r="M18" s="3"/>
      <c r="N18" s="4"/>
      <c r="O18" s="4"/>
    </row>
    <row r="19" spans="1:20" ht="15" thickBot="1" x14ac:dyDescent="0.4">
      <c r="A19" s="2"/>
      <c r="B19" s="3"/>
      <c r="C19" s="3"/>
      <c r="D19" s="3"/>
      <c r="E19" s="3"/>
      <c r="F19" s="3"/>
      <c r="G19" s="3"/>
      <c r="H19" s="3"/>
      <c r="I19" s="98"/>
      <c r="J19" s="11" t="s">
        <v>12</v>
      </c>
      <c r="K19" s="12" t="s">
        <v>13</v>
      </c>
      <c r="L19" s="12"/>
      <c r="M19" s="12"/>
      <c r="N19" s="13"/>
      <c r="O19" s="4"/>
    </row>
    <row r="20" spans="1:20" x14ac:dyDescent="0.35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" thickBot="1" x14ac:dyDescent="0.4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35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35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35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35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35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35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activeCell="B7" sqref="B7"/>
    </sheetView>
  </sheetViews>
  <sheetFormatPr defaultRowHeight="14.5" x14ac:dyDescent="0.35"/>
  <cols>
    <col min="1" max="1" width="11.90625" customWidth="1"/>
    <col min="2" max="2" width="68.54296875" customWidth="1"/>
  </cols>
  <sheetData>
    <row r="1" spans="1:2" x14ac:dyDescent="0.35">
      <c r="A1" t="s">
        <v>57</v>
      </c>
      <c r="B1" t="s">
        <v>58</v>
      </c>
    </row>
    <row r="2" spans="1:2" x14ac:dyDescent="0.35">
      <c r="A2" t="s">
        <v>59</v>
      </c>
      <c r="B2" t="str" cm="1">
        <f t="array" aca="1" ref="B2" ca="1">LEFT(CELL("имяфайла"),FIND("\[", CELL("имяфайла") )) &amp; "Data\"</f>
        <v>F:\уник\exel\Data\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</vt:lpstr>
      <vt:lpstr>Задание 2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Иван Лебедев</cp:lastModifiedBy>
  <dcterms:created xsi:type="dcterms:W3CDTF">2015-06-05T18:19:34Z</dcterms:created>
  <dcterms:modified xsi:type="dcterms:W3CDTF">2023-04-24T14:00:05Z</dcterms:modified>
</cp:coreProperties>
</file>