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roject\2cours\excel\практика9\"/>
    </mc:Choice>
  </mc:AlternateContent>
  <xr:revisionPtr revIDLastSave="0" documentId="13_ncr:1_{D8B56305-057B-43AC-8307-A007A5CEFFD3}" xr6:coauthVersionLast="47" xr6:coauthVersionMax="47" xr10:uidLastSave="{00000000-0000-0000-0000-000000000000}"/>
  <bookViews>
    <workbookView xWindow="0" yWindow="0" windowWidth="14400" windowHeight="15750" xr2:uid="{00000000-000D-0000-FFFF-FFFF00000000}"/>
  </bookViews>
  <sheets>
    <sheet name="Задание" sheetId="1" r:id="rId1"/>
    <sheet name="Меры" sheetId="3" r:id="rId2"/>
    <sheet name="F" sheetId="2" r:id="rId3"/>
    <sheet name="Params" sheetId="4" r:id="rId4"/>
  </sheets>
  <definedNames>
    <definedName name="ExternalData_1" localSheetId="0" hidden="1">Задание!$A$20:$C$65</definedName>
    <definedName name="ExternalData_2" localSheetId="0" hidden="1">Задание!$D$20:$D$65</definedName>
    <definedName name="solver_adj" localSheetId="0" hidden="1">Задание!$J$12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Задание!$J$12</definedName>
    <definedName name="solver_lhs2" localSheetId="0" hidden="1">Задание!$K$12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Задание!$M$12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hs1" localSheetId="0" hidden="1">1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/>
  <c r="H16" i="1"/>
  <c r="G16" i="1"/>
  <c r="L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I25" i="1"/>
  <c r="I27" i="1"/>
  <c r="I28" i="1"/>
  <c r="I29" i="1"/>
  <c r="I30" i="1"/>
  <c r="I31" i="1"/>
  <c r="E22" i="1"/>
  <c r="F16" i="1" s="1"/>
  <c r="F22" i="1"/>
  <c r="G17" i="1" s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K12" i="1"/>
  <c r="C66" i="1"/>
  <c r="A66" i="1"/>
  <c r="B2" i="4" a="1"/>
  <c r="B2" i="4" s="1"/>
  <c r="U7" i="3"/>
  <c r="T7" i="3" s="1"/>
  <c r="S7" i="3" s="1"/>
  <c r="R7" i="3" s="1"/>
  <c r="Q7" i="3" s="1"/>
  <c r="P7" i="3" s="1"/>
  <c r="O7" i="3" s="1"/>
  <c r="N7" i="3" s="1"/>
  <c r="M7" i="3" s="1"/>
  <c r="L7" i="3" s="1"/>
  <c r="F17" i="1" l="1"/>
  <c r="L12" i="1" l="1"/>
  <c r="M12" i="1"/>
  <c r="L23" i="1"/>
  <c r="K23" i="1"/>
  <c r="K27" i="1"/>
  <c r="L27" i="1"/>
  <c r="K29" i="1"/>
  <c r="L29" i="1"/>
  <c r="L28" i="1"/>
  <c r="K28" i="1"/>
  <c r="L30" i="1"/>
  <c r="K30" i="1"/>
  <c r="K25" i="1"/>
  <c r="L25" i="1"/>
  <c r="K22" i="1"/>
  <c r="L22" i="1"/>
  <c r="L26" i="1"/>
  <c r="K26" i="1"/>
  <c r="L24" i="1"/>
  <c r="K24" i="1"/>
  <c r="K31" i="1"/>
  <c r="L31" i="1"/>
  <c r="K21" i="1"/>
  <c r="J27" i="1"/>
  <c r="J26" i="1"/>
  <c r="J21" i="1"/>
  <c r="J23" i="1"/>
  <c r="J31" i="1"/>
  <c r="J22" i="1"/>
  <c r="J28" i="1"/>
  <c r="J30" i="1"/>
  <c r="J29" i="1"/>
  <c r="J25" i="1"/>
  <c r="J2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5C4749-B492-4A35-8F6E-57ADCA1A5B35}" keepAlive="1" name="Запрос — AKRN_210801_211001" description="Соединение с запросом &quot;AKRN_210801_211001&quot; в книге." type="5" refreshedVersion="0" background="1">
    <dbPr connection="Provider=Microsoft.Mashup.OleDb.1;Data Source=$Workbook$;Location=AKRN_210801_211001;Extended Properties=&quot;&quot;" command="SELECT * FROM [AKRN_210801_211001]"/>
  </connection>
  <connection id="2" xr16:uid="{7D0B617E-6935-4B57-87B8-6899627FB6AE}" keepAlive="1" name="Запрос — BANE_210801_211001" description="Соединение с запросом &quot;BANE_210801_211001&quot; в книге." type="5" refreshedVersion="8" background="1" saveData="1">
    <dbPr connection="Provider=Microsoft.Mashup.OleDb.1;Data Source=$Workbook$;Location=BANE_210801_211001;Extended Properties=&quot;&quot;" command="SELECT * FROM [BANE_210801_211001]"/>
  </connection>
  <connection id="3" xr16:uid="{9DE0496F-6549-4CDA-9ECD-358BC04D5045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  <connection id="4" xr16:uid="{A40FD788-90F7-4569-8845-7F89F686E74A}" keepAlive="1" name="Запрос — GAZP" description="Соединение с запросом &quot;GAZP&quot; в книге." type="5" refreshedVersion="0" background="1">
    <dbPr connection="Provider=Microsoft.Mashup.OleDb.1;Data Source=$Workbook$;Location=GAZP;Extended Properties=&quot;&quot;" command="SELECT * FROM [GAZP]"/>
  </connection>
  <connection id="5" xr16:uid="{DF73A593-780B-469C-A373-F5E3DDC91E53}" keepAlive="1" name="Запрос — GAZP_SBER" description="Соединение с запросом &quot;GAZP_SBER&quot; в книге." type="5" refreshedVersion="8" background="1" saveData="1">
    <dbPr connection="Provider=Microsoft.Mashup.OleDb.1;Data Source=$Workbook$;Location=GAZP_SBER;Extended Properties=&quot;&quot;" command="SELECT * FROM [GAZP_SBER]"/>
  </connection>
  <connection id="6" xr16:uid="{B06D16A8-F884-4B1E-9D12-ACE3196C53E9}" keepAlive="1" name="Запрос — NLMK_210801_211001" description="Соединение с запросом &quot;NLMK_210801_211001&quot; в книге." type="5" refreshedVersion="8" background="1" saveData="1">
    <dbPr connection="Provider=Microsoft.Mashup.OleDb.1;Data Source=$Workbook$;Location=NLMK_210801_211001;Extended Properties=&quot;&quot;" command="SELECT * FROM [NLMK_210801_211001]"/>
  </connection>
  <connection id="7" xr16:uid="{569E40C3-289A-463B-B1F5-6F90761B2646}" keepAlive="1" name="Запрос — SBER" description="Соединение с запросом &quot;SBER&quot; в книге." type="5" refreshedVersion="0" background="1">
    <dbPr connection="Provider=Microsoft.Mashup.OleDb.1;Data Source=$Workbook$;Location=SBER;Extended Properties=&quot;&quot;" command="SELECT * FROM [SBER]"/>
  </connection>
  <connection id="8" xr16:uid="{8085C6C7-CBDB-4FD0-A7E5-87F67BB5EC0F}" keepAlive="1" name="Запрос — SELG_210801_211001" description="Соединение с запросом &quot;SELG_210801_211001&quot; в книге." type="5" refreshedVersion="8" background="1" saveData="1">
    <dbPr connection="Provider=Microsoft.Mashup.OleDb.1;Data Source=$Workbook$;Location=SELG_210801_211001;Extended Properties=&quot;&quot;" command="SELECT * FROM [SELG_210801_21100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<sst xmlns="http://schemas.openxmlformats.org/spreadsheetml/2006/main" count="90" uniqueCount="76">
  <si>
    <t>НЕОБХОДИМЫЕ ФОРМУЛЫ</t>
  </si>
  <si>
    <t>где</t>
  </si>
  <si>
    <t>r</t>
  </si>
  <si>
    <t xml:space="preserve"> - доходность</t>
  </si>
  <si>
    <t>𝜎</t>
  </si>
  <si>
    <t xml:space="preserve"> - риск</t>
  </si>
  <si>
    <t>ω</t>
  </si>
  <si>
    <t xml:space="preserve"> - относительная доля в портфеле</t>
  </si>
  <si>
    <t>cor</t>
  </si>
  <si>
    <t xml:space="preserve"> - коэффициент корреляции</t>
  </si>
  <si>
    <t>DIV</t>
  </si>
  <si>
    <t xml:space="preserve"> - коэффициент диверсификации</t>
  </si>
  <si>
    <t>S</t>
  </si>
  <si>
    <t xml:space="preserve"> - процентная доля в портфеле</t>
  </si>
  <si>
    <t>Важно это запомнить!</t>
  </si>
  <si>
    <t>В торговом дне 24 часа он начинается и заканчивается в 00:00 UTC (Universal Coordinated Time - Всемирное координированное время). UTC+3 сответствует MSK (Московское время).</t>
  </si>
  <si>
    <t>Торговый день условно разделяется на четыре торговые сессии: Азиатская (Япония, Китай), Европейская (Лондон, Германия, Швейцария), Американская (США, Канада), Тихоокеанская (Австралия, Новая Зеландия).</t>
  </si>
  <si>
    <t>Условно, в календарной неделе 5 торговых дней, в календарном месяце 21 торговый день, в календарном году 252 торговых дня. В году 12 месяцев.</t>
  </si>
  <si>
    <t>Фактическое количество торговых дней в году на бирже ММВБ</t>
  </si>
  <si>
    <t>Год</t>
  </si>
  <si>
    <t>Дней</t>
  </si>
  <si>
    <t>Основные характеристики активов формируют три фактора: ПРИБЫЛЬ, ВРЕМЯ и РИСК.</t>
  </si>
  <si>
    <t>Доходность (r) - это мера ПРИБЫЛИ получаемой за определенное ВРЕМЯ.</t>
  </si>
  <si>
    <t>Волатильность (𝜎) - это мера РИСКА возникающего за определенное ВРЕМЯ.</t>
  </si>
  <si>
    <t>При оценке активов всегда следует использовать ОДИНАКОВЫЕ временные интервалы. Общепринятый интервал мер доходности и волатильности - 1 год.</t>
  </si>
  <si>
    <t>Пример:</t>
  </si>
  <si>
    <t>Расчёт относительной среднегодовой доходности:</t>
  </si>
  <si>
    <t>Относительная доходность измеряется в долях и соответствует отношению разнице приращения стоимости актива к первоначальной цене :</t>
  </si>
  <si>
    <t xml:space="preserve"> - среднегодовая доходность</t>
  </si>
  <si>
    <t>r%</t>
  </si>
  <si>
    <t xml:space="preserve"> - среднегодовая доходность в процентах</t>
  </si>
  <si>
    <r>
      <t>V</t>
    </r>
    <r>
      <rPr>
        <b/>
        <i/>
        <sz val="9"/>
        <color theme="1"/>
        <rFont val="Calibri"/>
        <family val="2"/>
        <charset val="204"/>
        <scheme val="minor"/>
      </rPr>
      <t>1</t>
    </r>
  </si>
  <si>
    <t xml:space="preserve"> - первоначальная цена</t>
  </si>
  <si>
    <t>P</t>
  </si>
  <si>
    <t xml:space="preserve"> - продолжительность периода выраженная в годах</t>
  </si>
  <si>
    <r>
      <t>V</t>
    </r>
    <r>
      <rPr>
        <b/>
        <i/>
        <sz val="10"/>
        <color theme="1"/>
        <rFont val="Calibri"/>
        <family val="2"/>
        <charset val="204"/>
        <scheme val="minor"/>
      </rPr>
      <t>2</t>
    </r>
  </si>
  <si>
    <t xml:space="preserve"> - текущая цена</t>
  </si>
  <si>
    <t>Исходные данные для 2017 года (247 дней):</t>
  </si>
  <si>
    <t>Цена вчера:</t>
  </si>
  <si>
    <t>50 руб.</t>
  </si>
  <si>
    <t>Цена месяц назад:</t>
  </si>
  <si>
    <t>Цена год назад:</t>
  </si>
  <si>
    <t>Цена сегодня:</t>
  </si>
  <si>
    <t>50,01 руб.</t>
  </si>
  <si>
    <t>50,2 руб.</t>
  </si>
  <si>
    <t>52,3 руб.</t>
  </si>
  <si>
    <t>Относительная среднегодовая доходность:</t>
  </si>
  <si>
    <t>Расчёт годвой волатильности:</t>
  </si>
  <si>
    <t>Среднегодовая волатильность равна стандартному отклонению доходности за период, делённому на квадратный корень временного периода, выраженного в годах.</t>
  </si>
  <si>
    <t xml:space="preserve"> Формула для расчёта среднегодовой волатильности:</t>
  </si>
  <si>
    <t xml:space="preserve"> - среднегодовая волатильность</t>
  </si>
  <si>
    <t>𝜎r</t>
  </si>
  <si>
    <t xml:space="preserve"> - стандартное отклонение доходности за период</t>
  </si>
  <si>
    <t>Стандартное отклонение доходности за день: 0,007</t>
  </si>
  <si>
    <t>Стандартное отклонение доходности за месяц: 0,01733</t>
  </si>
  <si>
    <t>Стандартное отклонение доходности за три года: 0,0867</t>
  </si>
  <si>
    <t>Среднегодовая волатильность:</t>
  </si>
  <si>
    <t>Name</t>
  </si>
  <si>
    <t>Value</t>
  </si>
  <si>
    <t>Path</t>
  </si>
  <si>
    <t>&lt;DATE&gt;</t>
  </si>
  <si>
    <t>GAZP.&lt;CLOSE&gt;</t>
  </si>
  <si>
    <t>SBER.&lt;CLOSE&gt;</t>
  </si>
  <si>
    <t>GAZP</t>
  </si>
  <si>
    <t>SBER</t>
  </si>
  <si>
    <t>w1</t>
  </si>
  <si>
    <t>w2</t>
  </si>
  <si>
    <t>sigma</t>
  </si>
  <si>
    <t>s</t>
  </si>
  <si>
    <t>W1</t>
  </si>
  <si>
    <t>W2</t>
  </si>
  <si>
    <t>R</t>
  </si>
  <si>
    <t>Sigma</t>
  </si>
  <si>
    <t>w3</t>
  </si>
  <si>
    <t>SELG.&lt;CLOSE&gt;</t>
  </si>
  <si>
    <t>SELG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</si>
</sst>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6" formatCode="0.000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1" fillId="0" borderId="0" xfId="1"/>
    <xf numFmtId="0" fontId="1" fillId="3" borderId="4" xfId="1" applyFill="1" applyBorder="1"/>
    <xf numFmtId="0" fontId="1" fillId="3" borderId="0" xfId="1" applyFill="1"/>
    <xf numFmtId="0" fontId="1" fillId="3" borderId="5" xfId="1" applyFill="1" applyBorder="1"/>
    <xf numFmtId="0" fontId="3" fillId="3" borderId="7" xfId="1" applyFont="1" applyFill="1" applyBorder="1" applyAlignment="1">
      <alignment horizontal="right"/>
    </xf>
    <xf numFmtId="0" fontId="1" fillId="3" borderId="7" xfId="1" applyFill="1" applyBorder="1"/>
    <xf numFmtId="0" fontId="1" fillId="3" borderId="8" xfId="1" applyFill="1" applyBorder="1"/>
    <xf numFmtId="0" fontId="2" fillId="3" borderId="0" xfId="1" applyFont="1" applyFill="1" applyAlignment="1">
      <alignment horizontal="right"/>
    </xf>
    <xf numFmtId="0" fontId="2" fillId="3" borderId="0" xfId="1" applyFont="1" applyFill="1"/>
    <xf numFmtId="0" fontId="3" fillId="3" borderId="0" xfId="1" applyFont="1" applyFill="1" applyAlignment="1">
      <alignment horizontal="right"/>
    </xf>
    <xf numFmtId="0" fontId="3" fillId="3" borderId="10" xfId="1" applyFont="1" applyFill="1" applyBorder="1" applyAlignment="1">
      <alignment horizontal="right"/>
    </xf>
    <xf numFmtId="0" fontId="1" fillId="3" borderId="10" xfId="1" applyFill="1" applyBorder="1"/>
    <xf numFmtId="0" fontId="1" fillId="3" borderId="11" xfId="1" applyFill="1" applyBorder="1"/>
    <xf numFmtId="0" fontId="1" fillId="3" borderId="0" xfId="1" applyFill="1" applyAlignment="1">
      <alignment vertical="center"/>
    </xf>
    <xf numFmtId="0" fontId="1" fillId="3" borderId="9" xfId="1" applyFill="1" applyBorder="1"/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17" xfId="1" applyBorder="1" applyAlignment="1">
      <alignment horizontal="center"/>
    </xf>
    <xf numFmtId="0" fontId="6" fillId="3" borderId="0" xfId="1" applyFont="1" applyFill="1" applyAlignment="1">
      <alignment horizontal="center"/>
    </xf>
    <xf numFmtId="0" fontId="2" fillId="3" borderId="7" xfId="1" applyFont="1" applyFill="1" applyBorder="1"/>
    <xf numFmtId="0" fontId="2" fillId="3" borderId="8" xfId="1" applyFont="1" applyFill="1" applyBorder="1"/>
    <xf numFmtId="0" fontId="1" fillId="3" borderId="0" xfId="1" applyFill="1" applyAlignment="1">
      <alignment horizontal="center"/>
    </xf>
    <xf numFmtId="0" fontId="2" fillId="3" borderId="5" xfId="1" applyFont="1" applyFill="1" applyBorder="1"/>
    <xf numFmtId="0" fontId="2" fillId="3" borderId="10" xfId="1" applyFont="1" applyFill="1" applyBorder="1"/>
    <xf numFmtId="0" fontId="2" fillId="3" borderId="11" xfId="1" applyFont="1" applyFill="1" applyBorder="1"/>
    <xf numFmtId="0" fontId="1" fillId="0" borderId="4" xfId="1" applyBorder="1"/>
    <xf numFmtId="0" fontId="1" fillId="0" borderId="5" xfId="1" applyBorder="1"/>
    <xf numFmtId="10" fontId="0" fillId="0" borderId="0" xfId="2" applyNumberFormat="1" applyFont="1"/>
    <xf numFmtId="0" fontId="2" fillId="3" borderId="7" xfId="1" applyFont="1" applyFill="1" applyBorder="1" applyAlignment="1">
      <alignment horizontal="right"/>
    </xf>
    <xf numFmtId="0" fontId="1" fillId="3" borderId="0" xfId="1" applyFill="1" applyAlignment="1">
      <alignment horizontal="right"/>
    </xf>
    <xf numFmtId="0" fontId="2" fillId="2" borderId="6" xfId="1" applyFont="1" applyFill="1" applyBorder="1"/>
    <xf numFmtId="0" fontId="1" fillId="2" borderId="7" xfId="1" applyFill="1" applyBorder="1"/>
    <xf numFmtId="17" fontId="1" fillId="2" borderId="7" xfId="1" applyNumberFormat="1" applyFill="1" applyBorder="1"/>
    <xf numFmtId="9" fontId="0" fillId="2" borderId="7" xfId="2" applyFont="1" applyFill="1" applyBorder="1"/>
    <xf numFmtId="0" fontId="1" fillId="2" borderId="8" xfId="1" applyFill="1" applyBorder="1"/>
    <xf numFmtId="9" fontId="0" fillId="3" borderId="0" xfId="2" applyFont="1" applyFill="1" applyBorder="1"/>
    <xf numFmtId="9" fontId="0" fillId="3" borderId="10" xfId="2" applyFont="1" applyFill="1" applyBorder="1"/>
    <xf numFmtId="14" fontId="0" fillId="0" borderId="0" xfId="0" applyNumberFormat="1"/>
    <xf numFmtId="164" fontId="0" fillId="0" borderId="0" xfId="0" applyNumberFormat="1"/>
    <xf numFmtId="0" fontId="2" fillId="2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/>
    </xf>
    <xf numFmtId="0" fontId="5" fillId="2" borderId="0" xfId="1" applyFont="1" applyFill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1" fillId="2" borderId="9" xfId="1" applyFill="1" applyBorder="1" applyAlignment="1">
      <alignment horizontal="center"/>
    </xf>
    <xf numFmtId="0" fontId="1" fillId="2" borderId="10" xfId="1" applyFill="1" applyBorder="1" applyAlignment="1">
      <alignment horizontal="center"/>
    </xf>
    <xf numFmtId="0" fontId="1" fillId="2" borderId="11" xfId="1" applyFill="1" applyBorder="1" applyAlignment="1">
      <alignment horizont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2" borderId="9" xfId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/>
    </xf>
    <xf numFmtId="0" fontId="6" fillId="3" borderId="6" xfId="1" applyFont="1" applyFill="1" applyBorder="1" applyAlignment="1">
      <alignment horizontal="center"/>
    </xf>
    <xf numFmtId="0" fontId="6" fillId="3" borderId="7" xfId="1" applyFont="1" applyFill="1" applyBorder="1" applyAlignment="1">
      <alignment horizontal="center"/>
    </xf>
    <xf numFmtId="0" fontId="6" fillId="3" borderId="8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5" xfId="1" applyFont="1" applyBorder="1" applyAlignment="1">
      <alignment horizontal="center"/>
    </xf>
    <xf numFmtId="0" fontId="1" fillId="0" borderId="6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2" fillId="2" borderId="4" xfId="1" applyFont="1" applyFill="1" applyBorder="1" applyAlignment="1">
      <alignment horizontal="left"/>
    </xf>
    <xf numFmtId="0" fontId="2" fillId="2" borderId="0" xfId="1" applyFont="1" applyFill="1" applyAlignment="1">
      <alignment horizontal="left"/>
    </xf>
    <xf numFmtId="0" fontId="2" fillId="2" borderId="5" xfId="1" applyFont="1" applyFill="1" applyBorder="1" applyAlignment="1">
      <alignment horizontal="left"/>
    </xf>
    <xf numFmtId="0" fontId="2" fillId="3" borderId="9" xfId="1" applyFont="1" applyFill="1" applyBorder="1" applyAlignment="1">
      <alignment horizontal="center"/>
    </xf>
    <xf numFmtId="0" fontId="2" fillId="3" borderId="10" xfId="1" applyFont="1" applyFill="1" applyBorder="1" applyAlignment="1">
      <alignment horizontal="center"/>
    </xf>
    <xf numFmtId="0" fontId="2" fillId="3" borderId="11" xfId="1" applyFont="1" applyFill="1" applyBorder="1" applyAlignment="1">
      <alignment horizontal="center"/>
    </xf>
    <xf numFmtId="0" fontId="2" fillId="3" borderId="6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2" fillId="2" borderId="6" xfId="1" applyFont="1" applyFill="1" applyBorder="1" applyAlignment="1">
      <alignment horizontal="left"/>
    </xf>
    <xf numFmtId="0" fontId="2" fillId="2" borderId="7" xfId="1" applyFont="1" applyFill="1" applyBorder="1" applyAlignment="1">
      <alignment horizontal="left"/>
    </xf>
    <xf numFmtId="0" fontId="2" fillId="2" borderId="8" xfId="1" applyFont="1" applyFill="1" applyBorder="1" applyAlignment="1">
      <alignment horizontal="left"/>
    </xf>
    <xf numFmtId="0" fontId="1" fillId="3" borderId="4" xfId="1" applyFill="1" applyBorder="1" applyAlignment="1">
      <alignment horizontal="center"/>
    </xf>
    <xf numFmtId="0" fontId="1" fillId="3" borderId="0" xfId="1" applyFill="1" applyAlignment="1">
      <alignment horizontal="center"/>
    </xf>
    <xf numFmtId="0" fontId="1" fillId="3" borderId="5" xfId="1" applyFill="1" applyBorder="1" applyAlignment="1">
      <alignment horizontal="center"/>
    </xf>
    <xf numFmtId="0" fontId="1" fillId="3" borderId="9" xfId="1" applyFill="1" applyBorder="1" applyAlignment="1">
      <alignment horizontal="center"/>
    </xf>
    <xf numFmtId="0" fontId="1" fillId="3" borderId="10" xfId="1" applyFill="1" applyBorder="1" applyAlignment="1">
      <alignment horizontal="center"/>
    </xf>
    <xf numFmtId="0" fontId="1" fillId="3" borderId="11" xfId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" fillId="3" borderId="6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9" xfId="1" applyFill="1" applyBorder="1" applyAlignment="1">
      <alignment horizontal="center" vertical="center"/>
    </xf>
    <xf numFmtId="166" fontId="0" fillId="0" borderId="0" xfId="0" applyNumberFormat="1"/>
  </cellXfs>
  <cellStyles count="3">
    <cellStyle name="Обычный" xfId="0" builtinId="0"/>
    <cellStyle name="Обычный 2" xfId="1" xr:uid="{DFA88403-7874-4CFE-8111-5046ED369C16}"/>
    <cellStyle name="Процентный 2" xfId="2" xr:uid="{1B6EFA44-0EAC-4E88-97CF-AFD05BC6869C}"/>
  </cellStyles>
  <dxfs count="5">
    <dxf>
      <numFmt numFmtId="166" formatCode="0.0000000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0896781519331357E-2"/>
          <c:y val="0.10656702633274483"/>
          <c:w val="0.89700861860352565"/>
          <c:h val="0.8197151992736948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Задание!$J$21:$J$31</c:f>
              <c:numCache>
                <c:formatCode>0.000000000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Задание!$K$21:$K$31</c:f>
              <c:numCache>
                <c:formatCode>General</c:formatCode>
                <c:ptCount val="11"/>
                <c:pt idx="0">
                  <c:v>5.092014797209838E-2</c:v>
                </c:pt>
                <c:pt idx="1">
                  <c:v>6.361850687583967E-2</c:v>
                </c:pt>
                <c:pt idx="2">
                  <c:v>3.5295067554384912E-2</c:v>
                </c:pt>
                <c:pt idx="3">
                  <c:v>4.9243603395176243E-2</c:v>
                </c:pt>
                <c:pt idx="4">
                  <c:v>4.0758881424884173E-2</c:v>
                </c:pt>
                <c:pt idx="5">
                  <c:v>5.2167882206172377E-2</c:v>
                </c:pt>
                <c:pt idx="6">
                  <c:v>4.1240666635340276E-2</c:v>
                </c:pt>
                <c:pt idx="7">
                  <c:v>5.2167882206172377E-2</c:v>
                </c:pt>
                <c:pt idx="8">
                  <c:v>4.6645450792366372E-2</c:v>
                </c:pt>
                <c:pt idx="9">
                  <c:v>3.9730925003344485E-2</c:v>
                </c:pt>
                <c:pt idx="10">
                  <c:v>6.0666729630262969E-2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A0-4206-B6B9-7CA94F724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405344"/>
        <c:axId val="1659930592"/>
      </c:scatterChart>
      <c:valAx>
        <c:axId val="77040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9930592"/>
        <c:crosses val="autoZero"/>
        <c:crossBetween val="midCat"/>
      </c:valAx>
      <c:valAx>
        <c:axId val="16599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0405344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405764</xdr:colOff>
      <xdr:row>1</xdr:row>
      <xdr:rowOff>81915</xdr:rowOff>
    </xdr:from>
    <xdr:ext cx="7397115" cy="118814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1FB9D9-0345-4152-BB8B-48AEDD7AC8E4}"/>
            </a:ext>
          </a:extLst>
        </xdr:cNvPr>
        <xdr:cNvSpPr txBox="1"/>
      </xdr:nvSpPr>
      <xdr:spPr>
        <a:xfrm>
          <a:off x="405764" y="264795"/>
          <a:ext cx="7397115" cy="118814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/>
            <a:t>Задание 1</a:t>
          </a:r>
        </a:p>
        <a:p>
          <a:r>
            <a:rPr lang="ru-RU" sz="1400"/>
            <a:t>Рассчитайте</a:t>
          </a:r>
          <a:r>
            <a:rPr lang="ru-RU" sz="1400" baseline="0"/>
            <a:t> доходность и риск инвестиционного портфеля из акций Газпрома и Сбербанка.</a:t>
          </a:r>
        </a:p>
        <a:p>
          <a:endParaRPr lang="ru-RU" sz="1400" baseline="0"/>
        </a:p>
        <a:p>
          <a:r>
            <a:rPr lang="ru-RU" sz="1400" baseline="0"/>
            <a:t>Задание 2.</a:t>
          </a:r>
        </a:p>
        <a:p>
          <a:r>
            <a:rPr lang="ru-RU" sz="1400" baseline="0"/>
            <a:t>Рассчитайте доходность и риск инвестиционного портфеля из трёх ценных бумаг.</a:t>
          </a:r>
          <a:endParaRPr lang="ru-RU" sz="1400"/>
        </a:p>
      </xdr:txBody>
    </xdr:sp>
    <xdr:clientData/>
  </xdr:oneCellAnchor>
  <xdr:twoCellAnchor>
    <xdr:from>
      <xdr:col>6</xdr:col>
      <xdr:colOff>676274</xdr:colOff>
      <xdr:row>31</xdr:row>
      <xdr:rowOff>185737</xdr:rowOff>
    </xdr:from>
    <xdr:to>
      <xdr:col>17</xdr:col>
      <xdr:colOff>590549</xdr:colOff>
      <xdr:row>52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318E6F4-6E00-115C-FD31-396344771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</xdr:row>
      <xdr:rowOff>38100</xdr:rowOff>
    </xdr:from>
    <xdr:ext cx="3562349" cy="5302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83D2FB-B5D4-4FB2-83CA-6FB3AF1C6FA4}"/>
                </a:ext>
              </a:extLst>
            </xdr:cNvPr>
            <xdr:cNvSpPr txBox="1"/>
          </xdr:nvSpPr>
          <xdr:spPr>
            <a:xfrm>
              <a:off x="0" y="4848225"/>
              <a:ext cx="3562349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50,01−50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×</m:t>
                    </m:r>
                    <m:f>
                      <m:fPr>
                        <m:ctrlP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f>
                          <m:fPr>
                            <m:type m:val="lin"/>
                            <m:ctrlP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247</m:t>
                            </m:r>
                          </m:den>
                        </m:f>
                      </m:den>
                    </m:f>
                    <m:r>
                      <a:rPr lang="ru-RU" sz="140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=4,94</m:t>
                    </m:r>
                    <m:r>
                      <a:rPr lang="ru-RU" sz="1400" i="1">
                        <a:latin typeface="Cambria Math"/>
                      </a:rPr>
                      <m:t>%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83D2FB-B5D4-4FB2-83CA-6FB3AF1C6FA4}"/>
                </a:ext>
              </a:extLst>
            </xdr:cNvPr>
            <xdr:cNvSpPr txBox="1"/>
          </xdr:nvSpPr>
          <xdr:spPr>
            <a:xfrm>
              <a:off x="0" y="4848225"/>
              <a:ext cx="3562349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latin typeface="Cambria Math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50,01−50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×1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∕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247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ru-RU" sz="140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=4,94</a:t>
              </a:r>
              <a:r>
                <a:rPr lang="ru-RU" sz="1400" i="0">
                  <a:latin typeface="Cambria Math"/>
                </a:rPr>
                <a:t>%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438150</xdr:colOff>
      <xdr:row>24</xdr:row>
      <xdr:rowOff>38100</xdr:rowOff>
    </xdr:from>
    <xdr:ext cx="3133725" cy="5302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5D386A0-8337-4F0C-8C4F-17E49A1AD240}"/>
                </a:ext>
              </a:extLst>
            </xdr:cNvPr>
            <xdr:cNvSpPr txBox="1"/>
          </xdr:nvSpPr>
          <xdr:spPr>
            <a:xfrm>
              <a:off x="4838700" y="4848225"/>
              <a:ext cx="3133725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50,2−50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f>
                          <m:fPr>
                            <m:type m:val="li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fPr>
                          <m:num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1</m:t>
                            </m:r>
                          </m:num>
                          <m:den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12</m:t>
                            </m:r>
                          </m:den>
                        </m:f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=4,8</m:t>
                    </m:r>
                    <m:r>
                      <a:rPr lang="ru-RU" sz="1400" i="1">
                        <a:latin typeface="Cambria Math"/>
                      </a:rPr>
                      <m:t>%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5D386A0-8337-4F0C-8C4F-17E49A1AD240}"/>
                </a:ext>
              </a:extLst>
            </xdr:cNvPr>
            <xdr:cNvSpPr txBox="1"/>
          </xdr:nvSpPr>
          <xdr:spPr>
            <a:xfrm>
              <a:off x="4838700" y="4848225"/>
              <a:ext cx="3133725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50,2−50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latin typeface="Cambria Math"/>
                  <a:ea typeface="Cambria Math"/>
                </a:rPr>
                <a:t>×1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12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=4,8</a:t>
              </a:r>
              <a:r>
                <a:rPr lang="ru-RU" sz="1400" i="0">
                  <a:latin typeface="Cambria Math"/>
                </a:rPr>
                <a:t>%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14</xdr:col>
      <xdr:colOff>390525</xdr:colOff>
      <xdr:row>24</xdr:row>
      <xdr:rowOff>38100</xdr:rowOff>
    </xdr:from>
    <xdr:ext cx="2771775" cy="5014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2BB1D18-96D0-494B-A85A-AA690BDE8F38}"/>
                </a:ext>
              </a:extLst>
            </xdr:cNvPr>
            <xdr:cNvSpPr txBox="1"/>
          </xdr:nvSpPr>
          <xdr:spPr>
            <a:xfrm>
              <a:off x="9058275" y="4848225"/>
              <a:ext cx="2771775" cy="501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52,3−50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=4,6</m:t>
                    </m:r>
                    <m:r>
                      <a:rPr lang="ru-RU" sz="1400" i="1">
                        <a:latin typeface="Cambria Math"/>
                      </a:rPr>
                      <m:t>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2BB1D18-96D0-494B-A85A-AA690BDE8F38}"/>
                </a:ext>
              </a:extLst>
            </xdr:cNvPr>
            <xdr:cNvSpPr txBox="1"/>
          </xdr:nvSpPr>
          <xdr:spPr>
            <a:xfrm>
              <a:off x="9058275" y="4848225"/>
              <a:ext cx="2771775" cy="501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52,3−50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=4,6</a:t>
              </a:r>
              <a:r>
                <a:rPr lang="ru-RU" sz="1400" i="0">
                  <a:latin typeface="Cambria Math"/>
                </a:rPr>
                <a:t>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5</xdr:col>
      <xdr:colOff>333374</xdr:colOff>
      <xdr:row>31</xdr:row>
      <xdr:rowOff>38100</xdr:rowOff>
    </xdr:from>
    <xdr:ext cx="1171575" cy="5000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0B1BA6-55C0-4F0F-9DDF-59DAAB9E031C}"/>
                </a:ext>
              </a:extLst>
            </xdr:cNvPr>
            <xdr:cNvSpPr txBox="1"/>
          </xdr:nvSpPr>
          <xdr:spPr>
            <a:xfrm>
              <a:off x="3514724" y="6219825"/>
              <a:ext cx="1171575" cy="500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/>
                                <a:ea typeface="Cambria Math"/>
                              </a:rPr>
                              <m:t>𝑟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en-US" sz="1400" b="0" i="1">
                                <a:latin typeface="Cambria Math"/>
                                <a:ea typeface="Cambria Math"/>
                              </a:rPr>
                              <m:t>𝑃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0B1BA6-55C0-4F0F-9DDF-59DAAB9E031C}"/>
                </a:ext>
              </a:extLst>
            </xdr:cNvPr>
            <xdr:cNvSpPr txBox="1"/>
          </xdr:nvSpPr>
          <xdr:spPr>
            <a:xfrm>
              <a:off x="3514724" y="6219825"/>
              <a:ext cx="1171575" cy="500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=𝜎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400" b="0" i="0">
                  <a:latin typeface="Cambria Math"/>
                  <a:ea typeface="Cambria Math"/>
                </a:rPr>
                <a:t>𝑟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</a:t>
              </a:r>
              <a:r>
                <a:rPr lang="en-US" sz="1400" b="0" i="0">
                  <a:latin typeface="Cambria Math"/>
                  <a:ea typeface="Cambria Math"/>
                </a:rPr>
                <a:t>𝑃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38099</xdr:colOff>
      <xdr:row>37</xdr:row>
      <xdr:rowOff>19050</xdr:rowOff>
    </xdr:from>
    <xdr:ext cx="2305051" cy="587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AC501A6-409B-42F2-979B-6116AC153D07}"/>
                </a:ext>
              </a:extLst>
            </xdr:cNvPr>
            <xdr:cNvSpPr txBox="1"/>
          </xdr:nvSpPr>
          <xdr:spPr>
            <a:xfrm>
              <a:off x="38099" y="736282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0,007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type m:val="lin"/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247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×100=11%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AC501A6-409B-42F2-979B-6116AC153D07}"/>
                </a:ext>
              </a:extLst>
            </xdr:cNvPr>
            <xdr:cNvSpPr txBox="1"/>
          </xdr:nvSpPr>
          <xdr:spPr>
            <a:xfrm>
              <a:off x="38099" y="736282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=0,007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247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×100=11%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514349</xdr:colOff>
      <xdr:row>37</xdr:row>
      <xdr:rowOff>0</xdr:rowOff>
    </xdr:from>
    <xdr:ext cx="2305051" cy="587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2871AF7-2541-4CF7-8A30-5015E475B7FB}"/>
                </a:ext>
              </a:extLst>
            </xdr:cNvPr>
            <xdr:cNvSpPr txBox="1"/>
          </xdr:nvSpPr>
          <xdr:spPr>
            <a:xfrm>
              <a:off x="4914899" y="734377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0,01733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type m:val="lin"/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12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×100=6%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2871AF7-2541-4CF7-8A30-5015E475B7FB}"/>
                </a:ext>
              </a:extLst>
            </xdr:cNvPr>
            <xdr:cNvSpPr txBox="1"/>
          </xdr:nvSpPr>
          <xdr:spPr>
            <a:xfrm>
              <a:off x="4914899" y="734377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=0,01733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12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×100=6%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15</xdr:col>
      <xdr:colOff>571500</xdr:colOff>
      <xdr:row>37</xdr:row>
      <xdr:rowOff>19050</xdr:rowOff>
    </xdr:from>
    <xdr:ext cx="2305051" cy="5416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23838A-E39F-4A06-AA50-0858E1CCEB93}"/>
                </a:ext>
              </a:extLst>
            </xdr:cNvPr>
            <xdr:cNvSpPr txBox="1"/>
          </xdr:nvSpPr>
          <xdr:spPr>
            <a:xfrm>
              <a:off x="9848850" y="7362825"/>
              <a:ext cx="2305051" cy="5416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0,867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3</m:t>
                            </m:r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×100=5%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23838A-E39F-4A06-AA50-0858E1CCEB93}"/>
                </a:ext>
              </a:extLst>
            </xdr:cNvPr>
            <xdr:cNvSpPr txBox="1"/>
          </xdr:nvSpPr>
          <xdr:spPr>
            <a:xfrm>
              <a:off x="9848850" y="7362825"/>
              <a:ext cx="2305051" cy="5416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=0,867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</a:t>
              </a:r>
              <a:r>
                <a:rPr lang="ru-RU" sz="1400" b="0" i="0">
                  <a:latin typeface="Cambria Math"/>
                  <a:ea typeface="Cambria Math"/>
                </a:rPr>
                <a:t>3×100=5%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47626</xdr:colOff>
      <xdr:row>17</xdr:row>
      <xdr:rowOff>47625</xdr:rowOff>
    </xdr:from>
    <xdr:ext cx="1495424" cy="4853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A16B7B-8449-4E41-87DC-EA9301A9E7A8}"/>
                </a:ext>
              </a:extLst>
            </xdr:cNvPr>
            <xdr:cNvSpPr txBox="1"/>
          </xdr:nvSpPr>
          <xdr:spPr>
            <a:xfrm>
              <a:off x="47626" y="3505200"/>
              <a:ext cx="1495424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𝑟</m:t>
                    </m:r>
                    <m:r>
                      <a:rPr lang="en-US" sz="12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200" b="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A16B7B-8449-4E41-87DC-EA9301A9E7A8}"/>
                </a:ext>
              </a:extLst>
            </xdr:cNvPr>
            <xdr:cNvSpPr txBox="1"/>
          </xdr:nvSpPr>
          <xdr:spPr>
            <a:xfrm>
              <a:off x="47626" y="3505200"/>
              <a:ext cx="1495424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𝑟=</a:t>
              </a:r>
              <a:r>
                <a:rPr lang="en-US" sz="1200" b="0" i="0">
                  <a:latin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2−𝑉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  <a:ea typeface="Cambria Math"/>
                </a:rPr>
                <a:t>×1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/</a:t>
              </a:r>
              <a:r>
                <a:rPr lang="en-US" sz="1200" b="0" i="0">
                  <a:latin typeface="Cambria Math"/>
                  <a:ea typeface="Cambria Math"/>
                </a:rPr>
                <a:t>𝑃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3</xdr:col>
      <xdr:colOff>47625</xdr:colOff>
      <xdr:row>17</xdr:row>
      <xdr:rowOff>47625</xdr:rowOff>
    </xdr:from>
    <xdr:ext cx="2028825" cy="4853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FFE0AD2-3A1B-4BD4-8342-74B45FC6AB92}"/>
                </a:ext>
              </a:extLst>
            </xdr:cNvPr>
            <xdr:cNvSpPr txBox="1"/>
          </xdr:nvSpPr>
          <xdr:spPr>
            <a:xfrm>
              <a:off x="2009775" y="3505200"/>
              <a:ext cx="2028825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𝑟</m:t>
                    </m:r>
                    <m:r>
                      <a:rPr lang="en-US" sz="1200" b="0" i="1">
                        <a:latin typeface="Cambria Math"/>
                      </a:rPr>
                      <m:t>%=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200" b="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𝑃</m:t>
                        </m:r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×100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FFE0AD2-3A1B-4BD4-8342-74B45FC6AB92}"/>
                </a:ext>
              </a:extLst>
            </xdr:cNvPr>
            <xdr:cNvSpPr txBox="1"/>
          </xdr:nvSpPr>
          <xdr:spPr>
            <a:xfrm>
              <a:off x="2009775" y="3505200"/>
              <a:ext cx="2028825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𝑟%=</a:t>
              </a:r>
              <a:r>
                <a:rPr lang="en-US" sz="1200" b="0" i="0">
                  <a:latin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2−𝑉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  <a:ea typeface="Cambria Math"/>
                </a:rPr>
                <a:t>×1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/</a:t>
              </a:r>
              <a:r>
                <a:rPr lang="en-US" sz="1200" b="0" i="0">
                  <a:latin typeface="Cambria Math"/>
                  <a:ea typeface="Cambria Math"/>
                </a:rPr>
                <a:t>𝑃×100</a:t>
              </a:r>
              <a:endParaRPr lang="ru-RU" sz="12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26670</xdr:colOff>
      <xdr:row>7</xdr:row>
      <xdr:rowOff>83820</xdr:rowOff>
    </xdr:from>
    <xdr:ext cx="3669030" cy="9829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7F1685-F487-4CE2-812B-582F57DBC1D2}"/>
                </a:ext>
              </a:extLst>
            </xdr:cNvPr>
            <xdr:cNvSpPr txBox="1"/>
          </xdr:nvSpPr>
          <xdr:spPr>
            <a:xfrm>
              <a:off x="636270" y="1426845"/>
              <a:ext cx="3669030" cy="982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7F1685-F487-4CE2-812B-582F57DBC1D2}"/>
                </a:ext>
              </a:extLst>
            </xdr:cNvPr>
            <xdr:cNvSpPr txBox="1"/>
          </xdr:nvSpPr>
          <xdr:spPr>
            <a:xfrm>
              <a:off x="636270" y="1426845"/>
              <a:ext cx="3669030" cy="982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 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571500</xdr:colOff>
      <xdr:row>3</xdr:row>
      <xdr:rowOff>175260</xdr:rowOff>
    </xdr:from>
    <xdr:ext cx="3771900" cy="5456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E025CA-4709-4FF4-B7CE-B16389F73AF7}"/>
                </a:ext>
              </a:extLst>
            </xdr:cNvPr>
            <xdr:cNvSpPr txBox="1"/>
          </xdr:nvSpPr>
          <xdr:spPr>
            <a:xfrm>
              <a:off x="571500" y="756285"/>
              <a:ext cx="3771900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ru-R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E025CA-4709-4FF4-B7CE-B16389F73AF7}"/>
                </a:ext>
              </a:extLst>
            </xdr:cNvPr>
            <xdr:cNvSpPr txBox="1"/>
          </xdr:nvSpPr>
          <xdr:spPr>
            <a:xfrm>
              <a:off x="571500" y="756285"/>
              <a:ext cx="3771900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3=</a:t>
              </a:r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2 )+@+2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1</xdr:col>
      <xdr:colOff>30480</xdr:colOff>
      <xdr:row>13</xdr:row>
      <xdr:rowOff>15240</xdr:rowOff>
    </xdr:from>
    <xdr:ext cx="3669030" cy="1417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B22D67-E551-4E3A-B746-3053EEDB6070}"/>
                </a:ext>
              </a:extLst>
            </xdr:cNvPr>
            <xdr:cNvSpPr txBox="1"/>
          </xdr:nvSpPr>
          <xdr:spPr>
            <a:xfrm>
              <a:off x="640080" y="2510790"/>
              <a:ext cx="3669030" cy="1417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>
                <a:effectLst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B22D67-E551-4E3A-B746-3053EEDB6070}"/>
                </a:ext>
              </a:extLst>
            </xdr:cNvPr>
            <xdr:cNvSpPr txBox="1"/>
          </xdr:nvSpPr>
          <xdr:spPr>
            <a:xfrm>
              <a:off x="640080" y="2510790"/>
              <a:ext cx="3669030" cy="1417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5^2+@2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 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533400</xdr:colOff>
      <xdr:row>1</xdr:row>
      <xdr:rowOff>76200</xdr:rowOff>
    </xdr:from>
    <xdr:ext cx="2987040" cy="3758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2018DA-688A-4706-B420-335323DB1984}"/>
                </a:ext>
              </a:extLst>
            </xdr:cNvPr>
            <xdr:cNvSpPr txBox="1"/>
          </xdr:nvSpPr>
          <xdr:spPr>
            <a:xfrm>
              <a:off x="533400" y="276225"/>
              <a:ext cx="2987040" cy="375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ru-R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</m:ra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2018DA-688A-4706-B420-335323DB1984}"/>
                </a:ext>
              </a:extLst>
            </xdr:cNvPr>
            <xdr:cNvSpPr txBox="1"/>
          </xdr:nvSpPr>
          <xdr:spPr>
            <a:xfrm>
              <a:off x="533400" y="276225"/>
              <a:ext cx="2987040" cy="375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𝑝2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𝜔_1^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 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579121</xdr:colOff>
      <xdr:row>1</xdr:row>
      <xdr:rowOff>68580</xdr:rowOff>
    </xdr:from>
    <xdr:ext cx="1074420" cy="5964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9E491E-0429-4007-9E91-B56B11E6AE66}"/>
                </a:ext>
              </a:extLst>
            </xdr:cNvPr>
            <xdr:cNvSpPr txBox="1"/>
          </xdr:nvSpPr>
          <xdr:spPr>
            <a:xfrm>
              <a:off x="4846321" y="268605"/>
              <a:ext cx="1074420" cy="59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𝑝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200" b="0" i="1">
                            <a:latin typeface="Cambria Math"/>
                          </a:rPr>
                          <m:t>𝑖</m:t>
                        </m:r>
                        <m:r>
                          <a:rPr lang="en-US" sz="1200" b="0" i="1">
                            <a:latin typeface="Cambria Math"/>
                          </a:rPr>
                          <m:t>=1</m:t>
                        </m:r>
                      </m:sub>
                      <m:sup>
                        <m:r>
                          <a:rPr lang="en-US" sz="1200" b="0" i="1">
                            <a:latin typeface="Cambria Math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  <a:ea typeface="Cambria Math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9E491E-0429-4007-9E91-B56B11E6AE66}"/>
                </a:ext>
              </a:extLst>
            </xdr:cNvPr>
            <xdr:cNvSpPr txBox="1"/>
          </xdr:nvSpPr>
          <xdr:spPr>
            <a:xfrm>
              <a:off x="4846321" y="268605"/>
              <a:ext cx="1074420" cy="59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𝑝</a:t>
              </a:r>
              <a:r>
                <a:rPr lang="en-US" sz="1200" b="0" i="0">
                  <a:latin typeface="Cambria Math" panose="02040503050406030204" pitchFamily="18" charset="0"/>
                </a:rPr>
                <a:t>𝑛</a:t>
              </a:r>
              <a:r>
                <a:rPr lang="en-US" sz="1200" b="0" i="0">
                  <a:latin typeface="Cambria Math"/>
                </a:rPr>
                <a:t>=</a:t>
              </a:r>
              <a:r>
                <a:rPr lang="en-US" sz="1200" b="0" i="0">
                  <a:latin typeface="Cambria Math" panose="02040503050406030204" pitchFamily="18" charset="0"/>
                </a:rPr>
                <a:t>∑_(</a:t>
              </a:r>
              <a:r>
                <a:rPr lang="en-US" sz="1200" b="0" i="0">
                  <a:latin typeface="Cambria Math"/>
                </a:rPr>
                <a:t>𝑖=1</a:t>
              </a:r>
              <a:r>
                <a:rPr lang="en-US" sz="1200" b="0" i="0">
                  <a:latin typeface="Cambria Math" panose="02040503050406030204" pitchFamily="18" charset="0"/>
                </a:rPr>
                <a:t>)^</a:t>
              </a:r>
              <a:r>
                <a:rPr lang="en-US" sz="1200" b="0" i="0">
                  <a:latin typeface="Cambria Math"/>
                </a:rPr>
                <a:t>𝑛</a:t>
              </a:r>
              <a:r>
                <a:rPr lang="en-US" sz="1200" b="0" i="0">
                  <a:latin typeface="Cambria Math" panose="02040503050406030204" pitchFamily="18" charset="0"/>
                </a:rPr>
                <a:t>▒〖</a:t>
              </a:r>
              <a:r>
                <a:rPr lang="en-US" sz="1200" b="0" i="0">
                  <a:latin typeface="Cambria Math"/>
                  <a:ea typeface="Cambria Math"/>
                </a:rPr>
                <a:t>𝜔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</a:rPr>
                <a:t>𝑟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〗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556260</xdr:colOff>
      <xdr:row>4</xdr:row>
      <xdr:rowOff>137160</xdr:rowOff>
    </xdr:from>
    <xdr:ext cx="3649981" cy="819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B8BD603-1166-4852-A36A-68B32B761198}"/>
                </a:ext>
              </a:extLst>
            </xdr:cNvPr>
            <xdr:cNvSpPr txBox="1"/>
          </xdr:nvSpPr>
          <xdr:spPr>
            <a:xfrm>
              <a:off x="4823460" y="908685"/>
              <a:ext cx="3649981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200" i="1">
                            <a:latin typeface="Cambria Math"/>
                            <a:ea typeface="Cambria Math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  <m:t>𝑝𝑛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nary>
                          <m:naryPr>
                            <m:chr m:val="∑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+</m:t>
                        </m:r>
                        <m:nary>
                          <m:naryPr>
                            <m:chr m:val="∑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nary>
                              <m:naryPr>
                                <m:chr m:val="∑"/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Cambria Math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Cambria Math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𝑐𝑜𝑟</m:t>
                                </m:r>
                                <m:d>
                                  <m:d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,</m:t>
                                    </m:r>
                                    <m:sSub>
                                      <m:sSubPr>
                                        <m:ctrlP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nary>
                          </m:e>
                        </m:nary>
                      </m:e>
                    </m:rad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;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𝑖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≠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𝑗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B8BD603-1166-4852-A36A-68B32B761198}"/>
                </a:ext>
              </a:extLst>
            </xdr:cNvPr>
            <xdr:cNvSpPr txBox="1"/>
          </xdr:nvSpPr>
          <xdr:spPr>
            <a:xfrm>
              <a:off x="4823460" y="908685"/>
              <a:ext cx="3649981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200" i="0">
                  <a:latin typeface="Cambria Math"/>
                  <a:ea typeface="Cambria Math"/>
                </a:rPr>
                <a:t>𝜎</a:t>
              </a:r>
              <a:r>
                <a:rPr lang="ru-RU" sz="12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𝑝𝑛</a:t>
              </a:r>
              <a:r>
                <a:rPr lang="en-US" sz="1200" b="0" i="0">
                  <a:latin typeface="Cambria Math"/>
                </a:rPr>
                <a:t>=</a:t>
              </a:r>
              <a:r>
                <a:rPr lang="en-US" sz="1200" b="0" i="0">
                  <a:latin typeface="Cambria Math" panose="02040503050406030204" pitchFamily="18" charset="0"/>
                </a:rPr>
                <a:t>√(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▒〖〖𝜔_𝑖〗^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𝜔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𝜔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 𝑐𝑜𝑟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𝑖,𝑟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〗)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;𝑖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≠𝑗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8</xdr:col>
      <xdr:colOff>64770</xdr:colOff>
      <xdr:row>9</xdr:row>
      <xdr:rowOff>106680</xdr:rowOff>
    </xdr:from>
    <xdr:ext cx="1586139" cy="3558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9EE707-A54E-456A-9E50-38D69DA6CD0A}"/>
                </a:ext>
              </a:extLst>
            </xdr:cNvPr>
            <xdr:cNvSpPr txBox="1"/>
          </xdr:nvSpPr>
          <xdr:spPr>
            <a:xfrm>
              <a:off x="4941570" y="1830705"/>
              <a:ext cx="1586139" cy="3558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𝐷𝐼𝑉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𝑝𝑛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10000−</m:t>
                        </m:r>
                        <m:nary>
                          <m:naryPr>
                            <m:chr m:val="∑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00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9EE707-A54E-456A-9E50-38D69DA6CD0A}"/>
                </a:ext>
              </a:extLst>
            </xdr:cNvPr>
            <xdr:cNvSpPr txBox="1"/>
          </xdr:nvSpPr>
          <xdr:spPr>
            <a:xfrm>
              <a:off x="4941570" y="1830705"/>
              <a:ext cx="1586139" cy="3558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𝐷𝐼𝑉〗_</a:t>
              </a:r>
              <a:r>
                <a:rPr lang="en-US" sz="1100" b="0" i="0">
                  <a:latin typeface="Cambria Math" panose="02040503050406030204" pitchFamily="18" charset="0"/>
                </a:rPr>
                <a:t>𝑝𝑛=(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10000−∑_(𝑖=1)^𝑛▒〖𝑆_𝑖〗^2 )/</a:t>
              </a:r>
              <a:r>
                <a:rPr lang="en-US" sz="1100" b="0" i="0">
                  <a:latin typeface="Cambria Math" panose="02040503050406030204" pitchFamily="18" charset="0"/>
                </a:rPr>
                <a:t>10</a:t>
              </a:r>
              <a:r>
                <a:rPr lang="ru-RU" sz="1100" b="0" i="0">
                  <a:latin typeface="Cambria Math" panose="02040503050406030204" pitchFamily="18" charset="0"/>
                </a:rPr>
                <a:t>00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ru-RU" sz="1100"/>
            </a:p>
          </xdr:txBody>
        </xdr:sp>
      </mc:Fallback>
    </mc:AlternateContent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5A317AD-C486-47A5-B1F5-A1BA29F62EDF}" autoFormatId="16" applyNumberFormats="0" applyBorderFormats="0" applyFontFormats="0" applyPatternFormats="0" applyAlignmentFormats="0" applyWidthHeightFormats="0">
  <queryTableRefresh nextId="4">
    <queryTableFields count="3">
      <queryTableField id="1" name="&lt;DATE&gt;" tableColumnId="1"/>
      <queryTableField id="2" name="GAZP.&lt;CLOSE&gt;" tableColumnId="2"/>
      <queryTableField id="3" name="SBER.&lt;CLOSE&gt;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6D0B584A-2837-40FA-A140-83C09FE77129}" autoFormatId="16" applyNumberFormats="0" applyBorderFormats="0" applyFontFormats="0" applyPatternFormats="0" applyAlignmentFormats="0" applyWidthHeightFormats="0">
  <queryTableRefresh nextId="2">
    <queryTableFields count="1">
      <queryTableField id="1" name="SELG.&lt;CLOSE&gt;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D7E0B1-2215-46FA-ABD9-AE879AAC5889}" name="GAZP_SBER" displayName="GAZP_SBER" ref="A20:C66" tableType="queryTable" totalsRowCount="1">
  <autoFilter ref="A20:C65" xr:uid="{CED7E0B1-2215-46FA-ABD9-AE879AAC5889}"/>
  <tableColumns count="3">
    <tableColumn id="1" xr3:uid="{21A7C6F6-B9A3-461D-8BBC-1B68D12CC287}" uniqueName="1" name="&lt;DATE&gt;" totalsRowFunction="count" queryTableFieldId="1" dataDxfId="4"/>
    <tableColumn id="2" xr3:uid="{E69FA073-0E29-494F-B37A-70E5DD5BA8F4}" uniqueName="2" name="GAZP.&lt;CLOSE&gt;" queryTableFieldId="2"/>
    <tableColumn id="3" xr3:uid="{0EEFD6BF-F753-44E2-BE14-9362C05A3F40}" uniqueName="3" name="SBER.&lt;CLOSE&gt;" totalsRowFunction="custom" queryTableFieldId="3">
      <totalsRowFormula>SUBTOTAL(103,GAZP_SBER[SBER.&lt;CLOSE&gt;])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7CE30D-7E38-4874-BABF-8A2F15AD4C66}" name="Таблица5" displayName="Таблица5" ref="H20:L31" totalsRowShown="0">
  <autoFilter ref="H20:L31" xr:uid="{AA7CE30D-7E38-4874-BABF-8A2F15AD4C66}"/>
  <tableColumns count="5">
    <tableColumn id="1" xr3:uid="{CE42E7E1-DA1F-476B-BAC3-C02FB1349BF1}" name="w1"/>
    <tableColumn id="2" xr3:uid="{2095912D-6030-46DB-966E-4ECE26E4EA11}" name="w2" dataDxfId="2">
      <calculatedColumnFormula>0.2</calculatedColumnFormula>
    </tableColumn>
    <tableColumn id="3" xr3:uid="{E4644FD2-443A-449E-A6F0-0E7DBA36F706}" name="r" dataDxfId="0">
      <calculatedColumnFormula>SUMPRODUCT(H21:I21:L21,$F$16:$G$16:H15)</calculatedColumnFormula>
    </tableColumn>
    <tableColumn id="4" xr3:uid="{FC82BA0F-FAF8-46DD-A53D-3787A7E79B1A}" name="sigma">
      <calculatedColumnFormula>SQRT(H21^2*$F$17^2+I21^2*$G$17^2+2*H21*I21*$F$17*$G$17*CORREL(#REF!,#REF!))</calculatedColumnFormula>
    </tableColumn>
    <tableColumn id="5" xr3:uid="{F6D07A16-AEC8-4ABB-8F7E-F03E969951B3}" name="w3" dataDxfId="3">
      <calculatedColumnFormula>1-H21-Таблица5[[#This Row],[w2]]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D05958-5FB4-4ABB-9309-870F718355FB}" name="Таблица4" displayName="Таблица4" ref="E21:G65" totalsRowShown="0">
  <autoFilter ref="E21:G65" xr:uid="{EDD05958-5FB4-4ABB-9309-870F718355FB}"/>
  <tableColumns count="3">
    <tableColumn id="1" xr3:uid="{BC670EB6-FEC5-42D5-860F-4776882D30B1}" name="GAZP">
      <calculatedColumnFormula>(GAZP_SBER[[#This Row],[GAZP.&lt;CLOSE&gt;]]-B21)/B21</calculatedColumnFormula>
    </tableColumn>
    <tableColumn id="2" xr3:uid="{1115D5BC-DF9D-411F-A07C-17C84E8555E3}" name="SBER">
      <calculatedColumnFormula>(GAZP_SBER[[#This Row],[SBER.&lt;CLOSE&gt;]]-C21)/C21</calculatedColumnFormula>
    </tableColumn>
    <tableColumn id="3" xr3:uid="{6F368684-8AE3-4EBB-B5FC-C8FD72DAA53C}" name="SELG" dataDxfId="1">
      <calculatedColumnFormula>(SELG_210801_211001[[#This Row],[SELG.&lt;CLOSE&gt;]]-D21)/D21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0FCE9DC-7BD6-4525-982D-2ED04FAEBF46}" name="SELG_210801_211001" displayName="SELG_210801_211001" ref="D20:D65" tableType="queryTable" totalsRowShown="0">
  <autoFilter ref="D20:D65" xr:uid="{A0FCE9DC-7BD6-4525-982D-2ED04FAEBF46}"/>
  <tableColumns count="1">
    <tableColumn id="1" xr3:uid="{9774E8AC-08D3-44B8-A064-65D16BCF6FD0}" uniqueName="1" name="SELG.&lt;CLOSE&gt;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B0EDF4-6EF6-442A-9C3F-D998C2296BD0}" name="Params" displayName="Params" ref="A1:B2" totalsRowShown="0">
  <autoFilter ref="A1:B2" xr:uid="{BCB0EDF4-6EF6-442A-9C3F-D998C2296BD0}"/>
  <tableColumns count="2">
    <tableColumn id="1" xr3:uid="{E129710E-9C0E-442A-8608-5AC3CBC70FC3}" name="Name"/>
    <tableColumn id="2" xr3:uid="{568A659C-F63D-4DC5-8DCE-99A4ED4C50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M66"/>
  <sheetViews>
    <sheetView tabSelected="1" topLeftCell="A40" workbookViewId="0">
      <selection activeCell="C67" sqref="C67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4" width="15.7109375" bestFit="1" customWidth="1"/>
    <col min="6" max="6" width="19.85546875" bestFit="1" customWidth="1"/>
    <col min="7" max="7" width="10.5703125" bestFit="1" customWidth="1"/>
    <col min="10" max="10" width="25" bestFit="1" customWidth="1"/>
  </cols>
  <sheetData>
    <row r="11" spans="5:13" x14ac:dyDescent="0.25">
      <c r="J11" t="s">
        <v>69</v>
      </c>
      <c r="K11" t="s">
        <v>70</v>
      </c>
      <c r="L11" t="s">
        <v>71</v>
      </c>
      <c r="M11" t="s">
        <v>72</v>
      </c>
    </row>
    <row r="12" spans="5:13" x14ac:dyDescent="0.25">
      <c r="J12">
        <v>0.47094430969358836</v>
      </c>
      <c r="K12">
        <f>1-J12</f>
        <v>0.52905569030641164</v>
      </c>
      <c r="L12">
        <f>SUMPRODUCT(J12:K12,$F$16:$G$16)</f>
        <v>0.17162061895080341</v>
      </c>
      <c r="M12">
        <f>SQRT(J12^2*$F$17^2+K12^2*$G$17^2+2*J12*K12*$F$17*$G$17*CORREL(Таблица4[GAZP],Таблица4[SBER]))</f>
        <v>7.0213369271254239E-2</v>
      </c>
    </row>
    <row r="16" spans="5:13" x14ac:dyDescent="0.25">
      <c r="E16" t="s">
        <v>2</v>
      </c>
      <c r="F16" s="40">
        <f>AVERAGE(Таблица4[GAZP]) * C66</f>
        <v>0.24633258859900181</v>
      </c>
      <c r="G16" s="40">
        <f>AVERAGE(Таблица4[SBER]) * GAZP_SBER[[#Totals],[SBER.&lt;CLOSE&gt;]]</f>
        <v>0.10511499843391411</v>
      </c>
      <c r="H16">
        <f>AVERAGE(Таблица4[SELG]) * C66</f>
        <v>3.4793809146010414E-2</v>
      </c>
    </row>
    <row r="17" spans="1:12" x14ac:dyDescent="0.25">
      <c r="E17" t="s">
        <v>68</v>
      </c>
      <c r="F17" s="40">
        <f>_xlfn.STDEV.S(Таблица4[GAZP]) * SQRT(C66)</f>
        <v>8.8770068976103983E-2</v>
      </c>
      <c r="G17" s="40">
        <f>_xlfn.STDEV.S(Таблица4[SBER]) * SQRT(C66)</f>
        <v>8.5250326526060669E-2</v>
      </c>
      <c r="H17">
        <f>_xlfn.STDEV.S(Таблица4[SELG]) * SQRT(C66)</f>
        <v>5.8688670882493486E-2</v>
      </c>
    </row>
    <row r="20" spans="1:12" x14ac:dyDescent="0.25">
      <c r="A20" t="s">
        <v>60</v>
      </c>
      <c r="B20" t="s">
        <v>61</v>
      </c>
      <c r="C20" t="s">
        <v>62</v>
      </c>
      <c r="D20" t="s">
        <v>74</v>
      </c>
      <c r="H20" t="s">
        <v>65</v>
      </c>
      <c r="I20" t="s">
        <v>66</v>
      </c>
      <c r="J20" t="s">
        <v>2</v>
      </c>
      <c r="K20" t="s">
        <v>67</v>
      </c>
      <c r="L20" t="s">
        <v>73</v>
      </c>
    </row>
    <row r="21" spans="1:12" x14ac:dyDescent="0.25">
      <c r="A21" s="39">
        <v>44410</v>
      </c>
      <c r="B21">
        <v>286.75</v>
      </c>
      <c r="C21">
        <v>306.51</v>
      </c>
      <c r="D21">
        <v>43.77</v>
      </c>
      <c r="E21" t="s">
        <v>63</v>
      </c>
      <c r="F21" t="s">
        <v>64</v>
      </c>
      <c r="G21" t="s">
        <v>75</v>
      </c>
      <c r="H21">
        <v>0.2</v>
      </c>
      <c r="I21">
        <v>0.5</v>
      </c>
      <c r="J21" s="100">
        <f ca="1">SUMPRODUCT(H21:I21:L21,$F$16:$G$16:H15)</f>
        <v>0</v>
      </c>
      <c r="K21">
        <f>SQRT(H21^2*$F$17^2+I21^2*$G$17^2+2*H21*I21*$F$17*$G$17*CORREL(Таблица4[GAZP],Таблица4[SBER]))</f>
        <v>5.092014797209838E-2</v>
      </c>
      <c r="L21">
        <f>1-H21-Таблица5[[#This Row],[w2]]</f>
        <v>0.30000000000000004</v>
      </c>
    </row>
    <row r="22" spans="1:12" x14ac:dyDescent="0.25">
      <c r="A22" s="39">
        <v>44411</v>
      </c>
      <c r="B22">
        <v>287.08999999999997</v>
      </c>
      <c r="C22">
        <v>309.89</v>
      </c>
      <c r="D22">
        <v>43.79</v>
      </c>
      <c r="E22">
        <f>(GAZP_SBER[[#This Row],[GAZP.&lt;CLOSE&gt;]]-B21)/B21</f>
        <v>1.1857018308630339E-3</v>
      </c>
      <c r="F22">
        <f>(GAZP_SBER[[#This Row],[SBER.&lt;CLOSE&gt;]]-C21)/C21</f>
        <v>1.1027372679521046E-2</v>
      </c>
      <c r="G22">
        <f>(SELG_210801_211001[[#This Row],[SELG.&lt;CLOSE&gt;]]-D21)/D21</f>
        <v>4.5693397304080464E-4</v>
      </c>
      <c r="H22">
        <v>0.63444999999999996</v>
      </c>
      <c r="I22">
        <v>0.2</v>
      </c>
      <c r="J22" s="100">
        <f ca="1">SUMPRODUCT(H22:I22:L22,$F$16:$G$16:H16)</f>
        <v>0</v>
      </c>
      <c r="K22">
        <f>SQRT(H22^2*$F$17^2+I22^2*$G$17^2+2*H22*I22*$F$17*$G$17*CORREL(Таблица4[GAZP],Таблица4[SBER]))</f>
        <v>6.361850687583967E-2</v>
      </c>
      <c r="L22">
        <f>1-H22-Таблица5[[#This Row],[w2]]</f>
        <v>0.16555000000000003</v>
      </c>
    </row>
    <row r="23" spans="1:12" x14ac:dyDescent="0.25">
      <c r="A23" s="39">
        <v>44412</v>
      </c>
      <c r="B23">
        <v>287.94</v>
      </c>
      <c r="C23">
        <v>311.10000000000002</v>
      </c>
      <c r="D23">
        <v>43.86</v>
      </c>
      <c r="E23">
        <f>(GAZP_SBER[[#This Row],[GAZP.&lt;CLOSE&gt;]]-B22)/B22</f>
        <v>2.9607440175555499E-3</v>
      </c>
      <c r="F23">
        <f>(GAZP_SBER[[#This Row],[SBER.&lt;CLOSE&gt;]]-C22)/C22</f>
        <v>3.9046113136920729E-3</v>
      </c>
      <c r="G23">
        <f>(SELG_210801_211001[[#This Row],[SELG.&lt;CLOSE&gt;]]-D22)/D22</f>
        <v>1.5985384791048249E-3</v>
      </c>
      <c r="H23">
        <v>0.2</v>
      </c>
      <c r="I23">
        <v>0.3</v>
      </c>
      <c r="J23" s="100">
        <f ca="1">SUMPRODUCT(H23:I23:L23,$F$16:$G$16:H17)</f>
        <v>0</v>
      </c>
      <c r="K23">
        <f>SQRT(H23^2*$F$17^2+I23^2*$G$17^2+2*H23*I23*$F$17*$G$17*CORREL(Таблица4[GAZP],Таблица4[SBER]))</f>
        <v>3.5295067554384912E-2</v>
      </c>
      <c r="L23">
        <f>1-H23-Таблица5[[#This Row],[w2]]</f>
        <v>0.5</v>
      </c>
    </row>
    <row r="24" spans="1:12" x14ac:dyDescent="0.25">
      <c r="A24" s="39">
        <v>44413</v>
      </c>
      <c r="B24">
        <v>285.95</v>
      </c>
      <c r="C24">
        <v>315.82</v>
      </c>
      <c r="D24">
        <v>44.17</v>
      </c>
      <c r="E24">
        <f>(GAZP_SBER[[#This Row],[GAZP.&lt;CLOSE&gt;]]-B23)/B23</f>
        <v>-6.9111620476488477E-3</v>
      </c>
      <c r="F24">
        <f>(GAZP_SBER[[#This Row],[SBER.&lt;CLOSE&gt;]]-C23)/C23</f>
        <v>1.5171970427515172E-2</v>
      </c>
      <c r="G24">
        <f>(SELG_210801_211001[[#This Row],[SELG.&lt;CLOSE&gt;]]-D23)/D23</f>
        <v>7.0679434564524003E-3</v>
      </c>
      <c r="H24">
        <v>0.3</v>
      </c>
      <c r="I24">
        <v>0.4</v>
      </c>
      <c r="J24" s="100">
        <f ca="1">SUMPRODUCT(H24:I24:L24,$F$16:$G$16:H18)</f>
        <v>0</v>
      </c>
      <c r="K24">
        <f>SQRT(H24^2*$F$17^2+I24^2*$G$17^2+2*H24*I24*$F$17*$G$17*CORREL(Таблица4[GAZP],Таблица4[SBER]))</f>
        <v>4.9243603395176243E-2</v>
      </c>
      <c r="L24">
        <f>1-H24-Таблица5[[#This Row],[w2]]</f>
        <v>0.29999999999999993</v>
      </c>
    </row>
    <row r="25" spans="1:12" x14ac:dyDescent="0.25">
      <c r="A25" s="39">
        <v>44414</v>
      </c>
      <c r="B25">
        <v>282.27</v>
      </c>
      <c r="C25">
        <v>319.14999999999998</v>
      </c>
      <c r="D25">
        <v>43.91</v>
      </c>
      <c r="E25">
        <f>(GAZP_SBER[[#This Row],[GAZP.&lt;CLOSE&gt;]]-B24)/B24</f>
        <v>-1.2869382759223665E-2</v>
      </c>
      <c r="F25">
        <f>(GAZP_SBER[[#This Row],[SBER.&lt;CLOSE&gt;]]-C24)/C24</f>
        <v>1.0543980748527592E-2</v>
      </c>
      <c r="G25">
        <f>(SELG_210801_211001[[#This Row],[SELG.&lt;CLOSE&gt;]]-D24)/D24</f>
        <v>-5.8863482001359543E-3</v>
      </c>
      <c r="H25">
        <v>0.4</v>
      </c>
      <c r="I25">
        <f>0.14</f>
        <v>0.14000000000000001</v>
      </c>
      <c r="J25" s="100">
        <f ca="1">SUMPRODUCT(H25:I25:L25,$F$16:$G$16:H19)</f>
        <v>0</v>
      </c>
      <c r="K25">
        <f>SQRT(H25^2*$F$17^2+I25^2*$G$17^2+2*H25*I25*$F$17*$G$17*CORREL(Таблица4[GAZP],Таблица4[SBER]))</f>
        <v>4.0758881424884173E-2</v>
      </c>
      <c r="L25">
        <f>1-H25-Таблица5[[#This Row],[w2]]</f>
        <v>0.45999999999999996</v>
      </c>
    </row>
    <row r="26" spans="1:12" x14ac:dyDescent="0.25">
      <c r="A26" s="39">
        <v>44417</v>
      </c>
      <c r="B26">
        <v>286.68</v>
      </c>
      <c r="C26">
        <v>326.91000000000003</v>
      </c>
      <c r="D26">
        <v>43.72</v>
      </c>
      <c r="E26">
        <f>(GAZP_SBER[[#This Row],[GAZP.&lt;CLOSE&gt;]]-B25)/B25</f>
        <v>1.5623339355935895E-2</v>
      </c>
      <c r="F26">
        <f>(GAZP_SBER[[#This Row],[SBER.&lt;CLOSE&gt;]]-C25)/C25</f>
        <v>2.4314585618048092E-2</v>
      </c>
      <c r="G26">
        <f>(SELG_210801_211001[[#This Row],[SELG.&lt;CLOSE&gt;]]-D25)/D25</f>
        <v>-4.3270325666134764E-3</v>
      </c>
      <c r="H26">
        <v>0.5</v>
      </c>
      <c r="I26">
        <v>0.2</v>
      </c>
      <c r="J26" s="100">
        <f ca="1">SUMPRODUCT(H26:I26:L26,$F$16:$G$16:H20)</f>
        <v>0</v>
      </c>
      <c r="K26">
        <f>SQRT(H26^2*$F$17^2+I26^2*$G$17^2+2*H26*I26*$F$17*$G$17*CORREL(Таблица4[GAZP],Таблица4[SBER]))</f>
        <v>5.2167882206172377E-2</v>
      </c>
      <c r="L26">
        <f>1-H26-Таблица5[[#This Row],[w2]]</f>
        <v>0.3</v>
      </c>
    </row>
    <row r="27" spans="1:12" x14ac:dyDescent="0.25">
      <c r="A27" s="39">
        <v>44418</v>
      </c>
      <c r="B27">
        <v>288.61</v>
      </c>
      <c r="C27">
        <v>330.11</v>
      </c>
      <c r="D27">
        <v>43.54</v>
      </c>
      <c r="E27">
        <f>(GAZP_SBER[[#This Row],[GAZP.&lt;CLOSE&gt;]]-B26)/B26</f>
        <v>6.7322450118599371E-3</v>
      </c>
      <c r="F27">
        <f>(GAZP_SBER[[#This Row],[SBER.&lt;CLOSE&gt;]]-C26)/C26</f>
        <v>9.78862683919118E-3</v>
      </c>
      <c r="G27">
        <f>(SELG_210801_211001[[#This Row],[SELG.&lt;CLOSE&gt;]]-D26)/D26</f>
        <v>-4.1171088746569011E-3</v>
      </c>
      <c r="H27">
        <v>0.4</v>
      </c>
      <c r="I27">
        <f>0.15</f>
        <v>0.15</v>
      </c>
      <c r="J27" s="100">
        <f ca="1">SUMPRODUCT(H27:I27:L27,$F$16:$G$16:H21)</f>
        <v>0</v>
      </c>
      <c r="K27">
        <f>SQRT(H27^2*$F$17^2+I27^2*$G$17^2+2*H27*I27*$F$17*$G$17*CORREL(Таблица4[GAZP],Таблица4[SBER]))</f>
        <v>4.1240666635340276E-2</v>
      </c>
      <c r="L27">
        <f>1-H27-Таблица5[[#This Row],[w2]]</f>
        <v>0.44999999999999996</v>
      </c>
    </row>
    <row r="28" spans="1:12" x14ac:dyDescent="0.25">
      <c r="A28" s="39">
        <v>44419</v>
      </c>
      <c r="B28">
        <v>290.35000000000002</v>
      </c>
      <c r="C28">
        <v>329.9</v>
      </c>
      <c r="D28">
        <v>43.64</v>
      </c>
      <c r="E28">
        <f>(GAZP_SBER[[#This Row],[GAZP.&lt;CLOSE&gt;]]-B27)/B27</f>
        <v>6.0288971276116869E-3</v>
      </c>
      <c r="F28">
        <f>(GAZP_SBER[[#This Row],[SBER.&lt;CLOSE&gt;]]-C27)/C27</f>
        <v>-6.3615158583513491E-4</v>
      </c>
      <c r="G28">
        <f>(SELG_210801_211001[[#This Row],[SELG.&lt;CLOSE&gt;]]-D27)/D27</f>
        <v>2.2967386311438086E-3</v>
      </c>
      <c r="H28">
        <v>0.5</v>
      </c>
      <c r="I28">
        <f t="shared" ref="I28:I31" si="0">0.2</f>
        <v>0.2</v>
      </c>
      <c r="J28" s="100">
        <f ca="1">SUMPRODUCT(H28:I28:L28,$F$16:$G$16:H22)</f>
        <v>0</v>
      </c>
      <c r="K28">
        <f>SQRT(H28^2*$F$17^2+I28^2*$G$17^2+2*H28*I28*$F$17*$G$17*CORREL(Таблица4[GAZP],Таблица4[SBER]))</f>
        <v>5.2167882206172377E-2</v>
      </c>
      <c r="L28">
        <f>1-H28-Таблица5[[#This Row],[w2]]</f>
        <v>0.3</v>
      </c>
    </row>
    <row r="29" spans="1:12" x14ac:dyDescent="0.25">
      <c r="A29" s="39">
        <v>44420</v>
      </c>
      <c r="B29">
        <v>293.23</v>
      </c>
      <c r="C29">
        <v>328.57</v>
      </c>
      <c r="D29">
        <v>43.79</v>
      </c>
      <c r="E29">
        <f>(GAZP_SBER[[#This Row],[GAZP.&lt;CLOSE&gt;]]-B28)/B28</f>
        <v>9.9190631995866897E-3</v>
      </c>
      <c r="F29">
        <f>(GAZP_SBER[[#This Row],[SBER.&lt;CLOSE&gt;]]-C28)/C28</f>
        <v>-4.0315247044558477E-3</v>
      </c>
      <c r="G29">
        <f>(SELG_210801_211001[[#This Row],[SELG.&lt;CLOSE&gt;]]-D28)/D28</f>
        <v>3.4372135655361727E-3</v>
      </c>
      <c r="H29">
        <v>0.4</v>
      </c>
      <c r="I29">
        <f>0.25</f>
        <v>0.25</v>
      </c>
      <c r="J29" s="100">
        <f ca="1">SUMPRODUCT(H29:I29:L29,$F$16:$G$16:H23)</f>
        <v>0</v>
      </c>
      <c r="K29">
        <f>SQRT(H29^2*$F$17^2+I29^2*$G$17^2+2*H29*I29*$F$17*$G$17*CORREL(Таблица4[GAZP],Таблица4[SBER]))</f>
        <v>4.6645450792366372E-2</v>
      </c>
      <c r="L29">
        <f>1-H29-Таблица5[[#This Row],[w2]]</f>
        <v>0.35</v>
      </c>
    </row>
    <row r="30" spans="1:12" x14ac:dyDescent="0.25">
      <c r="A30" s="39">
        <v>44421</v>
      </c>
      <c r="B30">
        <v>292.7</v>
      </c>
      <c r="C30">
        <v>328.68</v>
      </c>
      <c r="D30">
        <v>43.8</v>
      </c>
      <c r="E30">
        <f>(GAZP_SBER[[#This Row],[GAZP.&lt;CLOSE&gt;]]-B29)/B29</f>
        <v>-1.807454898884935E-3</v>
      </c>
      <c r="F30">
        <f>(GAZP_SBER[[#This Row],[SBER.&lt;CLOSE&gt;]]-C29)/C29</f>
        <v>3.3478406427858189E-4</v>
      </c>
      <c r="G30">
        <f>(SELG_210801_211001[[#This Row],[SELG.&lt;CLOSE&gt;]]-D29)/D29</f>
        <v>2.283626398720715E-4</v>
      </c>
      <c r="H30">
        <v>0.35</v>
      </c>
      <c r="I30">
        <f t="shared" si="0"/>
        <v>0.2</v>
      </c>
      <c r="J30" s="100">
        <f ca="1">SUMPRODUCT(H30:I30:L30,$F$16:$G$16:H24)</f>
        <v>0</v>
      </c>
      <c r="K30">
        <f>SQRT(H30^2*$F$17^2+I30^2*$G$17^2+2*H30*I30*$F$17*$G$17*CORREL(Таблица4[GAZP],Таблица4[SBER]))</f>
        <v>3.9730925003344485E-2</v>
      </c>
      <c r="L30">
        <f>1-H30-Таблица5[[#This Row],[w2]]</f>
        <v>0.45</v>
      </c>
    </row>
    <row r="31" spans="1:12" x14ac:dyDescent="0.25">
      <c r="A31" s="39">
        <v>44424</v>
      </c>
      <c r="B31">
        <v>295.10000000000002</v>
      </c>
      <c r="C31">
        <v>329.36</v>
      </c>
      <c r="D31">
        <v>43.77</v>
      </c>
      <c r="E31">
        <f>(GAZP_SBER[[#This Row],[GAZP.&lt;CLOSE&gt;]]-B30)/B30</f>
        <v>8.199521694567934E-3</v>
      </c>
      <c r="F31">
        <f>(GAZP_SBER[[#This Row],[SBER.&lt;CLOSE&gt;]]-C30)/C30</f>
        <v>2.0688815869538968E-3</v>
      </c>
      <c r="G31">
        <f>(SELG_210801_211001[[#This Row],[SELG.&lt;CLOSE&gt;]]-D30)/D30</f>
        <v>-6.849315068491789E-4</v>
      </c>
      <c r="H31">
        <v>0.6</v>
      </c>
      <c r="I31">
        <f t="shared" si="0"/>
        <v>0.2</v>
      </c>
      <c r="J31" s="100">
        <f ca="1">SUMPRODUCT(H31:I31:L31,$F$16:$G$16:H25)</f>
        <v>0</v>
      </c>
      <c r="K31">
        <f>SQRT(H31^2*$F$17^2+I31^2*$G$17^2+2*H31*I31*$F$17*$G$17*CORREL(Таблица4[GAZP],Таблица4[SBER]))</f>
        <v>6.0666729630262969E-2</v>
      </c>
      <c r="L31">
        <f>1-H31-Таблица5[[#This Row],[w2]]</f>
        <v>0.2</v>
      </c>
    </row>
    <row r="32" spans="1:12" x14ac:dyDescent="0.25">
      <c r="A32" s="39">
        <v>44425</v>
      </c>
      <c r="B32">
        <v>298.32</v>
      </c>
      <c r="C32">
        <v>334.5</v>
      </c>
      <c r="D32">
        <v>44.24</v>
      </c>
      <c r="E32">
        <f>(GAZP_SBER[[#This Row],[GAZP.&lt;CLOSE&gt;]]-B31)/B31</f>
        <v>1.0911555404947374E-2</v>
      </c>
      <c r="F32">
        <f>(GAZP_SBER[[#This Row],[SBER.&lt;CLOSE&gt;]]-C31)/C31</f>
        <v>1.5606023803740546E-2</v>
      </c>
      <c r="G32">
        <f>(SELG_210801_211001[[#This Row],[SELG.&lt;CLOSE&gt;]]-D31)/D31</f>
        <v>1.073794836646102E-2</v>
      </c>
    </row>
    <row r="33" spans="1:7" x14ac:dyDescent="0.25">
      <c r="A33" s="39">
        <v>44426</v>
      </c>
      <c r="B33">
        <v>295.05</v>
      </c>
      <c r="C33">
        <v>334.9</v>
      </c>
      <c r="D33">
        <v>44.08</v>
      </c>
      <c r="E33">
        <f>(GAZP_SBER[[#This Row],[GAZP.&lt;CLOSE&gt;]]-B32)/B32</f>
        <v>-1.0961383748994307E-2</v>
      </c>
      <c r="F33">
        <f>(GAZP_SBER[[#This Row],[SBER.&lt;CLOSE&gt;]]-C32)/C32</f>
        <v>1.1958146487293789E-3</v>
      </c>
      <c r="G33">
        <f>(SELG_210801_211001[[#This Row],[SELG.&lt;CLOSE&gt;]]-D32)/D32</f>
        <v>-3.6166365280290162E-3</v>
      </c>
    </row>
    <row r="34" spans="1:7" x14ac:dyDescent="0.25">
      <c r="A34" s="39">
        <v>44427</v>
      </c>
      <c r="B34">
        <v>293.68</v>
      </c>
      <c r="C34">
        <v>332.69</v>
      </c>
      <c r="D34">
        <v>44.02</v>
      </c>
      <c r="E34">
        <f>(GAZP_SBER[[#This Row],[GAZP.&lt;CLOSE&gt;]]-B33)/B33</f>
        <v>-4.6432807998644451E-3</v>
      </c>
      <c r="F34">
        <f>(GAZP_SBER[[#This Row],[SBER.&lt;CLOSE&gt;]]-C33)/C33</f>
        <v>-6.5989847715735434E-3</v>
      </c>
      <c r="G34">
        <f>(SELG_210801_211001[[#This Row],[SELG.&lt;CLOSE&gt;]]-D33)/D33</f>
        <v>-1.3611615245007979E-3</v>
      </c>
    </row>
    <row r="35" spans="1:7" x14ac:dyDescent="0.25">
      <c r="A35" s="39">
        <v>44428</v>
      </c>
      <c r="B35">
        <v>292.57</v>
      </c>
      <c r="C35">
        <v>325.67</v>
      </c>
      <c r="D35">
        <v>43.87</v>
      </c>
      <c r="E35">
        <f>(GAZP_SBER[[#This Row],[GAZP.&lt;CLOSE&gt;]]-B34)/B34</f>
        <v>-3.7796240806320268E-3</v>
      </c>
      <c r="F35">
        <f>(GAZP_SBER[[#This Row],[SBER.&lt;CLOSE&gt;]]-C34)/C34</f>
        <v>-2.1100724398088255E-2</v>
      </c>
      <c r="G35">
        <f>(SELG_210801_211001[[#This Row],[SELG.&lt;CLOSE&gt;]]-D34)/D34</f>
        <v>-3.407542026351787E-3</v>
      </c>
    </row>
    <row r="36" spans="1:7" x14ac:dyDescent="0.25">
      <c r="A36" s="39">
        <v>44431</v>
      </c>
      <c r="B36">
        <v>297.69</v>
      </c>
      <c r="C36">
        <v>329.22</v>
      </c>
      <c r="D36">
        <v>43.99</v>
      </c>
      <c r="E36">
        <f>(GAZP_SBER[[#This Row],[GAZP.&lt;CLOSE&gt;]]-B35)/B35</f>
        <v>1.7500085449636001E-2</v>
      </c>
      <c r="F36">
        <f>(GAZP_SBER[[#This Row],[SBER.&lt;CLOSE&gt;]]-C35)/C35</f>
        <v>1.0900604906807538E-2</v>
      </c>
      <c r="G36">
        <f>(SELG_210801_211001[[#This Row],[SELG.&lt;CLOSE&gt;]]-D35)/D35</f>
        <v>2.7353544563484054E-3</v>
      </c>
    </row>
    <row r="37" spans="1:7" x14ac:dyDescent="0.25">
      <c r="A37" s="39">
        <v>44432</v>
      </c>
      <c r="B37">
        <v>298.7</v>
      </c>
      <c r="C37">
        <v>324.83</v>
      </c>
      <c r="D37">
        <v>44.26</v>
      </c>
      <c r="E37">
        <f>(GAZP_SBER[[#This Row],[GAZP.&lt;CLOSE&gt;]]-B36)/B36</f>
        <v>3.3927911585877623E-3</v>
      </c>
      <c r="F37">
        <f>(GAZP_SBER[[#This Row],[SBER.&lt;CLOSE&gt;]]-C36)/C36</f>
        <v>-1.3334548326347253E-2</v>
      </c>
      <c r="G37">
        <f>(SELG_210801_211001[[#This Row],[SELG.&lt;CLOSE&gt;]]-D36)/D36</f>
        <v>6.1377585814957041E-3</v>
      </c>
    </row>
    <row r="38" spans="1:7" x14ac:dyDescent="0.25">
      <c r="A38" s="39">
        <v>44433</v>
      </c>
      <c r="B38">
        <v>296.7</v>
      </c>
      <c r="C38">
        <v>324.57</v>
      </c>
      <c r="D38">
        <v>44</v>
      </c>
      <c r="E38">
        <f>(GAZP_SBER[[#This Row],[GAZP.&lt;CLOSE&gt;]]-B37)/B37</f>
        <v>-6.6956812855708068E-3</v>
      </c>
      <c r="F38">
        <f>(GAZP_SBER[[#This Row],[SBER.&lt;CLOSE&gt;]]-C37)/C37</f>
        <v>-8.0041868054056249E-4</v>
      </c>
      <c r="G38">
        <f>(SELG_210801_211001[[#This Row],[SELG.&lt;CLOSE&gt;]]-D37)/D37</f>
        <v>-5.8743786714866254E-3</v>
      </c>
    </row>
    <row r="39" spans="1:7" x14ac:dyDescent="0.25">
      <c r="A39" s="39">
        <v>44434</v>
      </c>
      <c r="B39">
        <v>294.33999999999997</v>
      </c>
      <c r="C39">
        <v>322.54000000000002</v>
      </c>
      <c r="D39">
        <v>43.29</v>
      </c>
      <c r="E39">
        <f>(GAZP_SBER[[#This Row],[GAZP.&lt;CLOSE&gt;]]-B38)/B38</f>
        <v>-7.9541624536569391E-3</v>
      </c>
      <c r="F39">
        <f>(GAZP_SBER[[#This Row],[SBER.&lt;CLOSE&gt;]]-C38)/C38</f>
        <v>-6.2544289367469971E-3</v>
      </c>
      <c r="G39">
        <f>(SELG_210801_211001[[#This Row],[SELG.&lt;CLOSE&gt;]]-D38)/D38</f>
        <v>-1.6136363636363657E-2</v>
      </c>
    </row>
    <row r="40" spans="1:7" x14ac:dyDescent="0.25">
      <c r="A40" s="39">
        <v>44435</v>
      </c>
      <c r="B40">
        <v>299.66000000000003</v>
      </c>
      <c r="C40">
        <v>327.41000000000003</v>
      </c>
      <c r="D40">
        <v>43.61</v>
      </c>
      <c r="E40">
        <f>(GAZP_SBER[[#This Row],[GAZP.&lt;CLOSE&gt;]]-B39)/B39</f>
        <v>1.8074335802133759E-2</v>
      </c>
      <c r="F40">
        <f>(GAZP_SBER[[#This Row],[SBER.&lt;CLOSE&gt;]]-C39)/C39</f>
        <v>1.5098902461710188E-2</v>
      </c>
      <c r="G40">
        <f>(SELG_210801_211001[[#This Row],[SELG.&lt;CLOSE&gt;]]-D39)/D39</f>
        <v>7.3920073920073987E-3</v>
      </c>
    </row>
    <row r="41" spans="1:7" x14ac:dyDescent="0.25">
      <c r="A41" s="39">
        <v>44438</v>
      </c>
      <c r="B41">
        <v>305.17</v>
      </c>
      <c r="C41">
        <v>328.28</v>
      </c>
      <c r="D41">
        <v>43.14</v>
      </c>
      <c r="E41">
        <f>(GAZP_SBER[[#This Row],[GAZP.&lt;CLOSE&gt;]]-B40)/B40</f>
        <v>1.8387505839951912E-2</v>
      </c>
      <c r="F41">
        <f>(GAZP_SBER[[#This Row],[SBER.&lt;CLOSE&gt;]]-C40)/C40</f>
        <v>2.6572187776792025E-3</v>
      </c>
      <c r="G41">
        <f>(SELG_210801_211001[[#This Row],[SELG.&lt;CLOSE&gt;]]-D40)/D40</f>
        <v>-1.0777344645723433E-2</v>
      </c>
    </row>
    <row r="42" spans="1:7" x14ac:dyDescent="0.25">
      <c r="A42" s="39">
        <v>44439</v>
      </c>
      <c r="B42">
        <v>305.64999999999998</v>
      </c>
      <c r="C42">
        <v>327.94</v>
      </c>
      <c r="D42">
        <v>43.62</v>
      </c>
      <c r="E42">
        <f>(GAZP_SBER[[#This Row],[GAZP.&lt;CLOSE&gt;]]-B41)/B41</f>
        <v>1.5728937968999617E-3</v>
      </c>
      <c r="F42">
        <f>(GAZP_SBER[[#This Row],[SBER.&lt;CLOSE&gt;]]-C41)/C41</f>
        <v>-1.0357012306566804E-3</v>
      </c>
      <c r="G42">
        <f>(SELG_210801_211001[[#This Row],[SELG.&lt;CLOSE&gt;]]-D41)/D41</f>
        <v>1.1126564673157089E-2</v>
      </c>
    </row>
    <row r="43" spans="1:7" x14ac:dyDescent="0.25">
      <c r="A43" s="39">
        <v>44440</v>
      </c>
      <c r="B43">
        <v>312.89</v>
      </c>
      <c r="C43">
        <v>334.57</v>
      </c>
      <c r="D43">
        <v>43.65</v>
      </c>
      <c r="E43">
        <f>(GAZP_SBER[[#This Row],[GAZP.&lt;CLOSE&gt;]]-B42)/B42</f>
        <v>2.3687223948961261E-2</v>
      </c>
      <c r="F43">
        <f>(GAZP_SBER[[#This Row],[SBER.&lt;CLOSE&gt;]]-C42)/C42</f>
        <v>2.0217112886503616E-2</v>
      </c>
      <c r="G43">
        <f>(SELG_210801_211001[[#This Row],[SELG.&lt;CLOSE&gt;]]-D42)/D42</f>
        <v>6.8775790921598212E-4</v>
      </c>
    </row>
    <row r="44" spans="1:7" x14ac:dyDescent="0.25">
      <c r="A44" s="39">
        <v>44441</v>
      </c>
      <c r="B44">
        <v>312.3</v>
      </c>
      <c r="C44">
        <v>329</v>
      </c>
      <c r="D44">
        <v>43.72</v>
      </c>
      <c r="E44">
        <f>(GAZP_SBER[[#This Row],[GAZP.&lt;CLOSE&gt;]]-B43)/B43</f>
        <v>-1.8856467129022181E-3</v>
      </c>
      <c r="F44">
        <f>(GAZP_SBER[[#This Row],[SBER.&lt;CLOSE&gt;]]-C43)/C43</f>
        <v>-1.6648235047972002E-2</v>
      </c>
      <c r="G44">
        <f>(SELG_210801_211001[[#This Row],[SELG.&lt;CLOSE&gt;]]-D43)/D43</f>
        <v>1.603665521191301E-3</v>
      </c>
    </row>
    <row r="45" spans="1:7" x14ac:dyDescent="0.25">
      <c r="A45" s="39">
        <v>44442</v>
      </c>
      <c r="B45">
        <v>317.94</v>
      </c>
      <c r="C45">
        <v>329.71</v>
      </c>
      <c r="D45">
        <v>44</v>
      </c>
      <c r="E45">
        <f>(GAZP_SBER[[#This Row],[GAZP.&lt;CLOSE&gt;]]-B44)/B44</f>
        <v>1.8059558117194962E-2</v>
      </c>
      <c r="F45">
        <f>(GAZP_SBER[[#This Row],[SBER.&lt;CLOSE&gt;]]-C44)/C44</f>
        <v>2.1580547112461383E-3</v>
      </c>
      <c r="G45">
        <f>(SELG_210801_211001[[#This Row],[SELG.&lt;CLOSE&gt;]]-D44)/D44</f>
        <v>6.4043915827996598E-3</v>
      </c>
    </row>
    <row r="46" spans="1:7" x14ac:dyDescent="0.25">
      <c r="A46" s="39">
        <v>44445</v>
      </c>
      <c r="B46">
        <v>328.93</v>
      </c>
      <c r="C46">
        <v>329.37</v>
      </c>
      <c r="D46">
        <v>45</v>
      </c>
      <c r="E46">
        <f>(GAZP_SBER[[#This Row],[GAZP.&lt;CLOSE&gt;]]-B45)/B45</f>
        <v>3.456627036547779E-2</v>
      </c>
      <c r="F46">
        <f>(GAZP_SBER[[#This Row],[SBER.&lt;CLOSE&gt;]]-C45)/C45</f>
        <v>-1.0312092444875042E-3</v>
      </c>
      <c r="G46">
        <f>(SELG_210801_211001[[#This Row],[SELG.&lt;CLOSE&gt;]]-D45)/D45</f>
        <v>2.2727272727272728E-2</v>
      </c>
    </row>
    <row r="47" spans="1:7" x14ac:dyDescent="0.25">
      <c r="A47" s="39">
        <v>44446</v>
      </c>
      <c r="B47">
        <v>327.73</v>
      </c>
      <c r="C47">
        <v>325.95999999999998</v>
      </c>
      <c r="D47">
        <v>44.52</v>
      </c>
      <c r="E47">
        <f>(GAZP_SBER[[#This Row],[GAZP.&lt;CLOSE&gt;]]-B46)/B46</f>
        <v>-3.6481926245705426E-3</v>
      </c>
      <c r="F47">
        <f>(GAZP_SBER[[#This Row],[SBER.&lt;CLOSE&gt;]]-C46)/C46</f>
        <v>-1.0353098339253802E-2</v>
      </c>
      <c r="G47">
        <f>(SELG_210801_211001[[#This Row],[SELG.&lt;CLOSE&gt;]]-D46)/D46</f>
        <v>-1.0666666666666597E-2</v>
      </c>
    </row>
    <row r="48" spans="1:7" x14ac:dyDescent="0.25">
      <c r="A48" s="39">
        <v>44447</v>
      </c>
      <c r="B48">
        <v>327.60000000000002</v>
      </c>
      <c r="C48">
        <v>331.7</v>
      </c>
      <c r="D48">
        <v>44.88</v>
      </c>
      <c r="E48">
        <f>(GAZP_SBER[[#This Row],[GAZP.&lt;CLOSE&gt;]]-B47)/B47</f>
        <v>-3.9666798889328244E-4</v>
      </c>
      <c r="F48">
        <f>(GAZP_SBER[[#This Row],[SBER.&lt;CLOSE&gt;]]-C47)/C47</f>
        <v>1.7609522640814852E-2</v>
      </c>
      <c r="G48">
        <f>(SELG_210801_211001[[#This Row],[SELG.&lt;CLOSE&gt;]]-D47)/D47</f>
        <v>8.0862533692722238E-3</v>
      </c>
    </row>
    <row r="49" spans="1:7" x14ac:dyDescent="0.25">
      <c r="A49" s="39">
        <v>44448</v>
      </c>
      <c r="B49">
        <v>324.57</v>
      </c>
      <c r="C49">
        <v>326.01</v>
      </c>
      <c r="D49">
        <v>44.49</v>
      </c>
      <c r="E49">
        <f>(GAZP_SBER[[#This Row],[GAZP.&lt;CLOSE&gt;]]-B48)/B48</f>
        <v>-9.2490842490843394E-3</v>
      </c>
      <c r="F49">
        <f>(GAZP_SBER[[#This Row],[SBER.&lt;CLOSE&gt;]]-C48)/C48</f>
        <v>-1.7154054868857394E-2</v>
      </c>
      <c r="G49">
        <f>(SELG_210801_211001[[#This Row],[SELG.&lt;CLOSE&gt;]]-D48)/D48</f>
        <v>-8.6898395721925255E-3</v>
      </c>
    </row>
    <row r="50" spans="1:7" x14ac:dyDescent="0.25">
      <c r="A50" s="39">
        <v>44449</v>
      </c>
      <c r="B50">
        <v>326.43</v>
      </c>
      <c r="C50">
        <v>326.25</v>
      </c>
      <c r="D50">
        <v>45.5</v>
      </c>
      <c r="E50">
        <f>(GAZP_SBER[[#This Row],[GAZP.&lt;CLOSE&gt;]]-B49)/B49</f>
        <v>5.7306590257880079E-3</v>
      </c>
      <c r="F50">
        <f>(GAZP_SBER[[#This Row],[SBER.&lt;CLOSE&gt;]]-C49)/C49</f>
        <v>7.3617373700196034E-4</v>
      </c>
      <c r="G50">
        <f>(SELG_210801_211001[[#This Row],[SELG.&lt;CLOSE&gt;]]-D49)/D49</f>
        <v>2.2701730726005797E-2</v>
      </c>
    </row>
    <row r="51" spans="1:7" x14ac:dyDescent="0.25">
      <c r="A51" s="39">
        <v>44452</v>
      </c>
      <c r="B51">
        <v>332.75</v>
      </c>
      <c r="C51">
        <v>327.41000000000003</v>
      </c>
      <c r="D51">
        <v>45.01</v>
      </c>
      <c r="E51">
        <f>(GAZP_SBER[[#This Row],[GAZP.&lt;CLOSE&gt;]]-B50)/B50</f>
        <v>1.9360965597524715E-2</v>
      </c>
      <c r="F51">
        <f>(GAZP_SBER[[#This Row],[SBER.&lt;CLOSE&gt;]]-C50)/C50</f>
        <v>3.5555555555556321E-3</v>
      </c>
      <c r="G51">
        <f>(SELG_210801_211001[[#This Row],[SELG.&lt;CLOSE&gt;]]-D50)/D50</f>
        <v>-1.0769230769230812E-2</v>
      </c>
    </row>
    <row r="52" spans="1:7" x14ac:dyDescent="0.25">
      <c r="A52" s="39">
        <v>44453</v>
      </c>
      <c r="B52">
        <v>338.98</v>
      </c>
      <c r="C52">
        <v>326.48</v>
      </c>
      <c r="D52">
        <v>44.79</v>
      </c>
      <c r="E52">
        <f>(GAZP_SBER[[#This Row],[GAZP.&lt;CLOSE&gt;]]-B51)/B51</f>
        <v>1.8722764838467371E-2</v>
      </c>
      <c r="F52">
        <f>(GAZP_SBER[[#This Row],[SBER.&lt;CLOSE&gt;]]-C51)/C51</f>
        <v>-2.840475245105546E-3</v>
      </c>
      <c r="G52">
        <f>(SELG_210801_211001[[#This Row],[SELG.&lt;CLOSE&gt;]]-D51)/D51</f>
        <v>-4.8878027105087509E-3</v>
      </c>
    </row>
    <row r="53" spans="1:7" x14ac:dyDescent="0.25">
      <c r="A53" s="39">
        <v>44454</v>
      </c>
      <c r="B53">
        <v>343.34</v>
      </c>
      <c r="C53">
        <v>333.51</v>
      </c>
      <c r="D53">
        <v>44.66</v>
      </c>
      <c r="E53">
        <f>(GAZP_SBER[[#This Row],[GAZP.&lt;CLOSE&gt;]]-B52)/B52</f>
        <v>1.2862115759041703E-2</v>
      </c>
      <c r="F53">
        <f>(GAZP_SBER[[#This Row],[SBER.&lt;CLOSE&gt;]]-C52)/C52</f>
        <v>2.1532712570448333E-2</v>
      </c>
      <c r="G53">
        <f>(SELG_210801_211001[[#This Row],[SELG.&lt;CLOSE&gt;]]-D52)/D52</f>
        <v>-2.9024335789239243E-3</v>
      </c>
    </row>
    <row r="54" spans="1:7" x14ac:dyDescent="0.25">
      <c r="A54" s="39">
        <v>44455</v>
      </c>
      <c r="B54">
        <v>338.5</v>
      </c>
      <c r="C54">
        <v>326.99</v>
      </c>
      <c r="D54">
        <v>44.51</v>
      </c>
      <c r="E54">
        <f>(GAZP_SBER[[#This Row],[GAZP.&lt;CLOSE&gt;]]-B53)/B53</f>
        <v>-1.4096813654103733E-2</v>
      </c>
      <c r="F54">
        <f>(GAZP_SBER[[#This Row],[SBER.&lt;CLOSE&gt;]]-C53)/C53</f>
        <v>-1.9549638691493454E-2</v>
      </c>
      <c r="G54">
        <f>(SELG_210801_211001[[#This Row],[SELG.&lt;CLOSE&gt;]]-D53)/D53</f>
        <v>-3.3587102552619479E-3</v>
      </c>
    </row>
    <row r="55" spans="1:7" x14ac:dyDescent="0.25">
      <c r="A55" s="39">
        <v>44456</v>
      </c>
      <c r="B55">
        <v>334.5</v>
      </c>
      <c r="C55">
        <v>329.56</v>
      </c>
      <c r="D55">
        <v>44</v>
      </c>
      <c r="E55">
        <f>(GAZP_SBER[[#This Row],[GAZP.&lt;CLOSE&gt;]]-B54)/B54</f>
        <v>-1.1816838995568686E-2</v>
      </c>
      <c r="F55">
        <f>(GAZP_SBER[[#This Row],[SBER.&lt;CLOSE&gt;]]-C54)/C54</f>
        <v>7.8595675708737055E-3</v>
      </c>
      <c r="G55">
        <f>(SELG_210801_211001[[#This Row],[SELG.&lt;CLOSE&gt;]]-D54)/D54</f>
        <v>-1.1458099303527253E-2</v>
      </c>
    </row>
    <row r="56" spans="1:7" x14ac:dyDescent="0.25">
      <c r="A56" s="39">
        <v>44459</v>
      </c>
      <c r="B56">
        <v>325.7</v>
      </c>
      <c r="C56">
        <v>326.92</v>
      </c>
      <c r="D56">
        <v>43.68</v>
      </c>
      <c r="E56">
        <f>(GAZP_SBER[[#This Row],[GAZP.&lt;CLOSE&gt;]]-B55)/B55</f>
        <v>-2.6307922272047868E-2</v>
      </c>
      <c r="F56">
        <f>(GAZP_SBER[[#This Row],[SBER.&lt;CLOSE&gt;]]-C55)/C55</f>
        <v>-8.0106809078771286E-3</v>
      </c>
      <c r="G56">
        <f>(SELG_210801_211001[[#This Row],[SELG.&lt;CLOSE&gt;]]-D55)/D55</f>
        <v>-7.2727272727272788E-3</v>
      </c>
    </row>
    <row r="57" spans="1:7" x14ac:dyDescent="0.25">
      <c r="A57" s="39">
        <v>44460</v>
      </c>
      <c r="B57">
        <v>335.3</v>
      </c>
      <c r="C57">
        <v>323.25</v>
      </c>
      <c r="D57">
        <v>44</v>
      </c>
      <c r="E57">
        <f>(GAZP_SBER[[#This Row],[GAZP.&lt;CLOSE&gt;]]-B56)/B56</f>
        <v>2.9474976972674313E-2</v>
      </c>
      <c r="F57">
        <f>(GAZP_SBER[[#This Row],[SBER.&lt;CLOSE&gt;]]-C56)/C56</f>
        <v>-1.1225988009298958E-2</v>
      </c>
      <c r="G57">
        <f>(SELG_210801_211001[[#This Row],[SELG.&lt;CLOSE&gt;]]-D56)/D56</f>
        <v>7.3260073260073329E-3</v>
      </c>
    </row>
    <row r="58" spans="1:7" x14ac:dyDescent="0.25">
      <c r="A58" s="39">
        <v>44461</v>
      </c>
      <c r="B58">
        <v>340.59</v>
      </c>
      <c r="C58">
        <v>327.8</v>
      </c>
      <c r="D58">
        <v>43.85</v>
      </c>
      <c r="E58">
        <f>(GAZP_SBER[[#This Row],[GAZP.&lt;CLOSE&gt;]]-B57)/B57</f>
        <v>1.5776916194452619E-2</v>
      </c>
      <c r="F58">
        <f>(GAZP_SBER[[#This Row],[SBER.&lt;CLOSE&gt;]]-C57)/C57</f>
        <v>1.4075792730085109E-2</v>
      </c>
      <c r="G58">
        <f>(SELG_210801_211001[[#This Row],[SELG.&lt;CLOSE&gt;]]-D57)/D57</f>
        <v>-3.4090909090908768E-3</v>
      </c>
    </row>
    <row r="59" spans="1:7" x14ac:dyDescent="0.25">
      <c r="A59" s="39">
        <v>44462</v>
      </c>
      <c r="B59">
        <v>343.47</v>
      </c>
      <c r="C59">
        <v>327.02</v>
      </c>
      <c r="D59">
        <v>44.5</v>
      </c>
      <c r="E59">
        <f>(GAZP_SBER[[#This Row],[GAZP.&lt;CLOSE&gt;]]-B58)/B58</f>
        <v>8.4559147361932315E-3</v>
      </c>
      <c r="F59">
        <f>(GAZP_SBER[[#This Row],[SBER.&lt;CLOSE&gt;]]-C58)/C58</f>
        <v>-2.3794996949360265E-3</v>
      </c>
      <c r="G59">
        <f>(SELG_210801_211001[[#This Row],[SELG.&lt;CLOSE&gt;]]-D58)/D58</f>
        <v>1.4823261117445806E-2</v>
      </c>
    </row>
    <row r="60" spans="1:7" x14ac:dyDescent="0.25">
      <c r="A60" s="39">
        <v>44463</v>
      </c>
      <c r="B60">
        <v>344.29</v>
      </c>
      <c r="C60">
        <v>325.44</v>
      </c>
      <c r="D60">
        <v>45.02</v>
      </c>
      <c r="E60">
        <f>(GAZP_SBER[[#This Row],[GAZP.&lt;CLOSE&gt;]]-B59)/B59</f>
        <v>2.3873991906134249E-3</v>
      </c>
      <c r="F60">
        <f>(GAZP_SBER[[#This Row],[SBER.&lt;CLOSE&gt;]]-C59)/C59</f>
        <v>-4.8315087762215896E-3</v>
      </c>
      <c r="G60">
        <f>(SELG_210801_211001[[#This Row],[SELG.&lt;CLOSE&gt;]]-D59)/D59</f>
        <v>1.1685393258427037E-2</v>
      </c>
    </row>
    <row r="61" spans="1:7" x14ac:dyDescent="0.25">
      <c r="A61" s="39">
        <v>44466</v>
      </c>
      <c r="B61">
        <v>355.19</v>
      </c>
      <c r="C61">
        <v>331.68</v>
      </c>
      <c r="D61">
        <v>45.15</v>
      </c>
      <c r="E61">
        <f>(GAZP_SBER[[#This Row],[GAZP.&lt;CLOSE&gt;]]-B60)/B60</f>
        <v>3.1659356937465438E-2</v>
      </c>
      <c r="F61">
        <f>(GAZP_SBER[[#This Row],[SBER.&lt;CLOSE&gt;]]-C60)/C60</f>
        <v>1.9174041297935131E-2</v>
      </c>
      <c r="G61">
        <f>(SELG_210801_211001[[#This Row],[SELG.&lt;CLOSE&gt;]]-D60)/D60</f>
        <v>2.8876055086627154E-3</v>
      </c>
    </row>
    <row r="62" spans="1:7" x14ac:dyDescent="0.25">
      <c r="A62" s="39">
        <v>44467</v>
      </c>
      <c r="B62">
        <v>354.07</v>
      </c>
      <c r="C62">
        <v>329.3</v>
      </c>
      <c r="D62">
        <v>45.8</v>
      </c>
      <c r="E62">
        <f>(GAZP_SBER[[#This Row],[GAZP.&lt;CLOSE&gt;]]-B61)/B61</f>
        <v>-3.1532419268560617E-3</v>
      </c>
      <c r="F62">
        <f>(GAZP_SBER[[#This Row],[SBER.&lt;CLOSE&gt;]]-C61)/C61</f>
        <v>-7.1755909310178348E-3</v>
      </c>
      <c r="G62">
        <f>(SELG_210801_211001[[#This Row],[SELG.&lt;CLOSE&gt;]]-D61)/D61</f>
        <v>1.4396456256921342E-2</v>
      </c>
    </row>
    <row r="63" spans="1:7" x14ac:dyDescent="0.25">
      <c r="A63" s="39">
        <v>44468</v>
      </c>
      <c r="B63">
        <v>360.88</v>
      </c>
      <c r="C63">
        <v>328.43</v>
      </c>
      <c r="D63">
        <v>45.69</v>
      </c>
      <c r="E63">
        <f>(GAZP_SBER[[#This Row],[GAZP.&lt;CLOSE&gt;]]-B62)/B62</f>
        <v>1.9233484904115011E-2</v>
      </c>
      <c r="F63">
        <f>(GAZP_SBER[[#This Row],[SBER.&lt;CLOSE&gt;]]-C62)/C62</f>
        <v>-2.64196781050715E-3</v>
      </c>
      <c r="G63">
        <f>(SELG_210801_211001[[#This Row],[SELG.&lt;CLOSE&gt;]]-D62)/D62</f>
        <v>-2.4017467248908173E-3</v>
      </c>
    </row>
    <row r="64" spans="1:7" x14ac:dyDescent="0.25">
      <c r="A64" s="39">
        <v>44469</v>
      </c>
      <c r="B64">
        <v>360.8</v>
      </c>
      <c r="C64">
        <v>340.99</v>
      </c>
      <c r="D64">
        <v>45.62</v>
      </c>
      <c r="E64">
        <f>(GAZP_SBER[[#This Row],[GAZP.&lt;CLOSE&gt;]]-B63)/B63</f>
        <v>-2.2168033695406806E-4</v>
      </c>
      <c r="F64">
        <f>(GAZP_SBER[[#This Row],[SBER.&lt;CLOSE&gt;]]-C63)/C63</f>
        <v>3.8242547879304575E-2</v>
      </c>
      <c r="G64">
        <f>(SELG_210801_211001[[#This Row],[SELG.&lt;CLOSE&gt;]]-D63)/D63</f>
        <v>-1.5320639089516368E-3</v>
      </c>
    </row>
    <row r="65" spans="1:7" x14ac:dyDescent="0.25">
      <c r="A65" s="39">
        <v>44470</v>
      </c>
      <c r="B65">
        <v>363.25</v>
      </c>
      <c r="C65">
        <v>338.48</v>
      </c>
      <c r="D65">
        <v>45.21</v>
      </c>
      <c r="E65">
        <f>(GAZP_SBER[[#This Row],[GAZP.&lt;CLOSE&gt;]]-B64)/B64</f>
        <v>6.7904656319290151E-3</v>
      </c>
      <c r="F65">
        <f>(GAZP_SBER[[#This Row],[SBER.&lt;CLOSE&gt;]]-C64)/C64</f>
        <v>-7.360919675063758E-3</v>
      </c>
      <c r="G65">
        <f>(SELG_210801_211001[[#This Row],[SELG.&lt;CLOSE&gt;]]-D64)/D64</f>
        <v>-8.9872862779481946E-3</v>
      </c>
    </row>
    <row r="66" spans="1:7" x14ac:dyDescent="0.25">
      <c r="A66">
        <f>SUBTOTAL(103,GAZP_SBER[&lt;DATE&gt;])</f>
        <v>45</v>
      </c>
      <c r="C66">
        <f>SUBTOTAL(103,GAZP_SBER[SBER.&lt;CLOSE&gt;])</f>
        <v>45</v>
      </c>
    </row>
  </sheetData>
  <phoneticPr fontId="9" type="noConversion"/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6C3B-D868-4B8B-8E57-03270BB3B86D}">
  <dimension ref="A1:Z40"/>
  <sheetViews>
    <sheetView topLeftCell="A4" zoomScale="85" zoomScaleNormal="85" workbookViewId="0">
      <selection activeCell="A25" sqref="A25:V27"/>
    </sheetView>
  </sheetViews>
  <sheetFormatPr defaultColWidth="9.140625" defaultRowHeight="15" x14ac:dyDescent="0.25"/>
  <cols>
    <col min="1" max="1" width="9.140625" style="1"/>
    <col min="2" max="2" width="11.140625" style="1" bestFit="1" customWidth="1"/>
    <col min="3" max="16384" width="9.140625" style="1"/>
  </cols>
  <sheetData>
    <row r="1" spans="1:22" x14ac:dyDescent="0.25">
      <c r="A1" s="44" t="s">
        <v>14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6"/>
    </row>
    <row r="2" spans="1:22" x14ac:dyDescent="0.25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</row>
    <row r="3" spans="1:22" x14ac:dyDescent="0.25">
      <c r="A3" s="41" t="s">
        <v>15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3"/>
    </row>
    <row r="4" spans="1:22" x14ac:dyDescent="0.25">
      <c r="A4" s="41" t="s">
        <v>16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3"/>
    </row>
    <row r="5" spans="1:22" ht="18.75" x14ac:dyDescent="0.3">
      <c r="A5" s="50" t="s">
        <v>17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2"/>
    </row>
    <row r="6" spans="1:22" ht="15.75" thickBot="1" x14ac:dyDescent="0.3">
      <c r="A6" s="53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5"/>
    </row>
    <row r="7" spans="1:22" x14ac:dyDescent="0.25">
      <c r="A7" s="56" t="s">
        <v>18</v>
      </c>
      <c r="B7" s="57"/>
      <c r="C7" s="57"/>
      <c r="D7" s="57"/>
      <c r="E7" s="57"/>
      <c r="F7" s="57"/>
      <c r="G7" s="57"/>
      <c r="H7" s="57"/>
      <c r="I7" s="57"/>
      <c r="J7" s="57"/>
      <c r="K7" s="16" t="s">
        <v>19</v>
      </c>
      <c r="L7" s="16">
        <f t="shared" ref="L7:T7" si="0">M7-1</f>
        <v>2007</v>
      </c>
      <c r="M7" s="16">
        <f t="shared" si="0"/>
        <v>2008</v>
      </c>
      <c r="N7" s="16">
        <f t="shared" si="0"/>
        <v>2009</v>
      </c>
      <c r="O7" s="16">
        <f t="shared" si="0"/>
        <v>2010</v>
      </c>
      <c r="P7" s="16">
        <f t="shared" si="0"/>
        <v>2011</v>
      </c>
      <c r="Q7" s="16">
        <f t="shared" si="0"/>
        <v>2012</v>
      </c>
      <c r="R7" s="16">
        <f t="shared" si="0"/>
        <v>2013</v>
      </c>
      <c r="S7" s="16">
        <f t="shared" si="0"/>
        <v>2014</v>
      </c>
      <c r="T7" s="16">
        <f t="shared" si="0"/>
        <v>2015</v>
      </c>
      <c r="U7" s="16">
        <f>V7-1</f>
        <v>2016</v>
      </c>
      <c r="V7" s="17">
        <v>2017</v>
      </c>
    </row>
    <row r="8" spans="1:22" ht="15.75" thickBot="1" x14ac:dyDescent="0.3">
      <c r="A8" s="58"/>
      <c r="B8" s="59"/>
      <c r="C8" s="59"/>
      <c r="D8" s="59"/>
      <c r="E8" s="59"/>
      <c r="F8" s="59"/>
      <c r="G8" s="59"/>
      <c r="H8" s="59"/>
      <c r="I8" s="59"/>
      <c r="J8" s="59"/>
      <c r="K8" s="18" t="s">
        <v>20</v>
      </c>
      <c r="L8" s="18">
        <v>249</v>
      </c>
      <c r="M8" s="18">
        <v>250</v>
      </c>
      <c r="N8" s="18">
        <v>249</v>
      </c>
      <c r="O8" s="18">
        <v>249</v>
      </c>
      <c r="P8" s="18">
        <v>248</v>
      </c>
      <c r="Q8" s="18">
        <v>248</v>
      </c>
      <c r="R8" s="18">
        <v>250</v>
      </c>
      <c r="S8" s="18">
        <v>251</v>
      </c>
      <c r="T8" s="18">
        <v>250</v>
      </c>
      <c r="U8" s="18">
        <v>252</v>
      </c>
      <c r="V8" s="19">
        <v>247</v>
      </c>
    </row>
    <row r="9" spans="1:22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4"/>
    </row>
    <row r="10" spans="1:22" x14ac:dyDescent="0.25">
      <c r="A10" s="41" t="s">
        <v>21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3"/>
    </row>
    <row r="11" spans="1:22" ht="18.75" x14ac:dyDescent="0.3">
      <c r="A11" s="50" t="s">
        <v>22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</row>
    <row r="12" spans="1:22" ht="18.75" x14ac:dyDescent="0.3">
      <c r="A12" s="50" t="s">
        <v>23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</row>
    <row r="13" spans="1:22" ht="16.5" thickBot="1" x14ac:dyDescent="0.3">
      <c r="A13" s="60" t="s">
        <v>24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2"/>
    </row>
    <row r="14" spans="1:22" ht="16.5" thickBot="1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 ht="15.75" x14ac:dyDescent="0.25">
      <c r="A15" s="63" t="s">
        <v>25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5"/>
    </row>
    <row r="16" spans="1:22" x14ac:dyDescent="0.25">
      <c r="A16" s="41" t="s">
        <v>26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3"/>
    </row>
    <row r="17" spans="1:26" ht="15.75" thickBot="1" x14ac:dyDescent="0.3">
      <c r="A17" s="78" t="s">
        <v>27</v>
      </c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80"/>
    </row>
    <row r="18" spans="1:26" x14ac:dyDescent="0.25">
      <c r="A18" s="81"/>
      <c r="B18" s="82"/>
      <c r="C18" s="82"/>
      <c r="D18" s="82"/>
      <c r="E18" s="82"/>
      <c r="F18" s="82"/>
      <c r="G18" s="82"/>
      <c r="H18" s="21"/>
      <c r="I18" s="5" t="s">
        <v>2</v>
      </c>
      <c r="J18" s="6" t="s">
        <v>28</v>
      </c>
      <c r="K18" s="21"/>
      <c r="L18" s="21"/>
      <c r="M18" s="5" t="s">
        <v>29</v>
      </c>
      <c r="N18" s="6" t="s">
        <v>30</v>
      </c>
      <c r="O18" s="6"/>
      <c r="P18" s="6"/>
      <c r="Q18" s="6"/>
      <c r="R18" s="21"/>
      <c r="S18" s="6"/>
      <c r="T18" s="6"/>
      <c r="U18" s="6"/>
      <c r="V18" s="22"/>
    </row>
    <row r="19" spans="1:26" x14ac:dyDescent="0.25">
      <c r="A19" s="83"/>
      <c r="B19" s="84"/>
      <c r="C19" s="84"/>
      <c r="D19" s="84"/>
      <c r="E19" s="84"/>
      <c r="F19" s="84"/>
      <c r="G19" s="84"/>
      <c r="H19" s="23" t="s">
        <v>1</v>
      </c>
      <c r="I19" s="10" t="s">
        <v>31</v>
      </c>
      <c r="J19" s="3" t="s">
        <v>32</v>
      </c>
      <c r="K19" s="9"/>
      <c r="L19" s="9"/>
      <c r="M19" s="10" t="s">
        <v>33</v>
      </c>
      <c r="N19" s="3" t="s">
        <v>34</v>
      </c>
      <c r="O19" s="3"/>
      <c r="P19" s="3"/>
      <c r="Q19" s="3"/>
      <c r="R19" s="9"/>
      <c r="S19" s="3"/>
      <c r="T19" s="3"/>
      <c r="U19" s="3"/>
      <c r="V19" s="24"/>
    </row>
    <row r="20" spans="1:26" ht="15.75" thickBot="1" x14ac:dyDescent="0.3">
      <c r="A20" s="78"/>
      <c r="B20" s="79"/>
      <c r="C20" s="79"/>
      <c r="D20" s="79"/>
      <c r="E20" s="79"/>
      <c r="F20" s="79"/>
      <c r="G20" s="79"/>
      <c r="H20" s="25"/>
      <c r="I20" s="11" t="s">
        <v>35</v>
      </c>
      <c r="J20" s="12" t="s">
        <v>36</v>
      </c>
      <c r="K20" s="25"/>
      <c r="L20" s="25"/>
      <c r="M20" s="12"/>
      <c r="N20" s="12"/>
      <c r="O20" s="12"/>
      <c r="P20" s="12"/>
      <c r="Q20" s="12"/>
      <c r="R20" s="25"/>
      <c r="S20" s="12"/>
      <c r="T20" s="12"/>
      <c r="U20" s="12"/>
      <c r="V20" s="26"/>
    </row>
    <row r="21" spans="1:26" x14ac:dyDescent="0.25">
      <c r="A21" s="75" t="s">
        <v>37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7"/>
    </row>
    <row r="22" spans="1:26" x14ac:dyDescent="0.25">
      <c r="A22" s="27" t="s">
        <v>38</v>
      </c>
      <c r="C22" s="1" t="s">
        <v>39</v>
      </c>
      <c r="I22" s="1" t="s">
        <v>40</v>
      </c>
      <c r="K22" s="1" t="s">
        <v>39</v>
      </c>
      <c r="P22" s="1" t="s">
        <v>41</v>
      </c>
      <c r="R22" s="1" t="s">
        <v>39</v>
      </c>
      <c r="V22" s="28"/>
    </row>
    <row r="23" spans="1:26" ht="15.75" thickBot="1" x14ac:dyDescent="0.3">
      <c r="A23" s="27" t="s">
        <v>42</v>
      </c>
      <c r="C23" s="1" t="s">
        <v>43</v>
      </c>
      <c r="I23" s="1" t="s">
        <v>42</v>
      </c>
      <c r="K23" s="1" t="s">
        <v>44</v>
      </c>
      <c r="P23" s="1" t="s">
        <v>42</v>
      </c>
      <c r="R23" s="1" t="s">
        <v>45</v>
      </c>
      <c r="V23" s="28"/>
    </row>
    <row r="24" spans="1:26" x14ac:dyDescent="0.25">
      <c r="A24" s="85" t="s">
        <v>46</v>
      </c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7"/>
    </row>
    <row r="25" spans="1:26" x14ac:dyDescent="0.25">
      <c r="A25" s="88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90"/>
    </row>
    <row r="26" spans="1:26" x14ac:dyDescent="0.25">
      <c r="A26" s="88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90"/>
      <c r="Z26" s="29"/>
    </row>
    <row r="27" spans="1:26" ht="15.75" thickBot="1" x14ac:dyDescent="0.3">
      <c r="A27" s="91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3"/>
    </row>
    <row r="28" spans="1:26" ht="15.75" thickBot="1" x14ac:dyDescent="0.3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6" ht="15.75" x14ac:dyDescent="0.25">
      <c r="A29" s="63" t="s">
        <v>25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5"/>
    </row>
    <row r="30" spans="1:26" x14ac:dyDescent="0.25">
      <c r="A30" s="41" t="s">
        <v>47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3"/>
    </row>
    <row r="31" spans="1:26" ht="15.75" thickBot="1" x14ac:dyDescent="0.3">
      <c r="A31" s="66" t="s">
        <v>48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8"/>
    </row>
    <row r="32" spans="1:26" x14ac:dyDescent="0.25">
      <c r="A32" s="69" t="s">
        <v>49</v>
      </c>
      <c r="B32" s="70"/>
      <c r="C32" s="70"/>
      <c r="D32" s="70"/>
      <c r="E32" s="70"/>
      <c r="F32" s="70"/>
      <c r="G32" s="70"/>
      <c r="H32" s="6"/>
      <c r="I32" s="30" t="s">
        <v>4</v>
      </c>
      <c r="J32" s="6" t="s">
        <v>50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1:22" x14ac:dyDescent="0.25">
      <c r="A33" s="71"/>
      <c r="B33" s="72"/>
      <c r="C33" s="72"/>
      <c r="D33" s="72"/>
      <c r="E33" s="72"/>
      <c r="F33" s="72"/>
      <c r="G33" s="72"/>
      <c r="H33" s="31" t="s">
        <v>1</v>
      </c>
      <c r="I33" s="8" t="s">
        <v>51</v>
      </c>
      <c r="J33" s="3" t="s">
        <v>52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</row>
    <row r="34" spans="1:22" ht="15.75" thickBot="1" x14ac:dyDescent="0.3">
      <c r="A34" s="73"/>
      <c r="B34" s="74"/>
      <c r="C34" s="74"/>
      <c r="D34" s="74"/>
      <c r="E34" s="74"/>
      <c r="F34" s="74"/>
      <c r="G34" s="74"/>
      <c r="H34" s="12"/>
      <c r="I34" s="11" t="s">
        <v>33</v>
      </c>
      <c r="J34" s="12" t="s">
        <v>34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</row>
    <row r="35" spans="1:22" x14ac:dyDescent="0.25">
      <c r="A35" s="75" t="s">
        <v>37</v>
      </c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7"/>
    </row>
    <row r="36" spans="1:22" ht="15.75" thickBot="1" x14ac:dyDescent="0.3">
      <c r="A36" s="27" t="s">
        <v>53</v>
      </c>
      <c r="H36" s="1" t="s">
        <v>54</v>
      </c>
      <c r="P36" s="1" t="s">
        <v>55</v>
      </c>
      <c r="V36" s="28"/>
    </row>
    <row r="37" spans="1:22" x14ac:dyDescent="0.25">
      <c r="A37" s="32" t="s">
        <v>56</v>
      </c>
      <c r="B37" s="33"/>
      <c r="C37" s="33"/>
      <c r="D37" s="33"/>
      <c r="E37" s="33"/>
      <c r="F37" s="33"/>
      <c r="G37" s="33"/>
      <c r="H37" s="33"/>
      <c r="I37" s="33"/>
      <c r="J37" s="34"/>
      <c r="K37" s="35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6"/>
    </row>
    <row r="38" spans="1:22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</row>
    <row r="39" spans="1:22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7"/>
      <c r="M39" s="3"/>
      <c r="N39" s="3"/>
      <c r="O39" s="3"/>
      <c r="P39" s="3"/>
      <c r="Q39" s="3"/>
      <c r="R39" s="3"/>
      <c r="S39" s="3"/>
      <c r="T39" s="3"/>
      <c r="U39" s="3"/>
      <c r="V39" s="4"/>
    </row>
    <row r="40" spans="1:22" ht="15.75" thickBot="1" x14ac:dyDescent="0.3">
      <c r="A40" s="15"/>
      <c r="B40" s="12"/>
      <c r="C40" s="12"/>
      <c r="D40" s="3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3"/>
    </row>
  </sheetData>
  <mergeCells count="22">
    <mergeCell ref="A30:V30"/>
    <mergeCell ref="A31:V31"/>
    <mergeCell ref="A32:G34"/>
    <mergeCell ref="A35:V35"/>
    <mergeCell ref="A17:V17"/>
    <mergeCell ref="A18:G20"/>
    <mergeCell ref="A21:V21"/>
    <mergeCell ref="A24:V24"/>
    <mergeCell ref="A25:V27"/>
    <mergeCell ref="A29:V29"/>
    <mergeCell ref="A16:V16"/>
    <mergeCell ref="A1:V2"/>
    <mergeCell ref="A3:V3"/>
    <mergeCell ref="A4:V4"/>
    <mergeCell ref="A5:V5"/>
    <mergeCell ref="A6:V6"/>
    <mergeCell ref="A7:J8"/>
    <mergeCell ref="A10:V10"/>
    <mergeCell ref="A11:V11"/>
    <mergeCell ref="A12:V12"/>
    <mergeCell ref="A13:V13"/>
    <mergeCell ref="A15:V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9BD1-DB50-4787-A6CA-3237CF9ACBB0}">
  <dimension ref="A1:T30"/>
  <sheetViews>
    <sheetView zoomScale="140" zoomScaleNormal="140" workbookViewId="0">
      <selection sqref="A1:O1"/>
    </sheetView>
  </sheetViews>
  <sheetFormatPr defaultColWidth="9.140625" defaultRowHeight="15" x14ac:dyDescent="0.25"/>
  <cols>
    <col min="1" max="16384" width="9.140625" style="1"/>
  </cols>
  <sheetData>
    <row r="1" spans="1:15" ht="15.75" thickBot="1" x14ac:dyDescent="0.3">
      <c r="A1" s="94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6"/>
    </row>
    <row r="2" spans="1:15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</row>
    <row r="10" spans="1:15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1:15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1:15" ht="15.75" thickBot="1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1:15" x14ac:dyDescent="0.25">
      <c r="A14" s="2"/>
      <c r="B14" s="3"/>
      <c r="C14" s="3"/>
      <c r="D14" s="3"/>
      <c r="E14" s="3"/>
      <c r="F14" s="3"/>
      <c r="G14" s="3"/>
      <c r="H14" s="3"/>
      <c r="I14" s="97" t="s">
        <v>1</v>
      </c>
      <c r="J14" s="5" t="s">
        <v>2</v>
      </c>
      <c r="K14" s="6" t="s">
        <v>3</v>
      </c>
      <c r="L14" s="6"/>
      <c r="M14" s="6"/>
      <c r="N14" s="7"/>
      <c r="O14" s="4"/>
    </row>
    <row r="15" spans="1:15" x14ac:dyDescent="0.25">
      <c r="A15" s="2"/>
      <c r="B15" s="3"/>
      <c r="C15" s="3"/>
      <c r="D15" s="3"/>
      <c r="E15" s="3"/>
      <c r="F15" s="3"/>
      <c r="G15" s="3"/>
      <c r="H15" s="3"/>
      <c r="I15" s="98"/>
      <c r="J15" s="8" t="s">
        <v>4</v>
      </c>
      <c r="K15" s="3" t="s">
        <v>5</v>
      </c>
      <c r="L15" s="3"/>
      <c r="M15" s="9"/>
      <c r="N15" s="4"/>
      <c r="O15" s="4"/>
    </row>
    <row r="16" spans="1:15" x14ac:dyDescent="0.25">
      <c r="A16" s="2"/>
      <c r="B16" s="3"/>
      <c r="C16" s="3"/>
      <c r="D16" s="3"/>
      <c r="E16" s="3"/>
      <c r="F16" s="3"/>
      <c r="G16" s="3"/>
      <c r="H16" s="3"/>
      <c r="I16" s="98"/>
      <c r="J16" s="10" t="s">
        <v>6</v>
      </c>
      <c r="K16" s="3" t="s">
        <v>7</v>
      </c>
      <c r="L16" s="9"/>
      <c r="M16" s="3"/>
      <c r="N16" s="4"/>
      <c r="O16" s="4"/>
    </row>
    <row r="17" spans="1:20" x14ac:dyDescent="0.25">
      <c r="A17" s="2"/>
      <c r="B17" s="3"/>
      <c r="C17" s="3"/>
      <c r="D17" s="3"/>
      <c r="E17" s="3"/>
      <c r="F17" s="3"/>
      <c r="G17" s="3"/>
      <c r="H17" s="3"/>
      <c r="I17" s="98"/>
      <c r="J17" s="10" t="s">
        <v>8</v>
      </c>
      <c r="K17" s="3" t="s">
        <v>9</v>
      </c>
      <c r="L17" s="3"/>
      <c r="M17" s="3"/>
      <c r="N17" s="4"/>
      <c r="O17" s="4"/>
    </row>
    <row r="18" spans="1:20" x14ac:dyDescent="0.25">
      <c r="A18" s="2"/>
      <c r="B18" s="3"/>
      <c r="C18" s="3"/>
      <c r="D18" s="3"/>
      <c r="E18" s="3"/>
      <c r="F18" s="3"/>
      <c r="G18" s="3"/>
      <c r="H18" s="3"/>
      <c r="I18" s="98"/>
      <c r="J18" s="10" t="s">
        <v>10</v>
      </c>
      <c r="K18" s="3" t="s">
        <v>11</v>
      </c>
      <c r="L18" s="3"/>
      <c r="M18" s="3"/>
      <c r="N18" s="4"/>
      <c r="O18" s="4"/>
    </row>
    <row r="19" spans="1:20" ht="15.75" thickBot="1" x14ac:dyDescent="0.3">
      <c r="A19" s="2"/>
      <c r="B19" s="3"/>
      <c r="C19" s="3"/>
      <c r="D19" s="3"/>
      <c r="E19" s="3"/>
      <c r="F19" s="3"/>
      <c r="G19" s="3"/>
      <c r="H19" s="3"/>
      <c r="I19" s="99"/>
      <c r="J19" s="11" t="s">
        <v>12</v>
      </c>
      <c r="K19" s="12" t="s">
        <v>13</v>
      </c>
      <c r="L19" s="12"/>
      <c r="M19" s="12"/>
      <c r="N19" s="13"/>
      <c r="O19" s="4"/>
    </row>
    <row r="20" spans="1:20" x14ac:dyDescent="0.25">
      <c r="A20" s="2"/>
      <c r="B20" s="3"/>
      <c r="C20" s="3"/>
      <c r="D20" s="3"/>
      <c r="E20" s="3"/>
      <c r="F20" s="3"/>
      <c r="G20" s="3"/>
      <c r="H20" s="3"/>
      <c r="I20" s="14"/>
      <c r="J20" s="3"/>
      <c r="K20" s="3"/>
      <c r="L20" s="3"/>
      <c r="M20" s="9"/>
      <c r="N20" s="3"/>
      <c r="O20" s="4"/>
    </row>
    <row r="21" spans="1:20" ht="15.75" thickBot="1" x14ac:dyDescent="0.3">
      <c r="A21" s="15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5" spans="1:20" x14ac:dyDescent="0.25"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x14ac:dyDescent="0.25"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x14ac:dyDescent="0.25"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x14ac:dyDescent="0.25"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x14ac:dyDescent="0.25"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x14ac:dyDescent="0.25"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</sheetData>
  <mergeCells count="2">
    <mergeCell ref="A1:O1"/>
    <mergeCell ref="I14:I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C0B4-FE79-4361-830D-23A956FB6614}">
  <dimension ref="A1:B2"/>
  <sheetViews>
    <sheetView workbookViewId="0">
      <selection activeCell="B7" sqref="B7"/>
    </sheetView>
  </sheetViews>
  <sheetFormatPr defaultRowHeight="15" x14ac:dyDescent="0.25"/>
  <cols>
    <col min="1" max="1" width="11.85546875" customWidth="1"/>
    <col min="2" max="2" width="68.5703125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59</v>
      </c>
      <c r="B2" t="str" cm="1">
        <f t="array" aca="1" ref="B2" ca="1">LEFT(CELL("имяфайла"),FIND("\[", CELL("имяфайла") )) &amp; "Data\"</f>
        <v>C:\project\2cours\excel\практика9\Data\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AFE5B8-1EC7-4B2E-9AE9-3CDD8C50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</vt:lpstr>
      <vt:lpstr>Меры</vt:lpstr>
      <vt:lpstr>F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deque(genudza)akaMelnikGennadiy</cp:lastModifiedBy>
  <dcterms:created xsi:type="dcterms:W3CDTF">2015-06-05T18:19:34Z</dcterms:created>
  <dcterms:modified xsi:type="dcterms:W3CDTF">2023-04-24T14:05:35Z</dcterms:modified>
</cp:coreProperties>
</file>