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0" windowWidth="13395" windowHeight="7620" activeTab="5"/>
  </bookViews>
  <sheets>
    <sheet name="Year End Totals" sheetId="1" r:id="rId1"/>
    <sheet name="2015" sheetId="14" r:id="rId2"/>
    <sheet name="2014" sheetId="13" r:id="rId3"/>
    <sheet name="2013" sheetId="12" r:id="rId4"/>
    <sheet name="2012" sheetId="11" r:id="rId5"/>
    <sheet name="2011" sheetId="10" r:id="rId6"/>
  </sheets>
  <calcPr calcId="145621"/>
</workbook>
</file>

<file path=xl/calcChain.xml><?xml version="1.0" encoding="utf-8"?>
<calcChain xmlns="http://schemas.openxmlformats.org/spreadsheetml/2006/main">
  <c r="O5" i="1" l="1"/>
  <c r="P5" i="1"/>
  <c r="N5" i="1"/>
  <c r="L5" i="1" l="1" a="1"/>
  <c r="L5" i="1" s="1"/>
  <c r="C18" i="1" l="1"/>
  <c r="N25" i="1" l="1"/>
  <c r="M25" i="1"/>
  <c r="N24" i="1"/>
  <c r="M24" i="1"/>
  <c r="O16" i="1"/>
  <c r="N16" i="1"/>
  <c r="M16" i="1"/>
  <c r="O15" i="1"/>
  <c r="N15" i="1"/>
  <c r="M15" i="1"/>
  <c r="O14" i="1"/>
  <c r="N14" i="1"/>
  <c r="M14" i="1"/>
  <c r="G38" i="1"/>
  <c r="F38" i="1"/>
  <c r="E38" i="1"/>
  <c r="D38" i="1"/>
  <c r="G37" i="1"/>
  <c r="F37" i="1"/>
  <c r="E37" i="1"/>
  <c r="D37" i="1"/>
  <c r="G36" i="1"/>
  <c r="F36" i="1"/>
  <c r="E36" i="1"/>
  <c r="D36" i="1"/>
  <c r="G35" i="1"/>
  <c r="F35" i="1"/>
  <c r="E35" i="1"/>
  <c r="D35" i="1"/>
  <c r="G34" i="1"/>
  <c r="F34" i="1"/>
  <c r="E34" i="1"/>
  <c r="D34" i="1"/>
  <c r="G33" i="1"/>
  <c r="F33" i="1"/>
  <c r="E33" i="1"/>
  <c r="D33" i="1"/>
  <c r="G32" i="1"/>
  <c r="F32" i="1"/>
  <c r="E32" i="1"/>
  <c r="D32" i="1"/>
  <c r="G31" i="1"/>
  <c r="F31" i="1"/>
  <c r="E31" i="1"/>
  <c r="D31" i="1"/>
  <c r="G30" i="1"/>
  <c r="F30" i="1"/>
  <c r="E30" i="1"/>
  <c r="D30" i="1"/>
  <c r="G29" i="1"/>
  <c r="F29" i="1"/>
  <c r="E29" i="1"/>
  <c r="D29" i="1"/>
  <c r="G28" i="1"/>
  <c r="F28" i="1"/>
  <c r="E28" i="1"/>
  <c r="D28" i="1"/>
  <c r="G27" i="1"/>
  <c r="F27" i="1"/>
  <c r="E27" i="1"/>
  <c r="D27" i="1"/>
  <c r="C29" i="1"/>
  <c r="C38" i="1"/>
  <c r="C37" i="1"/>
  <c r="C36" i="1"/>
  <c r="C35" i="1"/>
  <c r="C34" i="1"/>
  <c r="C33" i="1"/>
  <c r="C32" i="1"/>
  <c r="C31" i="1"/>
  <c r="C30" i="1"/>
  <c r="C28" i="1"/>
  <c r="C27" i="1"/>
  <c r="G21" i="1"/>
  <c r="G20" i="1"/>
  <c r="G19" i="1"/>
  <c r="G18" i="1"/>
  <c r="G17" i="1"/>
  <c r="G16" i="1"/>
  <c r="G15" i="1"/>
  <c r="G14" i="1"/>
  <c r="F21" i="1"/>
  <c r="F20" i="1"/>
  <c r="F19" i="1"/>
  <c r="F18" i="1"/>
  <c r="F17" i="1"/>
  <c r="F16" i="1"/>
  <c r="F15" i="1"/>
  <c r="F14" i="1"/>
  <c r="E21" i="1"/>
  <c r="E20" i="1"/>
  <c r="E19" i="1"/>
  <c r="E18" i="1"/>
  <c r="E17" i="1"/>
  <c r="E16" i="1"/>
  <c r="E15" i="1"/>
  <c r="E14" i="1"/>
  <c r="D21" i="1"/>
  <c r="D20" i="1"/>
  <c r="D19" i="1"/>
  <c r="D18" i="1"/>
  <c r="D17" i="1"/>
  <c r="D16" i="1"/>
  <c r="D15" i="1"/>
  <c r="D14" i="1"/>
  <c r="C21" i="1"/>
  <c r="C20" i="1"/>
  <c r="C19" i="1"/>
  <c r="C17" i="1"/>
  <c r="C16" i="1"/>
  <c r="C15" i="1"/>
  <c r="C14" i="1"/>
  <c r="N8" i="1" l="1"/>
  <c r="H18" i="1"/>
  <c r="N26" i="1"/>
  <c r="O25" i="1"/>
  <c r="O24" i="1"/>
  <c r="M26" i="1"/>
  <c r="P16" i="1"/>
  <c r="O17" i="1"/>
  <c r="P15" i="1"/>
  <c r="N17" i="1"/>
  <c r="P14" i="1"/>
  <c r="H38" i="1"/>
  <c r="H37" i="1"/>
  <c r="H36" i="1"/>
  <c r="H35" i="1"/>
  <c r="H34" i="1"/>
  <c r="H33" i="1"/>
  <c r="H32" i="1"/>
  <c r="H31" i="1"/>
  <c r="H30" i="1"/>
  <c r="H29" i="1"/>
  <c r="G39" i="1"/>
  <c r="F39" i="1"/>
  <c r="D39" i="1"/>
  <c r="H28" i="1"/>
  <c r="E39" i="1"/>
  <c r="H21" i="1"/>
  <c r="H17" i="1"/>
  <c r="M17" i="1"/>
  <c r="C39" i="1"/>
  <c r="H27" i="1"/>
  <c r="G22" i="1"/>
  <c r="H20" i="1"/>
  <c r="F22" i="1"/>
  <c r="H19" i="1"/>
  <c r="E22" i="1"/>
  <c r="H16" i="1"/>
  <c r="D22" i="1"/>
  <c r="C22" i="1"/>
  <c r="H22" i="1" s="1"/>
  <c r="H15" i="1"/>
  <c r="H14" i="1"/>
  <c r="K8" i="1" l="1"/>
  <c r="K5" i="1"/>
  <c r="O26" i="1"/>
  <c r="P17" i="1"/>
  <c r="H39" i="1"/>
</calcChain>
</file>

<file path=xl/sharedStrings.xml><?xml version="1.0" encoding="utf-8"?>
<sst xmlns="http://schemas.openxmlformats.org/spreadsheetml/2006/main" count="781" uniqueCount="257">
  <si>
    <t>Louisville Metropolitain Police Department</t>
  </si>
  <si>
    <t>Officer Involved Shooting Statistical Analysis Report</t>
  </si>
  <si>
    <t>Incident #</t>
  </si>
  <si>
    <t>Date of Occurrence</t>
  </si>
  <si>
    <t>Time of Occurrence</t>
  </si>
  <si>
    <t>Address of incident</t>
  </si>
  <si>
    <t>Division</t>
  </si>
  <si>
    <t>Beat</t>
  </si>
  <si>
    <t>Case Status</t>
  </si>
  <si>
    <t>Suspect Info</t>
  </si>
  <si>
    <t>Officer Info</t>
  </si>
  <si>
    <t>Narrative</t>
  </si>
  <si>
    <t>Name</t>
  </si>
  <si>
    <t>Race</t>
  </si>
  <si>
    <t>Sex</t>
  </si>
  <si>
    <t>Age</t>
  </si>
  <si>
    <t>Ethnicity</t>
  </si>
  <si>
    <t>Weapon</t>
  </si>
  <si>
    <t>Years of Service</t>
  </si>
  <si>
    <t>#</t>
  </si>
  <si>
    <t>TOTAL</t>
  </si>
  <si>
    <t>DIVISION &amp; YEAR</t>
  </si>
  <si>
    <t>MONTH &amp; YEAR</t>
  </si>
  <si>
    <t>MONTH</t>
  </si>
  <si>
    <t>January</t>
  </si>
  <si>
    <t>February</t>
  </si>
  <si>
    <t>March</t>
  </si>
  <si>
    <t>April</t>
  </si>
  <si>
    <t>May</t>
  </si>
  <si>
    <t>June</t>
  </si>
  <si>
    <t>July</t>
  </si>
  <si>
    <t>August</t>
  </si>
  <si>
    <t>September</t>
  </si>
  <si>
    <t>October</t>
  </si>
  <si>
    <t>November</t>
  </si>
  <si>
    <t>December</t>
  </si>
  <si>
    <t>A</t>
  </si>
  <si>
    <t>B</t>
  </si>
  <si>
    <t>W</t>
  </si>
  <si>
    <t>Officer Race</t>
  </si>
  <si>
    <t>Subject Race</t>
  </si>
  <si>
    <t>Subject &amp; Officer Race</t>
  </si>
  <si>
    <t>Subject &amp; Officer Sex</t>
  </si>
  <si>
    <t>Officer Sex</t>
  </si>
  <si>
    <t>Subject Sex</t>
  </si>
  <si>
    <t>F</t>
  </si>
  <si>
    <t>M</t>
  </si>
  <si>
    <t>Month</t>
  </si>
  <si>
    <t>Day</t>
  </si>
  <si>
    <t>A = ASIAN</t>
  </si>
  <si>
    <t>B = BLACK</t>
  </si>
  <si>
    <t>W = WHITE</t>
  </si>
  <si>
    <t>F = FEMALE</t>
  </si>
  <si>
    <t>M = MALE</t>
  </si>
  <si>
    <t>15-016</t>
  </si>
  <si>
    <t>OPEN</t>
  </si>
  <si>
    <t>Investigation Pending</t>
  </si>
  <si>
    <t>Investigation Type</t>
  </si>
  <si>
    <t>11-025</t>
  </si>
  <si>
    <t>PIU #</t>
  </si>
  <si>
    <t>80-15-022726</t>
  </si>
  <si>
    <t>Jonathan Locke</t>
  </si>
  <si>
    <t>Handgun</t>
  </si>
  <si>
    <t>Ofc. Lisa Nagle</t>
  </si>
  <si>
    <t>Investigation Pending  (Suspect has charges pending in court)</t>
  </si>
  <si>
    <t>15-022</t>
  </si>
  <si>
    <t>80-15-025476</t>
  </si>
  <si>
    <t>8200 Candleworth Drive</t>
  </si>
  <si>
    <t>Dustin South</t>
  </si>
  <si>
    <t>Investigation Pending  (Under Review by Commonwealth's Attorney's Office)</t>
  </si>
  <si>
    <t>15-024</t>
  </si>
  <si>
    <t>80-15-026919</t>
  </si>
  <si>
    <t>I-265 / Brownsboro Rd</t>
  </si>
  <si>
    <t>Joseph Buckman</t>
  </si>
  <si>
    <t>None</t>
  </si>
  <si>
    <t>Ofc. Nicholas Lietz</t>
  </si>
  <si>
    <t>15-043</t>
  </si>
  <si>
    <t>80-15-045302</t>
  </si>
  <si>
    <t>2601 W. Chestnut St</t>
  </si>
  <si>
    <t>4th St / Oak St</t>
  </si>
  <si>
    <t>Deng Manyoun</t>
  </si>
  <si>
    <t>Metal Pole</t>
  </si>
  <si>
    <t>Ofc. Nathan Blanford</t>
  </si>
  <si>
    <t>15-052</t>
  </si>
  <si>
    <t>300 S. 1st St</t>
  </si>
  <si>
    <t>DEATH INVESTIGATION-LMPD INVOLVED</t>
  </si>
  <si>
    <t>SHOOTING INVESTIGATION-LMPD INVOLVED</t>
  </si>
  <si>
    <t>Tyler Datillo</t>
  </si>
  <si>
    <t>Knife</t>
  </si>
  <si>
    <t>15-061</t>
  </si>
  <si>
    <t>5011 Poplar Level Rd</t>
  </si>
  <si>
    <t>DeShawn Morris</t>
  </si>
  <si>
    <t>Ofc. Sarah Goff</t>
  </si>
  <si>
    <t>1822 Appleton Ln.</t>
  </si>
  <si>
    <t>Herman Dezarn</t>
  </si>
  <si>
    <t>N</t>
  </si>
  <si>
    <t>Qfc. Zachary Cooke</t>
  </si>
  <si>
    <t>Ofc. Rondall Carpenter</t>
  </si>
  <si>
    <t>Ofc. John White</t>
  </si>
  <si>
    <t>Sgt. Jason Poston</t>
  </si>
  <si>
    <t>11-040</t>
  </si>
  <si>
    <t>3339 Ross Blvd.</t>
  </si>
  <si>
    <t>Cynthia A. Bader</t>
  </si>
  <si>
    <t>Vehicle</t>
  </si>
  <si>
    <t>Ofc. Charlie Newman</t>
  </si>
  <si>
    <t>Ofc. James R. Martin</t>
  </si>
  <si>
    <t>11-049</t>
  </si>
  <si>
    <t>18</t>
  </si>
  <si>
    <t>80-11-106048</t>
  </si>
  <si>
    <t>80-11-106050</t>
  </si>
  <si>
    <t>80-11-106051</t>
  </si>
  <si>
    <t>Travis D. Clayton</t>
  </si>
  <si>
    <t>Ofc. Michael Pawul</t>
  </si>
  <si>
    <t>11-080</t>
  </si>
  <si>
    <t>80-11-106054</t>
  </si>
  <si>
    <t>20</t>
  </si>
  <si>
    <t>1700 Nelligan Ave.</t>
  </si>
  <si>
    <t>Norman Smith</t>
  </si>
  <si>
    <t>Rifle</t>
  </si>
  <si>
    <t>Lt. Gregory Burns</t>
  </si>
  <si>
    <t>Det. Kevin Smith</t>
  </si>
  <si>
    <t>Ofc. Dennis Beatty</t>
  </si>
  <si>
    <t>Ofc. Paul Paris</t>
  </si>
  <si>
    <t>SAA</t>
  </si>
  <si>
    <t>15-023</t>
  </si>
  <si>
    <t>Continued</t>
  </si>
  <si>
    <t>15-053</t>
  </si>
  <si>
    <t>14-004</t>
  </si>
  <si>
    <t>80-14-101100</t>
  </si>
  <si>
    <t>CLOSED</t>
  </si>
  <si>
    <t>Ofc. Bryan Wilson</t>
  </si>
  <si>
    <t>3600 Block of Garland Ave</t>
  </si>
  <si>
    <t>14-040</t>
  </si>
  <si>
    <t>80-14-101103</t>
  </si>
  <si>
    <t>3100 Block of Melody Acres Ln</t>
  </si>
  <si>
    <t>Tracy McGraw</t>
  </si>
  <si>
    <t>Ofc. Brad Schuhmann</t>
  </si>
  <si>
    <t>Ofc. Michael McLaurine</t>
  </si>
  <si>
    <t>2nd Division officers responded to 3110 Melody Acres Lane on reports that a subject subsequently identified as Tracy McGraw had robbed an individual at gun point, assaulting that person and firing two (2) shots.  Officer Brad Schuhmann located Mr. McGraw near 3110 Melody Acres Lane.  Officer Schuhmann gave verbal commands for Mr. McGraw to show his hands.  Mr. McGraw fled with Ofc. Schuhmann giving chase, at which time Officer Schuhmann observed a handgun in Mr. McGraw's hand.   Officer Schuhmann observed a flash from the muzzle of Mr. McGraw's handgun as it was aimed in the direction of Officer Michael McLaurine, who had also responded to the incident.  Both Officer McLaurine and Officer Schuhmann returned fire, striking Mr. McGraw multiple times.  Neither officer was struck during the gunfire.  Mr. McGraw was transported to University of Louisville Hospital, where he died of his injuries.  A review of the investigation by the Commonwealth's Attorney's Office determined that the officers actions were appropriate in the protection of their lives and others who were at the scene.</t>
  </si>
  <si>
    <t>14-043</t>
  </si>
  <si>
    <t>80-14-101104</t>
  </si>
  <si>
    <t>605 Huntington Park Dr</t>
  </si>
  <si>
    <t>Timothy Adams</t>
  </si>
  <si>
    <t>BB Gun</t>
  </si>
  <si>
    <t>Ofc. Raphael Williams</t>
  </si>
  <si>
    <t>Ofc. Yang Kong Lee</t>
  </si>
  <si>
    <t>Ofc. Donald Hillerich</t>
  </si>
  <si>
    <t>14-088</t>
  </si>
  <si>
    <t>80-15-075891</t>
  </si>
  <si>
    <t xml:space="preserve">September </t>
  </si>
  <si>
    <t>941 Esquire Alley</t>
  </si>
  <si>
    <t>John Jolley, Jr.</t>
  </si>
  <si>
    <t>Ofc. Marc Christiansen</t>
  </si>
  <si>
    <t>6th Division officers responded to 605 Huntington Park Drive on reports of a home invasion.  Officers observed the suspect, subsequently identified as Timothy Adams, moving about the apartment through a window, waving what appeared to be a handgun over his head and at times pointing the gun at his head.  As officers attempted to persuade Mr. Adams to surrender, he pointed the weapon toward them.  Officers Raphael Williams, Yang Kong Lee and Donald Hillerich percieved a threat of deadly force and fired their duty weapons toward Mr. Adams multiple times, stiking him once.  Mr. Adams was transported to University of Louisville Hospital, surviving his injuries.  The weapon in Mr. Adams possession was determined to be a BB gun, afterward.  He was subsequently convicted of Burglary 2nd Degree, Wanton Endangerment 1st Degree, Wanton Endangerment 2nd Degree (3 counts).  A review of the investigation by the Commonwealth's Attorney's Office determined the officers acted appropriately in defending themselves against a reasonably percieved danger.</t>
  </si>
  <si>
    <t>14-090</t>
  </si>
  <si>
    <t>81-14-101101</t>
  </si>
  <si>
    <t>5020 Roaming Plains Ct</t>
  </si>
  <si>
    <t>Tracy Oglesby-Wade</t>
  </si>
  <si>
    <t>Sgt. Eric Culver</t>
  </si>
  <si>
    <t>Ofc. Brad Harris</t>
  </si>
  <si>
    <t>Sgt. Paul Humphrey</t>
  </si>
  <si>
    <t>Det. Keith Simpson</t>
  </si>
  <si>
    <t xml:space="preserve">Officer Marc Christiansen was dispatched to 941 Esquire Alley after MetroSafe received a call from that residence of domestic violence.  Officer Christiansen arrived within minutes of being dispatched where he encountered John Jolley, Jr. walking across the parking lot, followed by his girlfriend, who was holding their child.  Mr. Jolley's girlfriend warned that Mr. Jolley was in possession of gun, which he was carrying inside of a gun case.  Officer Christiansen gave verbal commands for Mr. Jolley to place the case on the hood of Jolley's vehicle, which was parked nearby.  Although Mr. Jolley initially complied, he became agitated and started to open the case.  Officer Christiansen continued to give verbal commands for Mr. Jolley to cease his actions, with his duty weapon drawn.  Mr. Jolley removed the handgun from the case and placed a magazine into the weapon, at which time Officer Christiansen fired multiple times, striking Mr. Jolley eight (8) times.  Mr. Jolley did not fire.  Mr. Jolley died at the scene.  A review of the investigation by the Commonwealth's Attorney's Office determined Officer Christiansen's actions were justified.  Mr. Jolley intentionally removed the weapon from the case, loaded it with a magazine, ingnoring clear commands by the officer to drop the weapon.  </t>
  </si>
  <si>
    <t>Members of the United States Marshal Service Task Force attempted to serve probation violation warrants on Tracy Oglesby-Wade at her residence, 5020 Roaming Plains Court.  A stand-off began at approximately 1600 hours, when Ms. Oglesby-Wade barricaded herself inside of an upstairs bedroom, along with her eighteen (18) month old son.  The LMPD Hostage Negotiating Team (HNT) and Special Weapons And Tactics (SWAT) Team responded.  During negotiations over several hours Ms. Oglesby-Wade texted photographs of herself and her son inside of the bedroom.  The photographs also dipicted a Ms. Oglesby-Wade pointing a handgun to her head.  During the stand-off, Ms. Oglesby-Wade exited the bedroom, holding the handgun to her head at the top of a stairwell.  SWAT officers, who were positioned at the foot of the stairs attempted face to face negotiations with Ms. Oglesby-Wade, pleading for her to drop the weapon.  Ms. Oglesby-Wade pointed the handgun at the SWAT officers, who responded firing multiple rounds, striking Ms. Oglesby-Wade six (6) times.  Ms. Oglesby-Wade was transported to University of Louisville Hospital where she died from her injuries.  A review of the investigation by the Commonwealth's Attorney's Office determined the officer's use of deadly force was justified based on Ms. Oglesby-Wade decision to point her weapon at the officers.</t>
  </si>
  <si>
    <t>14-099</t>
  </si>
  <si>
    <t>80-14-101102</t>
  </si>
  <si>
    <t>11005 Grafton Hall Rd</t>
  </si>
  <si>
    <t>William Chad Mattingly</t>
  </si>
  <si>
    <t>Ofc. Skylar Graudick</t>
  </si>
  <si>
    <t>Officer Rondall Carpenter and Officer Skylar Graudick were clearing from an unrelated dispatched run in the 4300 block of Tim Tam Trail, when they observed a suspicious vehicle in the area.  Officer Carpenter stopped the vehicle in the 4200 block of Glen Manor Drive to investigate.  Officer Graudick also stopped to back-up Officer Carpenter.  As they officers exited their vehicles and approched the suspect vehicle on foot, the suspect vehicle sped away, turning onto Grafton Hall Road.  The officers returned to their vehicles and attempted catch up with the suspect vehicle with their emergency equipment (lights/siren) activated.  The suspect vehicle abruptly turned into the driveway of a residence at 11005 Grafton Hall Road.  The driver, later identified as William Chad Mattingly, exited the vehicle with a handgun, firing multiple shots.  Both officers having exited their vehicle perceived that Mr. Mattingly was firing at them.  Both officers fired multiple rounds striking the suspect multiple times.  Mr. Mattingly died at the scene.  A review of the investigation by the Commonwealth's Attorney's Office determined the officers acted appropriately in defending themselves.</t>
  </si>
  <si>
    <t>Type of Investigation</t>
  </si>
  <si>
    <t>SHOOTING INVESTIGATION- LMPD INVOLVED</t>
  </si>
  <si>
    <t>4615 Taylor Blvd.</t>
  </si>
  <si>
    <t>PIU#</t>
  </si>
  <si>
    <t>12-022</t>
  </si>
  <si>
    <t>6308 Chadron Dr.</t>
  </si>
  <si>
    <t>Sean Bullock</t>
  </si>
  <si>
    <t>Ofc. Justin Witt</t>
  </si>
  <si>
    <t>12-024</t>
  </si>
  <si>
    <t>80-12-104103</t>
  </si>
  <si>
    <t>80-15-075901</t>
  </si>
  <si>
    <t>3300 Winchester Rd.</t>
  </si>
  <si>
    <t>Wayne Marion Pitts Jr.</t>
  </si>
  <si>
    <t>Ofc. Michael J. Zahradnicek</t>
  </si>
  <si>
    <t>12-033</t>
  </si>
  <si>
    <t>80-12-104104</t>
  </si>
  <si>
    <t>1016 S. 32nd St.</t>
  </si>
  <si>
    <t>Cheetara Goldsmith</t>
  </si>
  <si>
    <t>Ofc. Vadim Dale</t>
  </si>
  <si>
    <t>12-061</t>
  </si>
  <si>
    <t>80-12-104100</t>
  </si>
  <si>
    <t>413 N. 38th St.</t>
  </si>
  <si>
    <t>Darrell P. Smith</t>
  </si>
  <si>
    <t>Ofc. Eric Wampler</t>
  </si>
  <si>
    <t>12-068</t>
  </si>
  <si>
    <t>Rockford Ln. and Imperial Terrace</t>
  </si>
  <si>
    <t>William M. Derksen</t>
  </si>
  <si>
    <t>Ofc. Brandon M. Wood</t>
  </si>
  <si>
    <t>12-074</t>
  </si>
  <si>
    <t>2401 Chestnut St.</t>
  </si>
  <si>
    <t>Ismael Gough</t>
  </si>
  <si>
    <t>Ofc. Chauncey Carthan</t>
  </si>
  <si>
    <t>Officers</t>
  </si>
  <si>
    <t>Suspects</t>
  </si>
  <si>
    <t>13-042</t>
  </si>
  <si>
    <t>80-13-099982</t>
  </si>
  <si>
    <t>9109 Beulah Church Rd.</t>
  </si>
  <si>
    <t>Carlos D. Runyon</t>
  </si>
  <si>
    <t>Ofc. Russell Carver</t>
  </si>
  <si>
    <t>13-051</t>
  </si>
  <si>
    <t>80-13-099980</t>
  </si>
  <si>
    <t>6400 Greenwood Rd.</t>
  </si>
  <si>
    <t>Jevon Curry Harris</t>
  </si>
  <si>
    <t>Kayla Vandiver</t>
  </si>
  <si>
    <t>Ofc. Kevin J. Speaks</t>
  </si>
  <si>
    <t>Ofc. Bradley J. Beckham</t>
  </si>
  <si>
    <t>80-12-104101</t>
  </si>
  <si>
    <t>12-034</t>
  </si>
  <si>
    <t>3000 Kentucky St.</t>
  </si>
  <si>
    <t>UNKOWN</t>
  </si>
  <si>
    <t>Shotgun</t>
  </si>
  <si>
    <t>Ofc. Charles A. Jones</t>
  </si>
  <si>
    <t>Ofc. Jackie Miller</t>
  </si>
  <si>
    <t>SHOOTING INVESTIGATION - LMPD INVOLVED</t>
  </si>
  <si>
    <t>SHOOTING INVESTIGATIONS - LMPD INVOLVED</t>
  </si>
  <si>
    <t>ANALYSIS COVERS YEARS 2011 - 2015 (PRESENT)</t>
  </si>
  <si>
    <t>*NUMBERS REFLECT OIS CASES CREATED*</t>
  </si>
  <si>
    <t xml:space="preserve">On July 7th, 2013 at approximately 0750 hours, suspect Carlos Runyon burglarized/robbed the KFC located at 6600 Bardstown Road.  When patrol officers arrived, they observed two employees tied up inside of the restaurant.  Within minutes of the officers arrival, the suspect, armed with a revolver, exited the restaurant holding one of the employees hostage.  With the hostage in tow, the suspect fled on foot toward a residential area.  The hostage managed to escape from him within seconds of exiting the restaurant, but the suspect continued to flee.  At various points during the foot pursuit, the suspect pointed the revolver at his own head as he ran.  During the pursuit, the suspect continually disregarded verbal commands being shouted by the officers.  At one point during the foot pursuit, the suspect ran behind some houses in the 6800 block of Sherry Lane.  While in that area, officers report hearing gunshots and believed the shots were coming from the suspect's revolver.  
Officer Russell Carver was in the area on foot trying to locate the suspect when he heard a gunshot and then observed the suspect jump a fence and land in the back yard of 9109 Beulah Church Rd.  When he saw the suspect with the revolver, he shouted verbal commands for the suspect to drop the gun and get on the ground.  Officer Carver states that the suspect did not follow these orders, but instead turned toward him and pointed the revolver in his direction.  It was at this point that Officer Carver fired once with his shotgun, striking the suspect in the right shoulder.  The suspect was pronounced dead at the scene.  Commonwealth’s Attorney David Stengel reviewed the case and found no criminal conduct by the officer.
</t>
  </si>
  <si>
    <t xml:space="preserve">On August 15, 2013, Viper Unit Detectives Jody Speaks and Brad Beckham, were assisting the Viper Fugitive Unit in their search for suspects involved in the murder that occurred in Pleasure Ridge Park the week prior. Detectives Speaks and Beckham received a packet of information on two of the murder suspects, including Jevon Harris.  The packet included logistical information, known associates and photos.  After receiving information that Jevon Harris may work at a McDonald’s in the area.  The detectives went to the McDonalds at Greenwood Road and Terry Road.  They did not see Harris working, and decided to order something from McDonalds.  While waiting for their order, Detective Speaks looked out the front window and saw Jevon Harris and his girlfriend (Kayla Vandiver), in the back passenger seat of a silver Cadillac that stopped in front of the McDonalds. Detective Speaks advised Dectective Beckham that Mr. Harris was outside in a vehicle.  They approached the vehicle with their duty weapons drawn.  According to the detectives' statements, Harris points a gun out the rear window at Detective Beckham and Detective Speaks. Detectives Speaks and Beckham fired their weapons at Harris.  Harris was struck five (5) times and Vandiver was struck once in the hand.  Both subjects were transported to University of Louisville hospital and survived their injuries.      
Jevon Curry-Harris was indicted on Wanton Endangerment in the First Degree (Police Officer) and Convicted Felon in Possession of a Handgun.  Commonwealth's Attorney Tom Wine, reviewed the case and stated  no criminal charges would be sought against Detectives Beckham or Speaks.
</t>
  </si>
  <si>
    <t>3rd Division officers were dispatched to 6308 Chadron Drive on a domestic dispute.  Upon arrival, officers observed the suspect, Sean Bullock, with a rifle.  Bullock pointed the rifle at the officers.  Officer Justin Witt fired one round at the suspect.  The bullet missed the suspect, but caused the suspect to surrender without further incident.  Commonwealth’s Attorney David Stengel reviewed the case and found no criminal conduct by the officer.</t>
  </si>
  <si>
    <t xml:space="preserve">On April 29, 2012 Officer Michael Zaradnicek was involved in a shooting with a robbery suspect. Officer Zaradnicek turned onto Winchester Road and saw a subject fitting a robbery suspect description entering a cab.  Officer Zaradnicek stated he pulled his car perpendicular to the roadway, blocking the vehicles path. The officer stated that he then engaged the cab at gunpoint and ordered the suspect to exit the vehicle. The suspect was sitting in the front passenger seat.  The cab driver exited the vehicle and fled into the neighboring yards. The suspect then slid behind the wheel in the driver's seat. In these moments, Officer Zaradnicek fired a single round, apparently striking the front bumper of the cab in an attempt to disable the engine. The cab shifted into reverse and sped away from the officer down the hill of Winchester Road and came to rest against a vehicle parked in the roadway. 
The suspect exited the vehicle and fled perpendicular to the expressway, through several yards, and made his way back to Cannons Lane. Officer Zaradnicek gave chase the whole time never losing sight of the suspect. Officer Utsey and his K9 joined in on Cannons Lane and the dog apprehended the suspect. He was taken into custody without further incident. Officer Merrick and her K9 located the suspect's weapon he tossed into the bushes during his flight.
The suspect, Wayne Marion Pitts, Jr., was taken to the hospital, treated for his bites and released.  The suspect was not struck by any gunfire.   He was taken to the Robbery office for an interview. This suspect was wanted in connection with a robbery that had just occurred on Blankenbaker Parkway and was wanted in connection with several other robberies in Louisville and in Indiana.  Commonwealth’s Attorney David Stengel reviewed the case and found no criminal conduct by the officer.
</t>
  </si>
  <si>
    <t>On May 17, 2012, LMPD Officers were on the scene of previous shooting when the suspect, Ms. Cheetara Goldsmith, became involved in a verbal argument with Ms. Makeba Lee.   The suspect subsequently produced a .40 caliber handgun and shot the victim several times at close range causing her death. LMPD officers ran to the area of the shooting and ordered the suspect to drop the gun.  The suspect then turned the gun in the direction of Officer Vadim Dale who fired three (3) rounds striking the suspect three (3) times.  The suspect was transported to University of Louisville Hospital, where she survived her wounds and was subsequently transferred to Louisville Metro Corrections.  The suspect was charged with the murder of Makeba Lee and Wanton Endangerment 1st Degree. Commonwealth’s Attorney David Stengel reviewed the case and found that Officer Dale’s actions were justified as self-defense as well as defense of others.</t>
  </si>
  <si>
    <t>Officers were dispatched to the report of a shooting on 38th street.  As officers Lisa Doyle and Eric Wampler arrived in the area, they observed a subject running from the shooting scene with a gun in his hand.  Officers confronted subject, later identified as Darrell Smith,  who then turned around pointing the handgun in the officer's direction.  Officer Wampler fired four rounds at the suspect, causing the suspect to drop the gun and run.  The suspect was not struck, and was later apprehended and charged with Wanton Endangerment.   Commonwealth’s Attorney David Stengel reviewed the case and found no criminal conduct by the officer.</t>
  </si>
  <si>
    <t xml:space="preserve">Officer Brandon Wood located a stolen car that was being tracked by GPS.  While Officer Wood was speaking to the driver of the stolen car, the driver sped off.  Officer Wood fired one round at the vehicle.  The suspect later crashed the stolen vehicle and was arrested without further incident. Commonwealth’s Attorney David Stengel reviewed the case and found no criminal conduct by the officer.  </t>
  </si>
  <si>
    <t>Officers were working in an off-duty capacity at "Cole's Place" bar. While dispersing the crowd at the end of the night, the officers were fired upon and struck with what appeared to be bird shot from a shotgun. Both officers suffered minor injuries. No positive identificatin was able to be made on the shooter(s).  Without further evidence to proceed with the investigation, the case was closed, to be re-opened if new information is developed.</t>
  </si>
  <si>
    <t>On May 16, 2011, while serving a search warrant at 1822 Appleton Lane#2, Officer Newman was confronted inside the residence upon entry by Herman Dezarn, who was armed with a semi-automatic handgun. Mr. Dezarn refused to comply with orders to drop his weapon, instead raising it in the direction of Officers. He was then shot twice by Officer Newman, once in the shoulder, and once in the abdomen. Dezarn survived his wounds and was later booked into Jail and charged with two counts of Wanton Endangerment 1st - Police Officer, and trafficking in Marijuana - 8oz. to 5 lbs - 1st offense. A review of the investigation by the Commonwealth's Attorney's Office determined Officer Newman's actions to be justified.</t>
  </si>
  <si>
    <t>80-12-103389</t>
  </si>
  <si>
    <t>80-15-076203</t>
  </si>
  <si>
    <t>80-15-076206</t>
  </si>
  <si>
    <t xml:space="preserve">Officer James Martin conducted a vehicle stop of a vehicle operated by Cynthia Bader. Ms. Bader, who was aware of outstanding warrants for her arrest, provided false information to Officer Martin. Realizing her deception was uneffective, she started her vehicle and attempted to drive off while Officer Martin was in front of it. Officer Martin was struck by the vehicle and thrown on top the vehicle's hood as Ms. Bader sped away. Ofc. Martin fired one shot through the front windshield, as he was thrown from the vehicle.  Ms. Bader was not struck by the round fired by Officer Martin.  She was later arrested by U.S. Marshals and charged with Criminal Attempt Murder on Police, Fleeing and Evading and several additional charges from outstanding warrants from Bullitt Co., as well as Jefferson Co.   A review of the investigation by the Commonwealth's Attorney's Office determined Officer Martin's actions to be justified. </t>
  </si>
  <si>
    <t>Officer Pawul was responding to assist other officers in search of suspicious persons looking into vehicles.  Officer Pawul located a suspect, later identified as Travis Clayton, in the rear of Iroqouis High School.  Mr. Clayton was attempting to hide behind the press box of the baseball field.  As Officer Pawul approached  Mr. Clayton, he began firing at the officer. Officer Pawul returned fire. Niether Officer Pawul, nor Mr. Clayton were struck.  Mr. Clayton then  fled on foot. Others officers set up a perimeter and the suspect was apprehended shortly thereafter under a deck at 1102 Brookline Avenue. Mr. Clayton was charged with Criminal Attempt Murder on Police, Fleeing and Evading 1st, Resisting Arrest, and two bench warrants. A review of the investigation by the Commonwealth's Attorney's Office determined Officer Pawul's actions to be appropriate.</t>
  </si>
  <si>
    <t>Officers responding to reports of shots fired at 10th and Jefferson Street, located a suspect vehicle, which fled the scene.  A vehicular pursuit was initiated by the responding officers, which terminated at Nelligan Avenue, between 18th and 17th Street.  The suspect, later identified as Norman Smith, fired multiple rounds from a rifle at the responding officers, striking the police vehicles numerous times and causing injury to Officer Kevin Smith and Lt. Greg Burns.  The officers returned fire, causing the suspect to retreat to his vehicle, where he ultimately inflicted what was determined to be a self-inflicted gunshot wound, causing his death. Commonwealth’s Attorney David Stengel reviewed the case and found no criminal conduct by the officers.</t>
  </si>
  <si>
    <t>Detective Chauncey Carthan was operating his assigned police unmarked vehicle near 24th Street and Chestnut Street when he was involved in a confrontation with another motorist.  Detective Carthan stopped and confronted the other motorist, Ismael Gough.  During the confrontation Detective Carthan discharged his firearm striking Mr. Gough once in the leg.  Mr. Gough was transported to University of Louisville Hospital where he was treated and released.  Detective Carthan was indicted on Wanton Endangerment I, Official Misconduct II and Driving Under the Influence of Alcohol.  Detective Carthan resigned from LMPD effective November 11, 2014. He was found NOT GUILTY of Wanton Endangerment and Official Misconduct but GUILTY to Operating A Motor Vehicle Under The Influence, during a subsequent jury trial.</t>
  </si>
  <si>
    <t>Cases involve:</t>
  </si>
  <si>
    <t>Lethality:</t>
  </si>
  <si>
    <t>Lethal</t>
  </si>
  <si>
    <t>Non-lethal</t>
  </si>
  <si>
    <t>Avg cases per year</t>
  </si>
  <si>
    <t>Avg per division</t>
  </si>
  <si>
    <t>Lethal Y/N</t>
  </si>
  <si>
    <t>Y</t>
  </si>
  <si>
    <t>Self Inflicted</t>
  </si>
  <si>
    <t>YS</t>
  </si>
  <si>
    <t>Lethal Y/YS/N</t>
  </si>
  <si>
    <t>Juvenile 1</t>
  </si>
  <si>
    <t>Juvenile 2</t>
  </si>
  <si>
    <t>Officer Bryan Wilson was attempting to stop a vehicle that had fled the scene of an altercation at 35th &amp; Broadway at a high rate of speed.  After striking a curb, the suspect vehicle came to a stop in the 3600 block of Garland Avenue.  Two (2) subjects later identified as Juvenile 1 and Juvenile 2 exited the vehicle and fired three (3) shots at Officer Wilson, who returned fire, one (1) time.  Neither the suspects, nor the officer were struck by any of the rounds.  Both suspects were arrested several days following the incident.  Juvenile 1 pled GUILTY to Attempted Murder of a Police Officer.  Juvenile 2 pled GUILTY to Wanton Endangerment 1st Degree.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</si>
</sst>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9" x14ac:knownFonts="1">
    <font>
      <sz val="11"/>
      <color theme="1"/>
      <name val="Calibri"/>
      <family val="2"/>
      <scheme val="minor"/>
    </font>
    <font>
      <b/>
      <sz val="11"/>
      <color theme="1"/>
      <name val="Calibri"/>
      <family val="2"/>
      <scheme val="minor"/>
    </font>
    <font>
      <b/>
      <sz val="11"/>
      <color theme="3"/>
      <name val="Times New Roman"/>
      <family val="1"/>
    </font>
    <font>
      <b/>
      <i/>
      <sz val="11"/>
      <color rgb="FFFF0000"/>
      <name val="Times New Roman"/>
      <family val="1"/>
    </font>
    <font>
      <b/>
      <i/>
      <sz val="11"/>
      <color rgb="FFFF0000"/>
      <name val="Calibri"/>
      <family val="2"/>
      <scheme val="minor"/>
    </font>
    <font>
      <b/>
      <i/>
      <sz val="11"/>
      <color theme="3"/>
      <name val="Calibri"/>
      <family val="2"/>
      <scheme val="minor"/>
    </font>
    <font>
      <i/>
      <sz val="11"/>
      <color theme="1"/>
      <name val="Calibri"/>
      <family val="2"/>
      <scheme val="minor"/>
    </font>
    <font>
      <b/>
      <sz val="9"/>
      <color theme="1"/>
      <name val="Calibri"/>
      <family val="2"/>
      <scheme val="minor"/>
    </font>
    <font>
      <b/>
      <sz val="11"/>
      <color rgb="FFFF0000"/>
      <name val="Calibri"/>
      <family val="2"/>
      <scheme val="minor"/>
    </font>
    <font>
      <b/>
      <sz val="14"/>
      <color rgb="FFFF0000"/>
      <name val="Calibri"/>
      <family val="2"/>
      <scheme val="minor"/>
    </font>
    <font>
      <b/>
      <sz val="20"/>
      <color rgb="FFFF0000"/>
      <name val="Calibri"/>
      <family val="2"/>
      <scheme val="minor"/>
    </font>
    <font>
      <sz val="11"/>
      <color rgb="FFFF0000"/>
      <name val="Calibri"/>
      <family val="2"/>
      <scheme val="minor"/>
    </font>
    <font>
      <sz val="11"/>
      <name val="Calibri"/>
      <family val="2"/>
      <scheme val="minor"/>
    </font>
    <font>
      <b/>
      <sz val="11"/>
      <name val="Calibri"/>
      <family val="2"/>
      <scheme val="minor"/>
    </font>
    <font>
      <sz val="11"/>
      <color theme="0"/>
      <name val="Calibri"/>
      <family val="2"/>
      <scheme val="minor"/>
    </font>
    <font>
      <b/>
      <i/>
      <sz val="11"/>
      <color theme="1"/>
      <name val="Calibri"/>
      <family val="2"/>
      <scheme val="minor"/>
    </font>
    <font>
      <sz val="20"/>
      <color rgb="FFFF0000"/>
      <name val="Calibri"/>
      <family val="2"/>
      <scheme val="minor"/>
    </font>
    <font>
      <b/>
      <sz val="16"/>
      <color rgb="FFFF0000"/>
      <name val="Calibri"/>
      <family val="2"/>
      <scheme val="minor"/>
    </font>
    <font>
      <sz val="8"/>
      <color theme="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theme="3"/>
        <bgColor indexed="64"/>
      </patternFill>
    </fill>
    <fill>
      <patternFill patternType="solid">
        <fgColor rgb="FFFF0000"/>
        <bgColor indexed="64"/>
      </patternFill>
    </fill>
  </fills>
  <borders count="4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40">
    <xf numFmtId="0" fontId="0" fillId="0" borderId="0" xfId="0"/>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2" borderId="7" xfId="0" applyFill="1" applyBorder="1"/>
    <xf numFmtId="0" fontId="0" fillId="2" borderId="10" xfId="0" applyFill="1" applyBorder="1"/>
    <xf numFmtId="0" fontId="1" fillId="4" borderId="1" xfId="0" applyFont="1" applyFill="1" applyBorder="1" applyAlignment="1">
      <alignment horizontal="center" vertical="center"/>
    </xf>
    <xf numFmtId="0" fontId="4" fillId="3" borderId="5"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1" xfId="0" applyFont="1" applyFill="1" applyBorder="1" applyAlignment="1">
      <alignment horizontal="center" vertical="center"/>
    </xf>
    <xf numFmtId="0" fontId="0" fillId="0" borderId="0" xfId="0" applyBorder="1"/>
    <xf numFmtId="0" fontId="1" fillId="5" borderId="0" xfId="0" applyFont="1" applyFill="1" applyAlignment="1">
      <alignment horizontal="center" vertical="center"/>
    </xf>
    <xf numFmtId="0" fontId="0" fillId="5" borderId="0" xfId="0" applyFill="1"/>
    <xf numFmtId="0" fontId="0" fillId="0" borderId="0" xfId="0" applyAlignment="1">
      <alignment horizontal="center"/>
    </xf>
    <xf numFmtId="0" fontId="0" fillId="0" borderId="0" xfId="0" applyBorder="1" applyAlignment="1">
      <alignment horizontal="center"/>
    </xf>
    <xf numFmtId="0" fontId="0" fillId="0" borderId="17" xfId="0" applyBorder="1"/>
    <xf numFmtId="0" fontId="0" fillId="0" borderId="22" xfId="0" applyBorder="1"/>
    <xf numFmtId="0" fontId="0" fillId="0" borderId="7" xfId="0" applyBorder="1" applyAlignment="1">
      <alignment horizontal="center"/>
    </xf>
    <xf numFmtId="0" fontId="1" fillId="0" borderId="7" xfId="0" applyFont="1" applyBorder="1" applyAlignment="1">
      <alignment horizontal="center"/>
    </xf>
    <xf numFmtId="0" fontId="0" fillId="0" borderId="29" xfId="0" applyBorder="1"/>
    <xf numFmtId="0" fontId="6" fillId="4" borderId="1" xfId="0" applyFont="1" applyFill="1" applyBorder="1" applyAlignment="1">
      <alignment horizontal="center"/>
    </xf>
    <xf numFmtId="0" fontId="1" fillId="3" borderId="20"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27" xfId="0" applyFont="1" applyFill="1" applyBorder="1" applyAlignment="1">
      <alignment horizontal="center" vertical="center"/>
    </xf>
    <xf numFmtId="0" fontId="1" fillId="6" borderId="7" xfId="0" applyFont="1" applyFill="1" applyBorder="1" applyAlignment="1">
      <alignment horizontal="center"/>
    </xf>
    <xf numFmtId="0" fontId="1" fillId="2" borderId="23" xfId="0" applyFont="1" applyFill="1" applyBorder="1" applyAlignment="1">
      <alignment horizontal="center"/>
    </xf>
    <xf numFmtId="0" fontId="0" fillId="2" borderId="21" xfId="0" applyFill="1" applyBorder="1"/>
    <xf numFmtId="0" fontId="0" fillId="2" borderId="18" xfId="0" applyFill="1" applyBorder="1"/>
    <xf numFmtId="0" fontId="0" fillId="2" borderId="28" xfId="0" applyFill="1" applyBorder="1"/>
    <xf numFmtId="0" fontId="1" fillId="2" borderId="7" xfId="0" applyFont="1" applyFill="1" applyBorder="1" applyAlignment="1">
      <alignment horizontal="center"/>
    </xf>
    <xf numFmtId="0" fontId="0" fillId="2" borderId="22" xfId="0" applyFill="1" applyBorder="1"/>
    <xf numFmtId="0" fontId="0" fillId="2" borderId="17" xfId="0" applyFill="1" applyBorder="1"/>
    <xf numFmtId="0" fontId="0" fillId="2" borderId="29" xfId="0" applyFill="1" applyBorder="1"/>
    <xf numFmtId="0" fontId="0" fillId="4" borderId="1" xfId="0" applyFill="1" applyBorder="1" applyAlignment="1">
      <alignment horizontal="center"/>
    </xf>
    <xf numFmtId="0" fontId="0" fillId="0" borderId="31" xfId="0" applyBorder="1"/>
    <xf numFmtId="0" fontId="7" fillId="0" borderId="7" xfId="0" applyFont="1" applyBorder="1" applyAlignment="1">
      <alignment horizontal="left"/>
    </xf>
    <xf numFmtId="0" fontId="7" fillId="0" borderId="24" xfId="0" applyFont="1" applyBorder="1" applyAlignment="1">
      <alignment horizontal="left"/>
    </xf>
    <xf numFmtId="0" fontId="7" fillId="2" borderId="7" xfId="0" applyFont="1" applyFill="1" applyBorder="1" applyAlignment="1">
      <alignment horizontal="left"/>
    </xf>
    <xf numFmtId="0" fontId="0" fillId="4" borderId="6" xfId="0" applyFill="1" applyBorder="1" applyAlignment="1">
      <alignment horizontal="center"/>
    </xf>
    <xf numFmtId="0" fontId="6" fillId="4" borderId="6" xfId="0" applyFont="1" applyFill="1" applyBorder="1" applyAlignment="1">
      <alignment horizontal="center"/>
    </xf>
    <xf numFmtId="0" fontId="6" fillId="4" borderId="26" xfId="0" applyFont="1" applyFill="1" applyBorder="1" applyAlignment="1">
      <alignment horizontal="center"/>
    </xf>
    <xf numFmtId="0" fontId="0" fillId="0" borderId="38" xfId="0" applyBorder="1"/>
    <xf numFmtId="0" fontId="6" fillId="4" borderId="36" xfId="0" applyFont="1" applyFill="1" applyBorder="1" applyAlignment="1">
      <alignment horizontal="center"/>
    </xf>
    <xf numFmtId="0" fontId="0" fillId="0" borderId="39" xfId="0" applyBorder="1"/>
    <xf numFmtId="0" fontId="0" fillId="0" borderId="22" xfId="0" applyBorder="1" applyAlignment="1">
      <alignment horizontal="right"/>
    </xf>
    <xf numFmtId="0" fontId="8" fillId="6" borderId="0" xfId="0" applyFont="1" applyFill="1" applyBorder="1" applyAlignment="1">
      <alignment horizontal="center"/>
    </xf>
    <xf numFmtId="0" fontId="6" fillId="4" borderId="32" xfId="0" applyFont="1" applyFill="1" applyBorder="1" applyAlignment="1">
      <alignment horizontal="right"/>
    </xf>
    <xf numFmtId="0" fontId="0" fillId="2" borderId="7" xfId="0" applyFill="1" applyBorder="1" applyAlignment="1">
      <alignment horizontal="center"/>
    </xf>
    <xf numFmtId="0" fontId="0" fillId="0" borderId="17" xfId="0" applyBorder="1" applyAlignment="1">
      <alignment horizontal="right"/>
    </xf>
    <xf numFmtId="0" fontId="0" fillId="0" borderId="29" xfId="0" applyBorder="1" applyAlignment="1">
      <alignment horizontal="right"/>
    </xf>
    <xf numFmtId="0" fontId="1" fillId="3" borderId="35" xfId="0" applyFont="1" applyFill="1" applyBorder="1" applyAlignment="1">
      <alignment horizontal="center"/>
    </xf>
    <xf numFmtId="0" fontId="1" fillId="3" borderId="30" xfId="0" applyFont="1" applyFill="1" applyBorder="1" applyAlignment="1">
      <alignment horizontal="center"/>
    </xf>
    <xf numFmtId="0" fontId="1" fillId="3" borderId="37" xfId="0" applyFont="1" applyFill="1" applyBorder="1" applyAlignment="1">
      <alignment horizontal="center"/>
    </xf>
    <xf numFmtId="0" fontId="1" fillId="3" borderId="20" xfId="0" applyFont="1" applyFill="1" applyBorder="1" applyAlignment="1">
      <alignment horizontal="center"/>
    </xf>
    <xf numFmtId="0" fontId="1" fillId="3" borderId="19" xfId="0" applyFont="1" applyFill="1" applyBorder="1" applyAlignment="1">
      <alignment horizontal="center"/>
    </xf>
    <xf numFmtId="0" fontId="1" fillId="3" borderId="27" xfId="0" applyFont="1" applyFill="1" applyBorder="1" applyAlignment="1">
      <alignment horizontal="center"/>
    </xf>
    <xf numFmtId="0" fontId="1" fillId="0" borderId="24" xfId="0" applyFont="1" applyBorder="1" applyAlignment="1">
      <alignment horizontal="center"/>
    </xf>
    <xf numFmtId="0" fontId="1" fillId="3" borderId="33" xfId="0" applyFont="1" applyFill="1" applyBorder="1" applyAlignment="1">
      <alignment horizontal="center"/>
    </xf>
    <xf numFmtId="0" fontId="1" fillId="2" borderId="26" xfId="0" applyFont="1" applyFill="1" applyBorder="1" applyAlignment="1">
      <alignment horizontal="center"/>
    </xf>
    <xf numFmtId="0" fontId="1" fillId="0" borderId="26" xfId="0" applyFont="1" applyBorder="1" applyAlignment="1">
      <alignment horizontal="center"/>
    </xf>
    <xf numFmtId="0" fontId="1" fillId="3" borderId="18" xfId="0" applyFont="1" applyFill="1" applyBorder="1" applyAlignment="1">
      <alignment horizontal="center"/>
    </xf>
    <xf numFmtId="0" fontId="1" fillId="3" borderId="22" xfId="0" applyFont="1" applyFill="1" applyBorder="1" applyAlignment="1">
      <alignment horizontal="center"/>
    </xf>
    <xf numFmtId="0" fontId="1" fillId="3" borderId="31" xfId="0" applyFont="1" applyFill="1" applyBorder="1" applyAlignment="1">
      <alignment horizontal="right"/>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0" fontId="0" fillId="2" borderId="7" xfId="0" applyFill="1" applyBorder="1" applyAlignment="1">
      <alignment horizontal="right"/>
    </xf>
    <xf numFmtId="0" fontId="0" fillId="2" borderId="10" xfId="0" applyFill="1" applyBorder="1" applyAlignment="1">
      <alignment horizontal="right"/>
    </xf>
    <xf numFmtId="0" fontId="0" fillId="0" borderId="7" xfId="0" applyBorder="1" applyAlignment="1">
      <alignment horizontal="right"/>
    </xf>
    <xf numFmtId="0" fontId="0" fillId="0" borderId="10" xfId="0" applyBorder="1" applyAlignment="1">
      <alignment horizontal="right"/>
    </xf>
    <xf numFmtId="0" fontId="0" fillId="0" borderId="8" xfId="0" applyBorder="1" applyAlignment="1">
      <alignment horizontal="right"/>
    </xf>
    <xf numFmtId="0" fontId="0" fillId="0" borderId="11" xfId="0" applyBorder="1" applyAlignment="1">
      <alignment horizontal="right"/>
    </xf>
    <xf numFmtId="0" fontId="0" fillId="0" borderId="25" xfId="0" applyBorder="1" applyAlignment="1">
      <alignment horizontal="right"/>
    </xf>
    <xf numFmtId="0" fontId="6" fillId="0" borderId="0" xfId="0" applyFont="1" applyBorder="1" applyAlignment="1">
      <alignment horizontal="center"/>
    </xf>
    <xf numFmtId="0" fontId="0" fillId="2" borderId="7" xfId="0" applyFill="1" applyBorder="1" applyAlignment="1">
      <alignment wrapText="1"/>
    </xf>
    <xf numFmtId="0" fontId="0" fillId="0" borderId="7" xfId="0" applyBorder="1" applyAlignment="1">
      <alignment wrapText="1"/>
    </xf>
    <xf numFmtId="0" fontId="0" fillId="0" borderId="8" xfId="0" applyBorder="1" applyAlignment="1">
      <alignment wrapText="1"/>
    </xf>
    <xf numFmtId="0" fontId="10" fillId="3" borderId="1" xfId="0" applyFont="1" applyFill="1" applyBorder="1" applyAlignment="1">
      <alignment horizontal="center"/>
    </xf>
    <xf numFmtId="0" fontId="10" fillId="3" borderId="34" xfId="0" applyFont="1" applyFill="1" applyBorder="1" applyAlignment="1">
      <alignment horizontal="center"/>
    </xf>
    <xf numFmtId="0" fontId="9" fillId="3" borderId="34" xfId="0" applyFont="1" applyFill="1" applyBorder="1" applyAlignment="1">
      <alignment horizontal="center"/>
    </xf>
    <xf numFmtId="0" fontId="0" fillId="2" borderId="10" xfId="0" applyFill="1"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1" fillId="4" borderId="0" xfId="0" applyFont="1" applyFill="1" applyAlignment="1">
      <alignment horizontal="center"/>
    </xf>
    <xf numFmtId="0" fontId="8" fillId="2" borderId="7" xfId="0" applyFont="1" applyFill="1" applyBorder="1"/>
    <xf numFmtId="0" fontId="0" fillId="2" borderId="7" xfId="0" applyFill="1" applyBorder="1" applyAlignment="1">
      <alignment horizontal="center" wrapText="1"/>
    </xf>
    <xf numFmtId="0" fontId="8" fillId="0" borderId="7" xfId="0" applyFont="1" applyBorder="1"/>
    <xf numFmtId="0" fontId="0" fillId="0" borderId="7" xfId="0" applyBorder="1" applyAlignment="1">
      <alignment horizontal="center" wrapText="1"/>
    </xf>
    <xf numFmtId="0" fontId="8" fillId="0" borderId="8" xfId="0" applyFont="1" applyBorder="1"/>
    <xf numFmtId="164" fontId="0" fillId="2" borderId="7" xfId="0" applyNumberFormat="1" applyFill="1" applyBorder="1" applyAlignment="1">
      <alignment horizontal="center"/>
    </xf>
    <xf numFmtId="164" fontId="0" fillId="0" borderId="7" xfId="0" applyNumberFormat="1" applyBorder="1" applyAlignment="1">
      <alignment horizontal="center"/>
    </xf>
    <xf numFmtId="164" fontId="0" fillId="0" borderId="8" xfId="0" applyNumberFormat="1" applyBorder="1" applyAlignment="1">
      <alignment horizontal="center"/>
    </xf>
    <xf numFmtId="0" fontId="0" fillId="0" borderId="8" xfId="0" applyBorder="1" applyAlignment="1">
      <alignment horizontal="center" wrapText="1"/>
    </xf>
    <xf numFmtId="49" fontId="0" fillId="2" borderId="10" xfId="0" applyNumberFormat="1" applyFill="1" applyBorder="1" applyAlignment="1">
      <alignment horizontal="center"/>
    </xf>
    <xf numFmtId="49" fontId="0" fillId="0" borderId="10" xfId="0" applyNumberFormat="1" applyBorder="1" applyAlignment="1">
      <alignment horizontal="center"/>
    </xf>
    <xf numFmtId="49" fontId="0" fillId="0" borderId="11" xfId="0" applyNumberFormat="1" applyBorder="1" applyAlignment="1">
      <alignment horizontal="center"/>
    </xf>
    <xf numFmtId="20" fontId="0" fillId="2" borderId="10" xfId="0" applyNumberFormat="1" applyFill="1" applyBorder="1" applyAlignment="1">
      <alignment horizontal="center"/>
    </xf>
    <xf numFmtId="0" fontId="11" fillId="2" borderId="10" xfId="0" applyFont="1" applyFill="1" applyBorder="1"/>
    <xf numFmtId="0" fontId="11" fillId="2" borderId="7" xfId="0" applyFont="1" applyFill="1" applyBorder="1"/>
    <xf numFmtId="0" fontId="11" fillId="0" borderId="7" xfId="0" applyFont="1" applyFill="1" applyBorder="1"/>
    <xf numFmtId="0" fontId="11" fillId="0" borderId="10" xfId="0" applyFont="1" applyFill="1" applyBorder="1"/>
    <xf numFmtId="0" fontId="0" fillId="0" borderId="7" xfId="0" applyFill="1" applyBorder="1"/>
    <xf numFmtId="0" fontId="0" fillId="0" borderId="7" xfId="0" applyFill="1" applyBorder="1" applyAlignment="1">
      <alignment horizontal="center"/>
    </xf>
    <xf numFmtId="0" fontId="0" fillId="0" borderId="10" xfId="0" applyFill="1" applyBorder="1" applyAlignment="1">
      <alignment horizontal="center"/>
    </xf>
    <xf numFmtId="0" fontId="8" fillId="0" borderId="6" xfId="0" applyFont="1" applyBorder="1" applyAlignment="1">
      <alignment vertical="top"/>
    </xf>
    <xf numFmtId="0" fontId="0" fillId="0" borderId="9" xfId="0" applyBorder="1" applyAlignment="1">
      <alignment vertical="top"/>
    </xf>
    <xf numFmtId="0" fontId="0" fillId="0" borderId="6" xfId="0" applyBorder="1" applyAlignment="1">
      <alignment horizontal="right" vertical="top"/>
    </xf>
    <xf numFmtId="0" fontId="0" fillId="0" borderId="9" xfId="0" applyBorder="1" applyAlignment="1">
      <alignment horizontal="right" vertical="top"/>
    </xf>
    <xf numFmtId="0" fontId="0" fillId="0" borderId="6" xfId="0" applyBorder="1" applyAlignment="1">
      <alignment vertical="top"/>
    </xf>
    <xf numFmtId="0" fontId="0" fillId="0" borderId="6" xfId="0" applyBorder="1" applyAlignment="1">
      <alignment vertical="top" wrapText="1"/>
    </xf>
    <xf numFmtId="0" fontId="0" fillId="0" borderId="6" xfId="0" applyBorder="1" applyAlignment="1">
      <alignment horizontal="center" vertical="top"/>
    </xf>
    <xf numFmtId="0" fontId="0" fillId="0" borderId="9" xfId="0" applyBorder="1" applyAlignment="1">
      <alignment horizontal="center" vertical="top"/>
    </xf>
    <xf numFmtId="0" fontId="8" fillId="2" borderId="7" xfId="0" applyFont="1" applyFill="1" applyBorder="1" applyAlignment="1">
      <alignment vertical="top"/>
    </xf>
    <xf numFmtId="0" fontId="12" fillId="2" borderId="10" xfId="0" applyFont="1" applyFill="1" applyBorder="1" applyAlignment="1">
      <alignment vertical="top"/>
    </xf>
    <xf numFmtId="0" fontId="0" fillId="2" borderId="7" xfId="0" applyFill="1" applyBorder="1" applyAlignment="1">
      <alignment horizontal="right" vertical="top"/>
    </xf>
    <xf numFmtId="0" fontId="0" fillId="2" borderId="10" xfId="0" applyFill="1" applyBorder="1" applyAlignment="1">
      <alignment horizontal="right" vertical="top"/>
    </xf>
    <xf numFmtId="0" fontId="0" fillId="2" borderId="7" xfId="0" applyFill="1" applyBorder="1" applyAlignment="1">
      <alignment vertical="top"/>
    </xf>
    <xf numFmtId="0" fontId="0" fillId="2" borderId="7" xfId="0" applyFill="1" applyBorder="1" applyAlignment="1">
      <alignment vertical="top" wrapText="1"/>
    </xf>
    <xf numFmtId="0" fontId="0" fillId="2" borderId="7" xfId="0" applyFill="1" applyBorder="1" applyAlignment="1">
      <alignment horizontal="center" vertical="top"/>
    </xf>
    <xf numFmtId="0" fontId="0" fillId="2" borderId="10" xfId="0" applyFill="1" applyBorder="1" applyAlignment="1">
      <alignment horizontal="center" vertical="top"/>
    </xf>
    <xf numFmtId="0" fontId="0" fillId="0" borderId="7" xfId="0" applyBorder="1" applyAlignment="1">
      <alignment vertical="top"/>
    </xf>
    <xf numFmtId="0" fontId="0" fillId="0" borderId="10" xfId="0" applyBorder="1" applyAlignment="1">
      <alignment vertical="top"/>
    </xf>
    <xf numFmtId="0" fontId="0" fillId="0" borderId="7" xfId="0" applyBorder="1" applyAlignment="1">
      <alignment horizontal="right" vertical="top"/>
    </xf>
    <xf numFmtId="0" fontId="0" fillId="0" borderId="10" xfId="0" applyBorder="1" applyAlignment="1">
      <alignment horizontal="right" vertical="top"/>
    </xf>
    <xf numFmtId="0" fontId="0" fillId="0" borderId="7" xfId="0" applyBorder="1" applyAlignment="1">
      <alignment horizontal="center" vertical="top"/>
    </xf>
    <xf numFmtId="0" fontId="0" fillId="0" borderId="10" xfId="0" applyBorder="1" applyAlignment="1">
      <alignment horizontal="center" vertical="top"/>
    </xf>
    <xf numFmtId="0" fontId="0" fillId="2" borderId="10" xfId="0" applyFill="1" applyBorder="1" applyAlignment="1">
      <alignment vertical="top"/>
    </xf>
    <xf numFmtId="0" fontId="11" fillId="0" borderId="7" xfId="0" applyFont="1" applyBorder="1" applyAlignment="1">
      <alignment vertical="top"/>
    </xf>
    <xf numFmtId="0" fontId="8" fillId="0" borderId="7" xfId="0" applyFont="1" applyBorder="1" applyAlignment="1">
      <alignment vertical="top"/>
    </xf>
    <xf numFmtId="0" fontId="12" fillId="0" borderId="10" xfId="0" applyFont="1" applyBorder="1" applyAlignment="1">
      <alignment vertical="top"/>
    </xf>
    <xf numFmtId="20" fontId="0" fillId="0" borderId="9" xfId="0" applyNumberFormat="1" applyBorder="1" applyAlignment="1">
      <alignment horizontal="center" vertical="top"/>
    </xf>
    <xf numFmtId="20" fontId="0" fillId="2" borderId="10" xfId="0" applyNumberFormat="1" applyFill="1" applyBorder="1" applyAlignment="1">
      <alignment horizontal="center" vertical="top"/>
    </xf>
    <xf numFmtId="20" fontId="0" fillId="0" borderId="10" xfId="0" applyNumberFormat="1" applyBorder="1" applyAlignment="1">
      <alignment horizontal="center" vertical="top"/>
    </xf>
    <xf numFmtId="0" fontId="0" fillId="0" borderId="7" xfId="0" applyBorder="1" applyAlignment="1">
      <alignment vertical="top" wrapText="1"/>
    </xf>
    <xf numFmtId="0" fontId="11" fillId="0" borderId="10" xfId="0" applyFont="1" applyBorder="1" applyAlignment="1">
      <alignment vertical="top"/>
    </xf>
    <xf numFmtId="0" fontId="11" fillId="2" borderId="7" xfId="0" applyFont="1" applyFill="1" applyBorder="1" applyAlignment="1">
      <alignment vertical="top"/>
    </xf>
    <xf numFmtId="0" fontId="11" fillId="2" borderId="10" xfId="0" applyFont="1" applyFill="1" applyBorder="1" applyAlignment="1">
      <alignment vertical="top"/>
    </xf>
    <xf numFmtId="0" fontId="0" fillId="2" borderId="7" xfId="0" applyFill="1" applyBorder="1" applyAlignment="1">
      <alignment horizontal="center" vertical="top" wrapText="1"/>
    </xf>
    <xf numFmtId="0" fontId="0" fillId="2" borderId="10" xfId="0" applyFill="1" applyBorder="1" applyAlignment="1">
      <alignment horizontal="center" vertical="top" wrapText="1"/>
    </xf>
    <xf numFmtId="0" fontId="0" fillId="0" borderId="23" xfId="0" applyBorder="1" applyAlignment="1">
      <alignment vertical="top" wrapText="1"/>
    </xf>
    <xf numFmtId="0" fontId="0" fillId="0" borderId="7" xfId="0" applyFill="1" applyBorder="1" applyAlignment="1">
      <alignment vertical="top" wrapText="1"/>
    </xf>
    <xf numFmtId="0" fontId="0" fillId="0" borderId="7" xfId="0" applyBorder="1" applyAlignment="1">
      <alignment horizontal="center" vertical="top" wrapText="1"/>
    </xf>
    <xf numFmtId="0" fontId="0" fillId="0" borderId="10" xfId="0" applyBorder="1" applyAlignment="1">
      <alignment horizontal="center" vertical="top" wrapText="1"/>
    </xf>
    <xf numFmtId="0" fontId="13" fillId="4" borderId="0" xfId="0" applyFont="1" applyFill="1" applyAlignment="1">
      <alignment horizontal="center"/>
    </xf>
    <xf numFmtId="164" fontId="0" fillId="0" borderId="6" xfId="0" applyNumberFormat="1" applyBorder="1" applyAlignment="1">
      <alignment horizontal="center" vertical="top"/>
    </xf>
    <xf numFmtId="49" fontId="0" fillId="0" borderId="9" xfId="0" applyNumberFormat="1" applyBorder="1" applyAlignment="1">
      <alignment horizontal="center" vertical="top"/>
    </xf>
    <xf numFmtId="0" fontId="0" fillId="0" borderId="6" xfId="0" applyBorder="1" applyAlignment="1">
      <alignment horizontal="center" vertical="top" wrapText="1"/>
    </xf>
    <xf numFmtId="164" fontId="0" fillId="2" borderId="7" xfId="0" applyNumberFormat="1" applyFill="1" applyBorder="1" applyAlignment="1">
      <alignment horizontal="center" vertical="top"/>
    </xf>
    <xf numFmtId="49" fontId="0" fillId="2" borderId="10" xfId="0" applyNumberFormat="1" applyFill="1" applyBorder="1" applyAlignment="1">
      <alignment horizontal="center" vertical="top"/>
    </xf>
    <xf numFmtId="164" fontId="0" fillId="0" borderId="7" xfId="0" applyNumberFormat="1" applyBorder="1" applyAlignment="1">
      <alignment horizontal="center" vertical="top"/>
    </xf>
    <xf numFmtId="49" fontId="0" fillId="0" borderId="10" xfId="0" applyNumberFormat="1" applyBorder="1" applyAlignment="1">
      <alignment horizontal="center" vertical="top"/>
    </xf>
    <xf numFmtId="0" fontId="0" fillId="0" borderId="6" xfId="0" applyBorder="1" applyAlignment="1">
      <alignment horizontal="left" vertical="top"/>
    </xf>
    <xf numFmtId="0" fontId="0" fillId="2" borderId="7" xfId="0" applyFill="1"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xf>
    <xf numFmtId="0" fontId="0" fillId="0" borderId="6" xfId="0" applyBorder="1" applyAlignment="1">
      <alignment wrapText="1"/>
    </xf>
    <xf numFmtId="0" fontId="9" fillId="0" borderId="0" xfId="0" applyFont="1" applyBorder="1" applyAlignment="1">
      <alignment vertical="center"/>
    </xf>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8" fillId="0" borderId="8" xfId="0" applyFont="1" applyBorder="1" applyAlignment="1">
      <alignment vertical="top"/>
    </xf>
    <xf numFmtId="0" fontId="0" fillId="0" borderId="11" xfId="0" applyBorder="1" applyAlignment="1">
      <alignment vertical="top"/>
    </xf>
    <xf numFmtId="0" fontId="0" fillId="0" borderId="8" xfId="0" applyBorder="1" applyAlignment="1">
      <alignment horizontal="center" vertical="top"/>
    </xf>
    <xf numFmtId="0" fontId="0" fillId="0" borderId="11" xfId="0" applyBorder="1" applyAlignment="1">
      <alignment horizontal="center" vertical="top"/>
    </xf>
    <xf numFmtId="0" fontId="0" fillId="0" borderId="8" xfId="0" applyBorder="1" applyAlignment="1">
      <alignment vertical="top"/>
    </xf>
    <xf numFmtId="0" fontId="1" fillId="5" borderId="0" xfId="0" applyFont="1" applyFill="1"/>
    <xf numFmtId="0" fontId="8" fillId="2" borderId="7" xfId="0" applyFont="1" applyFill="1" applyBorder="1" applyAlignment="1">
      <alignment horizontal="center" vertical="top"/>
    </xf>
    <xf numFmtId="0" fontId="8" fillId="0" borderId="7" xfId="0" applyFont="1" applyBorder="1" applyAlignment="1">
      <alignment horizontal="center" vertical="top"/>
    </xf>
    <xf numFmtId="0" fontId="8" fillId="2" borderId="7" xfId="0" applyFont="1" applyFill="1" applyBorder="1" applyAlignment="1">
      <alignment horizontal="center"/>
    </xf>
    <xf numFmtId="0" fontId="1" fillId="0" borderId="0" xfId="0" applyFont="1"/>
    <xf numFmtId="0" fontId="1" fillId="4"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0" fillId="0" borderId="8" xfId="0" applyBorder="1" applyAlignment="1">
      <alignment vertical="top" wrapText="1"/>
    </xf>
    <xf numFmtId="0" fontId="0" fillId="0" borderId="0" xfId="0" applyAlignment="1">
      <alignment wrapText="1"/>
    </xf>
    <xf numFmtId="0" fontId="0" fillId="2" borderId="6" xfId="0" applyFill="1" applyBorder="1" applyAlignment="1">
      <alignment vertical="top" wrapText="1"/>
    </xf>
    <xf numFmtId="0" fontId="0" fillId="2" borderId="6" xfId="0" applyFill="1" applyBorder="1" applyAlignment="1">
      <alignment horizontal="center" vertical="top" wrapText="1"/>
    </xf>
    <xf numFmtId="0" fontId="14" fillId="7" borderId="5" xfId="0" applyFont="1" applyFill="1" applyBorder="1" applyAlignment="1">
      <alignment horizontal="center"/>
    </xf>
    <xf numFmtId="0" fontId="0" fillId="8" borderId="1" xfId="0" applyFill="1" applyBorder="1" applyAlignment="1">
      <alignment horizontal="center"/>
    </xf>
    <xf numFmtId="0" fontId="8" fillId="0" borderId="6" xfId="0" applyFont="1" applyBorder="1" applyAlignment="1">
      <alignment horizontal="center" vertical="top"/>
    </xf>
    <xf numFmtId="0" fontId="1" fillId="4" borderId="4" xfId="0" applyFont="1" applyFill="1" applyBorder="1" applyAlignment="1">
      <alignment horizontal="center" vertical="center"/>
    </xf>
    <xf numFmtId="0" fontId="8" fillId="6" borderId="7" xfId="0" applyFont="1" applyFill="1" applyBorder="1" applyAlignment="1">
      <alignment horizontal="center" vertical="top"/>
    </xf>
    <xf numFmtId="0" fontId="0" fillId="6" borderId="10" xfId="0" applyFill="1" applyBorder="1" applyAlignment="1">
      <alignment horizontal="center" vertical="top"/>
    </xf>
    <xf numFmtId="0" fontId="0" fillId="6" borderId="7" xfId="0" applyFill="1" applyBorder="1" applyAlignment="1">
      <alignment horizontal="center" vertical="top"/>
    </xf>
    <xf numFmtId="20" fontId="0" fillId="6" borderId="10" xfId="0" applyNumberFormat="1" applyFill="1" applyBorder="1" applyAlignment="1">
      <alignment horizontal="center" vertical="top"/>
    </xf>
    <xf numFmtId="0" fontId="0" fillId="6" borderId="6" xfId="0" applyFill="1" applyBorder="1" applyAlignment="1">
      <alignment horizontal="center" vertical="top" wrapText="1"/>
    </xf>
    <xf numFmtId="0" fontId="0" fillId="6" borderId="7" xfId="0" applyFill="1" applyBorder="1" applyAlignment="1">
      <alignment wrapText="1"/>
    </xf>
    <xf numFmtId="0" fontId="8" fillId="6" borderId="7" xfId="0" applyFont="1" applyFill="1" applyBorder="1" applyAlignment="1">
      <alignment horizontal="center"/>
    </xf>
    <xf numFmtId="0" fontId="0" fillId="6" borderId="7" xfId="0" applyFill="1" applyBorder="1" applyAlignment="1">
      <alignment horizontal="center"/>
    </xf>
    <xf numFmtId="0" fontId="0" fillId="6" borderId="10" xfId="0" applyFill="1" applyBorder="1" applyAlignment="1">
      <alignment horizontal="center"/>
    </xf>
    <xf numFmtId="0" fontId="0" fillId="6" borderId="7" xfId="0" applyFill="1" applyBorder="1" applyAlignment="1">
      <alignment horizontal="center" wrapText="1"/>
    </xf>
    <xf numFmtId="0" fontId="11" fillId="2" borderId="10" xfId="0" applyFont="1" applyFill="1" applyBorder="1" applyAlignment="1">
      <alignment horizontal="center"/>
    </xf>
    <xf numFmtId="0" fontId="0" fillId="6" borderId="24" xfId="0" applyFill="1" applyBorder="1" applyAlignment="1">
      <alignment horizontal="center" vertical="top"/>
    </xf>
    <xf numFmtId="0" fontId="0" fillId="6" borderId="23" xfId="0" applyFill="1" applyBorder="1" applyAlignment="1">
      <alignment horizontal="center" vertical="top"/>
    </xf>
    <xf numFmtId="0" fontId="8" fillId="2" borderId="8" xfId="0" applyFont="1" applyFill="1" applyBorder="1" applyAlignment="1">
      <alignment horizontal="center"/>
    </xf>
    <xf numFmtId="0" fontId="0" fillId="2" borderId="11" xfId="0" applyFill="1" applyBorder="1" applyAlignment="1">
      <alignment horizontal="center"/>
    </xf>
    <xf numFmtId="0" fontId="0" fillId="2" borderId="8" xfId="0" applyFill="1" applyBorder="1" applyAlignment="1">
      <alignment horizontal="center"/>
    </xf>
    <xf numFmtId="0" fontId="0" fillId="2" borderId="8" xfId="0" applyFill="1" applyBorder="1" applyAlignment="1">
      <alignment horizontal="center" wrapText="1"/>
    </xf>
    <xf numFmtId="0" fontId="0" fillId="2" borderId="8" xfId="0" applyFill="1" applyBorder="1" applyAlignment="1">
      <alignment wrapText="1"/>
    </xf>
    <xf numFmtId="0" fontId="14" fillId="7" borderId="1" xfId="0" applyFont="1" applyFill="1" applyBorder="1" applyAlignment="1">
      <alignment horizontal="center"/>
    </xf>
    <xf numFmtId="0" fontId="5" fillId="5" borderId="0" xfId="0" applyFont="1" applyFill="1" applyBorder="1" applyAlignment="1">
      <alignment horizontal="center" vertical="center"/>
    </xf>
    <xf numFmtId="0" fontId="11" fillId="2" borderId="7" xfId="0" applyFont="1" applyFill="1" applyBorder="1" applyAlignment="1">
      <alignment horizontal="center" vertical="top" wrapText="1"/>
    </xf>
    <xf numFmtId="0" fontId="11" fillId="0" borderId="7" xfId="0" applyFont="1" applyBorder="1" applyAlignment="1">
      <alignment horizontal="center" vertical="top" wrapText="1"/>
    </xf>
    <xf numFmtId="0" fontId="11" fillId="2" borderId="7" xfId="0" applyFont="1" applyFill="1" applyBorder="1" applyAlignment="1">
      <alignment horizontal="center"/>
    </xf>
    <xf numFmtId="0" fontId="11" fillId="0" borderId="7" xfId="0" applyFont="1" applyBorder="1" applyAlignment="1">
      <alignment horizontal="center" vertical="top"/>
    </xf>
    <xf numFmtId="0" fontId="11" fillId="2" borderId="7" xfId="0" applyFont="1" applyFill="1" applyBorder="1" applyAlignment="1">
      <alignment horizontal="center" vertical="top"/>
    </xf>
    <xf numFmtId="0" fontId="17" fillId="0" borderId="1" xfId="0" applyFont="1" applyBorder="1" applyAlignment="1">
      <alignment horizontal="center" vertical="center"/>
    </xf>
    <xf numFmtId="0" fontId="18" fillId="5" borderId="1" xfId="0" applyFont="1" applyFill="1" applyBorder="1" applyAlignment="1">
      <alignment horizontal="center"/>
    </xf>
    <xf numFmtId="0" fontId="0" fillId="2" borderId="7" xfId="0" applyFont="1" applyFill="1" applyBorder="1" applyAlignment="1">
      <alignment horizontal="center" vertical="top"/>
    </xf>
    <xf numFmtId="0" fontId="0" fillId="0" borderId="23" xfId="0" applyFont="1" applyBorder="1" applyAlignment="1">
      <alignment horizontal="center" vertical="top"/>
    </xf>
    <xf numFmtId="0" fontId="16" fillId="0" borderId="12" xfId="0" applyFont="1" applyBorder="1" applyAlignment="1">
      <alignment horizontal="center"/>
    </xf>
    <xf numFmtId="0" fontId="16" fillId="0" borderId="14" xfId="0" applyFont="1" applyBorder="1" applyAlignment="1">
      <alignment horizontal="center"/>
    </xf>
    <xf numFmtId="0" fontId="16" fillId="0" borderId="40" xfId="0" applyFont="1" applyBorder="1" applyAlignment="1">
      <alignment horizontal="center"/>
    </xf>
    <xf numFmtId="0" fontId="16" fillId="0" borderId="41" xfId="0" applyFont="1" applyBorder="1" applyAlignment="1">
      <alignment horizontal="center"/>
    </xf>
    <xf numFmtId="0" fontId="8" fillId="4" borderId="2" xfId="0" applyFont="1" applyFill="1" applyBorder="1" applyAlignment="1">
      <alignment horizontal="center"/>
    </xf>
    <xf numFmtId="0" fontId="8" fillId="4" borderId="3" xfId="0" applyFont="1" applyFill="1" applyBorder="1" applyAlignment="1">
      <alignment horizontal="center"/>
    </xf>
    <xf numFmtId="0" fontId="8" fillId="4" borderId="4" xfId="0" applyFont="1" applyFill="1" applyBorder="1" applyAlignment="1">
      <alignment horizontal="center"/>
    </xf>
    <xf numFmtId="0" fontId="6" fillId="0" borderId="13" xfId="0" applyFont="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6" fillId="0" borderId="37" xfId="0" applyFont="1" applyBorder="1" applyAlignment="1">
      <alignment horizontal="center"/>
    </xf>
    <xf numFmtId="0" fontId="6" fillId="0" borderId="35" xfId="0" applyFont="1" applyBorder="1" applyAlignment="1">
      <alignment horizontal="center"/>
    </xf>
    <xf numFmtId="0" fontId="2" fillId="0" borderId="0" xfId="0" applyFont="1" applyAlignment="1">
      <alignment horizontal="center"/>
    </xf>
    <xf numFmtId="0" fontId="3" fillId="0" borderId="0" xfId="0" applyFont="1" applyAlignment="1">
      <alignment horizontal="center"/>
    </xf>
    <xf numFmtId="0" fontId="1" fillId="4" borderId="5" xfId="0" applyFont="1" applyFill="1" applyBorder="1" applyAlignment="1">
      <alignment horizontal="center" vertical="center" textRotation="90"/>
    </xf>
    <xf numFmtId="0" fontId="1" fillId="4" borderId="15" xfId="0" applyFont="1" applyFill="1" applyBorder="1" applyAlignment="1">
      <alignment horizontal="center" vertical="center" textRotation="90"/>
    </xf>
    <xf numFmtId="0" fontId="1" fillId="4" borderId="16" xfId="0" applyFont="1" applyFill="1" applyBorder="1" applyAlignment="1">
      <alignment horizontal="center" vertical="center" textRotation="90"/>
    </xf>
    <xf numFmtId="0" fontId="15" fillId="0" borderId="2" xfId="0" applyFont="1" applyBorder="1" applyAlignment="1">
      <alignment horizontal="center"/>
    </xf>
    <xf numFmtId="0" fontId="15" fillId="0" borderId="3" xfId="0" applyFont="1" applyBorder="1" applyAlignment="1">
      <alignment horizontal="center"/>
    </xf>
    <xf numFmtId="0" fontId="15" fillId="0" borderId="4" xfId="0" applyFont="1" applyBorder="1" applyAlignment="1">
      <alignment horizontal="center"/>
    </xf>
    <xf numFmtId="0" fontId="15" fillId="3" borderId="2" xfId="0" applyFont="1" applyFill="1" applyBorder="1" applyAlignment="1">
      <alignment horizontal="center"/>
    </xf>
    <xf numFmtId="0" fontId="15" fillId="3" borderId="4" xfId="0" applyFont="1" applyFill="1" applyBorder="1" applyAlignment="1">
      <alignment horizontal="center"/>
    </xf>
    <xf numFmtId="0" fontId="10" fillId="0" borderId="12" xfId="0" applyFont="1" applyBorder="1" applyAlignment="1">
      <alignment horizontal="center"/>
    </xf>
    <xf numFmtId="0" fontId="10" fillId="0" borderId="14" xfId="0" applyFont="1" applyBorder="1" applyAlignment="1">
      <alignment horizontal="center"/>
    </xf>
    <xf numFmtId="0" fontId="10" fillId="0" borderId="40" xfId="0" applyFont="1" applyBorder="1" applyAlignment="1">
      <alignment horizontal="center"/>
    </xf>
    <xf numFmtId="0" fontId="10" fillId="0" borderId="41" xfId="0" applyFont="1" applyBorder="1" applyAlignment="1">
      <alignment horizont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v>Officer Race</c:v>
          </c:tx>
          <c:cat>
            <c:strLit>
              <c:ptCount val="3"/>
              <c:pt idx="0">
                <c:v>Asian</c:v>
              </c:pt>
              <c:pt idx="1">
                <c:v> Black</c:v>
              </c:pt>
              <c:pt idx="2">
                <c:v> White</c:v>
              </c:pt>
            </c:strLit>
          </c:cat>
          <c:val>
            <c:numRef>
              <c:f>'Year End Totals'!$M$17:$O$17</c:f>
              <c:numCache>
                <c:formatCode>General</c:formatCode>
                <c:ptCount val="3"/>
                <c:pt idx="0">
                  <c:v>2</c:v>
                </c:pt>
                <c:pt idx="1">
                  <c:v>9</c:v>
                </c:pt>
                <c:pt idx="2">
                  <c:v>29</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v>Suspect Race</c:v>
          </c:tx>
          <c:cat>
            <c:strLit>
              <c:ptCount val="3"/>
              <c:pt idx="0">
                <c:v>Asian</c:v>
              </c:pt>
              <c:pt idx="1">
                <c:v> Black</c:v>
              </c:pt>
              <c:pt idx="2">
                <c:v> White</c:v>
              </c:pt>
            </c:strLit>
          </c:cat>
          <c:val>
            <c:numRef>
              <c:f>'Year End Totals'!$P$14:$P$16</c:f>
              <c:numCache>
                <c:formatCode>General</c:formatCode>
                <c:ptCount val="3"/>
                <c:pt idx="0">
                  <c:v>0</c:v>
                </c:pt>
                <c:pt idx="1">
                  <c:v>25</c:v>
                </c:pt>
                <c:pt idx="2">
                  <c:v>15</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314325</xdr:colOff>
      <xdr:row>2</xdr:row>
      <xdr:rowOff>76200</xdr:rowOff>
    </xdr:from>
    <xdr:to>
      <xdr:col>5</xdr:col>
      <xdr:colOff>285916</xdr:colOff>
      <xdr:row>8</xdr:row>
      <xdr:rowOff>160752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43125" y="457200"/>
          <a:ext cx="1190791" cy="1351377"/>
        </a:xfrm>
        <a:prstGeom prst="rect">
          <a:avLst/>
        </a:prstGeom>
      </xdr:spPr>
    </xdr:pic>
    <xdr:clientData/>
  </xdr:twoCellAnchor>
  <xdr:twoCellAnchor>
    <xdr:from>
      <xdr:col>9</xdr:col>
      <xdr:colOff>23812</xdr:colOff>
      <xdr:row>27</xdr:row>
      <xdr:rowOff>123825</xdr:rowOff>
    </xdr:from>
    <xdr:to>
      <xdr:col>12</xdr:col>
      <xdr:colOff>533400</xdr:colOff>
      <xdr:row>38</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166687</xdr:colOff>
      <xdr:row>27</xdr:row>
      <xdr:rowOff>123825</xdr:rowOff>
    </xdr:from>
    <xdr:to>
      <xdr:col>17</xdr:col>
      <xdr:colOff>28575</xdr:colOff>
      <xdr:row>38</xdr:row>
      <xdr:rowOff>104775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R44"/>
  <sheetViews>
    <sheetView view="pageLayout" topLeftCell="A22" zoomScaleNormal="100" workbookViewId="0">
      <selection activeCell="K40" sqref="K40:P41"/>
    </sheetView>
  </sheetViews>
  <sheetFormatPr defaultRowHeight="15" x14ac:dyDescent="0.25"/>
  <cols>
    <col min="18" max="18" width="10" bestFit="1" customWidth="1"/>
  </cols>
  <sheetData>
    <row r="1" spans="1:18" ht="15.75" thickBot="1" x14ac:dyDescent="0.3">
      <c r="A1" s="223" t="s">
        <v>0</v>
      </c>
      <c r="B1" s="223"/>
      <c r="C1" s="223"/>
      <c r="D1" s="223"/>
      <c r="E1" s="223"/>
      <c r="F1" s="223"/>
      <c r="G1" s="223"/>
      <c r="H1" s="223"/>
      <c r="I1" s="223"/>
      <c r="K1" s="228" t="s">
        <v>225</v>
      </c>
      <c r="L1" s="229"/>
      <c r="M1" s="229"/>
      <c r="N1" s="229"/>
      <c r="O1" s="229"/>
      <c r="P1" s="229"/>
      <c r="Q1" s="230"/>
    </row>
    <row r="2" spans="1:18" ht="15.75" thickBot="1" x14ac:dyDescent="0.3">
      <c r="A2" s="224" t="s">
        <v>1</v>
      </c>
      <c r="B2" s="224"/>
      <c r="C2" s="224"/>
      <c r="D2" s="224"/>
      <c r="E2" s="224"/>
      <c r="F2" s="224"/>
      <c r="G2" s="224"/>
      <c r="H2" s="224"/>
      <c r="I2" s="224"/>
    </row>
    <row r="3" spans="1:18" ht="15.75" thickBot="1" x14ac:dyDescent="0.3">
      <c r="K3" s="228" t="s">
        <v>243</v>
      </c>
      <c r="L3" s="230"/>
      <c r="N3" s="228" t="s">
        <v>244</v>
      </c>
      <c r="O3" s="229"/>
      <c r="P3" s="230"/>
    </row>
    <row r="4" spans="1:18" ht="15.75" thickBot="1" x14ac:dyDescent="0.3">
      <c r="K4" s="177" t="s">
        <v>202</v>
      </c>
      <c r="L4" s="178" t="s">
        <v>203</v>
      </c>
      <c r="M4" s="16"/>
      <c r="N4" s="178" t="s">
        <v>245</v>
      </c>
      <c r="O4" s="207" t="s">
        <v>251</v>
      </c>
      <c r="P4" s="199" t="s">
        <v>246</v>
      </c>
      <c r="Q4" s="16"/>
    </row>
    <row r="5" spans="1:18" ht="21.75" thickBot="1" x14ac:dyDescent="0.3">
      <c r="K5" s="159">
        <f>SUM(M17:O17)</f>
        <v>40</v>
      </c>
      <c r="L5" s="160">
        <f t="array" ref="L5">SUM(1/(COUNTIF('2011'!K3:K9,'2011'!K3:K9)))+SUM(1/(COUNTIF('2012'!K3:K10,'2012'!K3:K10)))+SUM(1/(COUNTIF('2013'!K3:K5,'2013'!K3:K5)))+SUM(1/(COUNTIF('2014'!K3:K16,'2014'!K3:K16)))+SUM(1/(COUNTIF('2015'!K3:K10,'2015'!K3:K10)))</f>
        <v>27</v>
      </c>
      <c r="N5" s="206">
        <f>COUNTIF('2015'!W3:W27,"Y")+COUNTIF('2014'!W3:W27,"Y")+COUNTIF('2013'!W3:W27,"Y")+COUNTIF('2012'!W3:W27,"Y")+COUNTIF('2011'!W3:W27,"Y")</f>
        <v>7</v>
      </c>
      <c r="O5" s="206">
        <f>COUNTIF('2015'!W3:W27,"YS")+COUNTIF('2014'!W3:W27,"YS")+COUNTIF('2013'!W3:W27,"YS")+COUNTIF('2012'!W3:W27,"YS")+COUNTIF('2011'!W3:W27,"YS")</f>
        <v>2</v>
      </c>
      <c r="P5" s="206">
        <f>COUNTIF('2015'!W3:W27,"N")+COUNTIF('2014'!W3:W27,"N")+COUNTIF('2013'!W3:W27,"N")+COUNTIF('2012'!W3:W27,"N")+COUNTIF('2011'!W3:W27,"N")</f>
        <v>18</v>
      </c>
    </row>
    <row r="6" spans="1:18" ht="15.75" thickBot="1" x14ac:dyDescent="0.3"/>
    <row r="7" spans="1:18" ht="15.75" thickBot="1" x14ac:dyDescent="0.3">
      <c r="K7" s="231" t="s">
        <v>247</v>
      </c>
      <c r="L7" s="232"/>
      <c r="N7" s="231" t="s">
        <v>248</v>
      </c>
      <c r="O7" s="232"/>
    </row>
    <row r="8" spans="1:18" x14ac:dyDescent="0.25">
      <c r="K8" s="233">
        <f>AVERAGE(C22:G22)</f>
        <v>5</v>
      </c>
      <c r="L8" s="234"/>
      <c r="N8" s="210">
        <f>AVERAGE(C14:G21)</f>
        <v>0.625</v>
      </c>
      <c r="O8" s="211"/>
    </row>
    <row r="9" spans="1:18" ht="15.75" thickBot="1" x14ac:dyDescent="0.3">
      <c r="K9" s="235"/>
      <c r="L9" s="236"/>
      <c r="N9" s="212"/>
      <c r="O9" s="213"/>
    </row>
    <row r="10" spans="1:18" ht="15.75" thickBot="1" x14ac:dyDescent="0.3"/>
    <row r="11" spans="1:18" ht="15.75" thickBot="1" x14ac:dyDescent="0.3">
      <c r="L11" s="214" t="s">
        <v>41</v>
      </c>
      <c r="M11" s="215"/>
      <c r="N11" s="215"/>
      <c r="O11" s="216"/>
    </row>
    <row r="12" spans="1:18" ht="15.75" thickBot="1" x14ac:dyDescent="0.3">
      <c r="D12" s="214" t="s">
        <v>21</v>
      </c>
      <c r="E12" s="215"/>
      <c r="F12" s="216"/>
      <c r="K12" s="225" t="s">
        <v>40</v>
      </c>
      <c r="L12" s="43"/>
      <c r="M12" s="218" t="s">
        <v>39</v>
      </c>
      <c r="N12" s="219"/>
      <c r="O12" s="220"/>
      <c r="P12" s="3"/>
    </row>
    <row r="13" spans="1:18" ht="15.75" thickBot="1" x14ac:dyDescent="0.3">
      <c r="B13" s="35" t="s">
        <v>6</v>
      </c>
      <c r="C13" s="23">
        <v>2011</v>
      </c>
      <c r="D13" s="24">
        <v>2012</v>
      </c>
      <c r="E13" s="24">
        <v>2013</v>
      </c>
      <c r="F13" s="24">
        <v>2014</v>
      </c>
      <c r="G13" s="25">
        <v>2015</v>
      </c>
      <c r="H13" s="22" t="s">
        <v>20</v>
      </c>
      <c r="K13" s="226"/>
      <c r="L13" s="18"/>
      <c r="M13" s="62" t="s">
        <v>36</v>
      </c>
      <c r="N13" s="62" t="s">
        <v>37</v>
      </c>
      <c r="O13" s="62" t="s">
        <v>38</v>
      </c>
      <c r="P13" s="42" t="s">
        <v>20</v>
      </c>
    </row>
    <row r="14" spans="1:18" x14ac:dyDescent="0.25">
      <c r="B14" s="27">
        <v>1</v>
      </c>
      <c r="C14" s="28">
        <f>COUNTIF('2011'!G3:G28,1)</f>
        <v>1</v>
      </c>
      <c r="D14" s="29">
        <f>COUNTIF('2012'!G3:G27,1)</f>
        <v>1</v>
      </c>
      <c r="E14" s="29">
        <f>COUNTIF('2013'!G3:G26,1)</f>
        <v>0</v>
      </c>
      <c r="F14" s="29">
        <f>COUNTIF('2014'!G3:G33,1)</f>
        <v>1</v>
      </c>
      <c r="G14" s="30">
        <f>COUNTIF('2015'!G3:G27,1)</f>
        <v>2</v>
      </c>
      <c r="H14" s="27">
        <f t="shared" ref="H14:H22" si="0">SUM(C14:G14)</f>
        <v>5</v>
      </c>
      <c r="K14" s="226"/>
      <c r="L14" s="63" t="s">
        <v>36</v>
      </c>
      <c r="M14" s="33">
        <f>COUNTIFS('2011'!R3:R28,"A",'2011'!L3:L28,"A")+COUNTIFS('2012'!R3:R27,"A",'2012'!L3:L27,"A")+COUNTIFS('2013'!R3:R26,"A",'2013'!L3:L26,"A")+COUNTIFS('2014'!R3:R33,"A",'2014'!L3:L33,"A")+COUNTIFS('2015'!R3:R27,"A",'2015'!L3:L27,"A")</f>
        <v>0</v>
      </c>
      <c r="N14" s="33">
        <f>COUNTIFS('2011'!R3:R28,"B",'2011'!L3:L28,"A")+COUNTIFS('2012'!R3:R27,"B",'2012'!L3:L27,"A")+COUNTIFS('2013'!R3:R26,"B",'2013'!L3:L26,"A")+COUNTIFS('2014'!R3:R33,"B",'2014'!L3:L33,"A")+COUNTIFS('2015'!R3:R27,"B",'2015'!L3:L27,"A")</f>
        <v>0</v>
      </c>
      <c r="O14" s="33">
        <f>COUNTIFS('2011'!R3:R28,"W",'2011'!L3:L28,"A")+COUNTIFS('2012'!R3:R27,"W",'2012'!L3:L27,"A")+COUNTIFS('2013'!R3:R26,"W",'2013'!L3:L26,"A")+COUNTIFS('2014'!R3:R33,"W",'2014'!L3:L33,"A")+COUNTIFS('2015'!R3:R27,"W",'2015'!L3:L27,"A")</f>
        <v>0</v>
      </c>
      <c r="P14" s="60">
        <f>SUM(M14:O14)</f>
        <v>0</v>
      </c>
    </row>
    <row r="15" spans="1:18" ht="15" customHeight="1" x14ac:dyDescent="0.25">
      <c r="B15" s="20">
        <v>2</v>
      </c>
      <c r="C15" s="18">
        <f>COUNTIF('2011'!G3:G28,2)</f>
        <v>0</v>
      </c>
      <c r="D15" s="17">
        <f>COUNTIF('2012'!G3:G27,2)</f>
        <v>3</v>
      </c>
      <c r="E15" s="17">
        <f>COUNTIF('2013'!G3:G26,2)</f>
        <v>0</v>
      </c>
      <c r="F15" s="17">
        <f>COUNTIF('2014'!G3:G33,2)</f>
        <v>2</v>
      </c>
      <c r="G15" s="21">
        <f>COUNTIF('2015'!G3:G27,2)</f>
        <v>0</v>
      </c>
      <c r="H15" s="26">
        <f t="shared" si="0"/>
        <v>5</v>
      </c>
      <c r="K15" s="226"/>
      <c r="L15" s="63" t="s">
        <v>37</v>
      </c>
      <c r="M15" s="17">
        <f>COUNTIFS('2011'!R3:R28,"A",'2011'!L3:L28,"B")+COUNTIFS('2012'!R3:R27,"A",'2012'!L3:L27,"B")+COUNTIFS('2013'!R3:R26,"A",'2013'!L3:L26,"B")+COUNTIFS('2014'!R3:R33,"A",'2014'!L3:L33,"B")+COUNTIFS('2015'!R3:R27,"A",'2015'!L3:L27,"B")</f>
        <v>1</v>
      </c>
      <c r="N15" s="17">
        <f>COUNTIFS('2011'!R3:R28,"B",'2011'!L3:L28,"B")+COUNTIFS('2012'!R3:R27,"B",'2012'!L3:L27,"B")+COUNTIFS('2013'!R3:R26,"B",'2013'!L3:L26,"B")+COUNTIFS('2014'!R3:R33,"B",'2014'!L3:L33,"B")+COUNTIFS('2015'!R3:R27,"B",'2015'!L3:L27,"B")</f>
        <v>8</v>
      </c>
      <c r="O15" s="17">
        <f>COUNTIFS('2011'!R3:R28,"W",'2011'!L3:L28,"B")+COUNTIFS('2012'!R3:R27,"W",'2012'!L3:L27,"B")+COUNTIFS('2013'!R3:R26,"W",'2013'!L3:L26,"B")+COUNTIFS('2014'!R3:R33,"W",'2014'!L3:L33,"B")+COUNTIFS('2015'!R3:R27,"W",'2015'!L3:L27,"B")</f>
        <v>16</v>
      </c>
      <c r="P15" s="61">
        <f>SUM(M15:O15)</f>
        <v>25</v>
      </c>
    </row>
    <row r="16" spans="1:18" ht="15.75" customHeight="1" x14ac:dyDescent="0.25">
      <c r="B16" s="31">
        <v>3</v>
      </c>
      <c r="C16" s="32">
        <f>COUNTIF('2011'!G3:G28,3)</f>
        <v>1</v>
      </c>
      <c r="D16" s="33">
        <f>COUNTIF('2012'!G3:G27,3)</f>
        <v>2</v>
      </c>
      <c r="E16" s="33">
        <f>COUNTIF('2013'!G3:G26,3)</f>
        <v>1</v>
      </c>
      <c r="F16" s="33">
        <f>COUNTIF('2014'!G3:G33,3)</f>
        <v>1</v>
      </c>
      <c r="G16" s="34">
        <f>COUNTIF('2015'!G3:G27,3)</f>
        <v>1</v>
      </c>
      <c r="H16" s="31">
        <f t="shared" si="0"/>
        <v>6</v>
      </c>
      <c r="K16" s="226"/>
      <c r="L16" s="63" t="s">
        <v>38</v>
      </c>
      <c r="M16" s="33">
        <f>COUNTIFS('2011'!R3:R28,"A",'2011'!L3:L28,"W")+COUNTIFS('2012'!R3:R27,"A",'2012'!L3:L27,"W")+COUNTIFS('2013'!R3:R26,"A",'2013'!L3:L26,"W")+COUNTIFS('2014'!R3:R33,"A",'2014'!L3:L33,"W")+COUNTIFS('2015'!R3:R27,"A",'2015'!L3:L27,"W")</f>
        <v>1</v>
      </c>
      <c r="N16" s="33">
        <f>COUNTIFS('2011'!R3:R28,"B",'2011'!L3:L28,"W")+COUNTIFS('2012'!R3:R27,"B",'2012'!L3:L27,"W")+COUNTIFS('2013'!R3:R26,"B",'2013'!L3:L26,"W")+COUNTIFS('2014'!R3:R33,"B",'2014'!L3:L33,"W")+COUNTIFS('2015'!R3:R27,"B",'2015'!L3:L27,"W")</f>
        <v>1</v>
      </c>
      <c r="O16" s="33">
        <f>COUNTIFS('2011'!R3:R28,"W",'2011'!L3:L28,"W")+COUNTIFS('2012'!R3:R27,"W",'2012'!L3:L27,"W")+COUNTIFS('2013'!R3:R26,"W",'2013'!L3:L26,"W")+COUNTIFS('2014'!R3:R33,"W",'2014'!L3:L33,"W")+COUNTIFS('2015'!R3:R27,"W",'2015'!L3:L27,"W")</f>
        <v>13</v>
      </c>
      <c r="P16" s="60">
        <f>SUM(M16:O16)</f>
        <v>15</v>
      </c>
      <c r="Q16" s="158"/>
      <c r="R16" s="158"/>
    </row>
    <row r="17" spans="2:16" ht="19.5" thickBot="1" x14ac:dyDescent="0.35">
      <c r="B17" s="20">
        <v>4</v>
      </c>
      <c r="C17" s="18">
        <f>COUNTIF('2011'!G3:G28,4)</f>
        <v>1</v>
      </c>
      <c r="D17" s="17">
        <f>COUNTIF('2012'!G3:G27,4)</f>
        <v>0</v>
      </c>
      <c r="E17" s="17">
        <f>COUNTIF('2013'!G3:G26,4)</f>
        <v>0</v>
      </c>
      <c r="F17" s="17">
        <f>COUNTIF('2014'!G3:G33,4)</f>
        <v>0</v>
      </c>
      <c r="G17" s="21">
        <f>COUNTIF('2015'!G3:G27,4)</f>
        <v>1</v>
      </c>
      <c r="H17" s="26">
        <f t="shared" si="0"/>
        <v>2</v>
      </c>
      <c r="K17" s="227"/>
      <c r="L17" s="44" t="s">
        <v>20</v>
      </c>
      <c r="M17" s="59">
        <f>SUM(M14:M16)</f>
        <v>2</v>
      </c>
      <c r="N17" s="59">
        <f>SUM(N14:N16)</f>
        <v>9</v>
      </c>
      <c r="O17" s="59">
        <f>SUM(O14:O16)</f>
        <v>29</v>
      </c>
      <c r="P17" s="80">
        <f>SUM(M17:O17)</f>
        <v>40</v>
      </c>
    </row>
    <row r="18" spans="2:16" x14ac:dyDescent="0.25">
      <c r="B18" s="31">
        <v>5</v>
      </c>
      <c r="C18" s="32">
        <f>COUNTIF('2011'!G3:G28,5)</f>
        <v>0</v>
      </c>
      <c r="D18" s="33">
        <f>COUNTIF('2012'!G3:G27,5)</f>
        <v>0</v>
      </c>
      <c r="E18" s="33">
        <f>COUNTIF('2013'!G3:G26,5)</f>
        <v>0</v>
      </c>
      <c r="F18" s="33">
        <f>COUNTIF('2014'!G3:G33,5)</f>
        <v>0</v>
      </c>
      <c r="G18" s="34">
        <f>COUNTIF('2015'!G3:G27,5)</f>
        <v>0</v>
      </c>
      <c r="H18" s="31">
        <f t="shared" si="0"/>
        <v>0</v>
      </c>
      <c r="K18" s="221" t="s">
        <v>49</v>
      </c>
      <c r="L18" s="222"/>
      <c r="M18" s="221" t="s">
        <v>50</v>
      </c>
      <c r="N18" s="222"/>
      <c r="O18" s="221" t="s">
        <v>51</v>
      </c>
      <c r="P18" s="222"/>
    </row>
    <row r="19" spans="2:16" x14ac:dyDescent="0.25">
      <c r="B19" s="20">
        <v>6</v>
      </c>
      <c r="C19" s="18">
        <f>COUNTIF('2011'!G3:G28,6)</f>
        <v>1</v>
      </c>
      <c r="D19" s="17">
        <f>COUNTIF('2012'!G3:G27,6)</f>
        <v>0</v>
      </c>
      <c r="E19" s="17">
        <f>COUNTIF('2013'!G3:G26,6)</f>
        <v>0</v>
      </c>
      <c r="F19" s="17">
        <f>COUNTIF('2014'!G3:G33,6)</f>
        <v>1</v>
      </c>
      <c r="G19" s="21">
        <f>COUNTIF('2015'!G3:G27,6)</f>
        <v>1</v>
      </c>
      <c r="H19" s="26">
        <f t="shared" si="0"/>
        <v>3</v>
      </c>
      <c r="K19" s="74"/>
      <c r="L19" s="74"/>
      <c r="M19" s="74"/>
      <c r="N19" s="74"/>
      <c r="O19" s="74"/>
      <c r="P19" s="74"/>
    </row>
    <row r="20" spans="2:16" ht="15.75" thickBot="1" x14ac:dyDescent="0.3">
      <c r="B20" s="31">
        <v>7</v>
      </c>
      <c r="C20" s="32">
        <f>COUNTIF('2011'!G3:G28,7)</f>
        <v>0</v>
      </c>
      <c r="D20" s="33">
        <f>COUNTIF('2012'!G3:G27,7)</f>
        <v>0</v>
      </c>
      <c r="E20" s="33">
        <f>COUNTIF('2013'!G3:G26,7)</f>
        <v>1</v>
      </c>
      <c r="F20" s="33">
        <f>COUNTIF('2014'!G3:G33,7)</f>
        <v>1</v>
      </c>
      <c r="G20" s="34">
        <f>COUNTIF('2015'!G3:G27,7)</f>
        <v>0</v>
      </c>
      <c r="H20" s="31">
        <f t="shared" si="0"/>
        <v>2</v>
      </c>
    </row>
    <row r="21" spans="2:16" ht="15.75" thickBot="1" x14ac:dyDescent="0.3">
      <c r="B21" s="20">
        <v>8</v>
      </c>
      <c r="C21" s="46">
        <f>COUNTIF('2011'!G3:G28,8)</f>
        <v>0</v>
      </c>
      <c r="D21" s="50">
        <f>COUNTIF('2012'!G3:G27,8)</f>
        <v>1</v>
      </c>
      <c r="E21" s="17">
        <f>COUNTIF('2013'!G3:G26,8)</f>
        <v>0</v>
      </c>
      <c r="F21" s="50">
        <f>COUNTIF('2014'!G3:G33,8)</f>
        <v>0</v>
      </c>
      <c r="G21" s="51">
        <f>COUNTIF('2015'!G3:G27,8)</f>
        <v>1</v>
      </c>
      <c r="H21" s="26">
        <f t="shared" si="0"/>
        <v>2</v>
      </c>
      <c r="K21" s="47"/>
      <c r="L21" s="214" t="s">
        <v>42</v>
      </c>
      <c r="M21" s="215"/>
      <c r="N21" s="215"/>
      <c r="O21" s="216"/>
    </row>
    <row r="22" spans="2:16" ht="30" customHeight="1" thickBot="1" x14ac:dyDescent="0.45">
      <c r="B22" s="22" t="s">
        <v>20</v>
      </c>
      <c r="C22" s="55">
        <f>SUM(C14:C21)</f>
        <v>4</v>
      </c>
      <c r="D22" s="56">
        <f>SUM(D14:D21)</f>
        <v>7</v>
      </c>
      <c r="E22" s="56">
        <f>SUM(E14:E21)</f>
        <v>2</v>
      </c>
      <c r="F22" s="56">
        <f>SUM(F14:F21)</f>
        <v>6</v>
      </c>
      <c r="G22" s="57">
        <f>SUM(G14:G21)</f>
        <v>6</v>
      </c>
      <c r="H22" s="78">
        <f t="shared" si="0"/>
        <v>25</v>
      </c>
      <c r="K22" s="225" t="s">
        <v>44</v>
      </c>
      <c r="L22" s="45"/>
      <c r="M22" s="218" t="s">
        <v>43</v>
      </c>
      <c r="N22" s="220"/>
      <c r="O22" s="3"/>
    </row>
    <row r="23" spans="2:16" ht="15" customHeight="1" x14ac:dyDescent="0.25">
      <c r="B23" s="217" t="s">
        <v>226</v>
      </c>
      <c r="C23" s="217"/>
      <c r="D23" s="217"/>
      <c r="E23" s="217"/>
      <c r="F23" s="217"/>
      <c r="G23" s="217"/>
      <c r="H23" s="217"/>
      <c r="K23" s="226"/>
      <c r="L23" s="36"/>
      <c r="M23" s="62" t="s">
        <v>45</v>
      </c>
      <c r="N23" s="62" t="s">
        <v>46</v>
      </c>
      <c r="O23" s="42" t="s">
        <v>20</v>
      </c>
    </row>
    <row r="24" spans="2:16" ht="15.75" thickBot="1" x14ac:dyDescent="0.3">
      <c r="K24" s="226"/>
      <c r="L24" s="64" t="s">
        <v>45</v>
      </c>
      <c r="M24" s="33">
        <f>COUNTIFS('2011'!S3:S28,"F",'2011'!M3:M28,"F")+COUNTIFS('2012'!S3:S27,"F",'2012'!M3:M27,"F")+COUNTIFS('2013'!S3:S26,"F",'2013'!M3:M26,"F")+COUNTIFS('2014'!S3:S33,"F",'2014'!M3:M33,"F")+COUNTIFS('2014'!S3:S33,"F",'2014'!M3:M33,"F")</f>
        <v>0</v>
      </c>
      <c r="N24" s="33">
        <f>COUNTIFS('2011'!S3:S28,"M",'2011'!M3:M28,"F")+COUNTIFS('2012'!S3:S27,"M",'2012'!M3:M27,"F")+COUNTIFS('2013'!S3:S26,"M",'2013'!M3:M26,"F")+COUNTIFS('2014'!S3:S33,"M",'2014'!M3:M33,"F")+COUNTIFS('2015'!S3:S27,"M",'2015'!M3:M27,"F")</f>
        <v>10</v>
      </c>
      <c r="O24" s="60">
        <f>SUM(M24:N24)</f>
        <v>10</v>
      </c>
    </row>
    <row r="25" spans="2:16" ht="15.75" thickBot="1" x14ac:dyDescent="0.3">
      <c r="D25" s="214" t="s">
        <v>22</v>
      </c>
      <c r="E25" s="215"/>
      <c r="F25" s="216"/>
      <c r="K25" s="226"/>
      <c r="L25" s="64" t="s">
        <v>46</v>
      </c>
      <c r="M25" s="17">
        <f>COUNTIFS('2011'!S3:S28,"F",'2011'!M3:M28,"M")+COUNTIFS('2012'!S3:S27,"F",'2012'!M3:M27,"M")+COUNTIFS('2013'!S3:S26,"F",'2013'!M3:M26,"M")+COUNTIFS('2014'!S3:S33,"F",'2014'!M3:M33,"M")+COUNTIFS('2015'!S3:S27,"F",'2015'!M3:M27,"M")</f>
        <v>2</v>
      </c>
      <c r="N25" s="17">
        <f>COUNTIFS('2011'!S3:S28,"M",'2011'!M3:M28,"M")+COUNTIFS('2012'!S3:S27,"M",'2012'!M3:M27,"M")+COUNTIFS('2013'!S3:S26,"M",'2013'!M3:M26,"M")+COUNTIFS('2014'!S3:S33,"M",'2014'!M3:M33,"M")+COUNTIFS('2015'!S3:S27,"M",'2015'!M3:M27,"M")</f>
        <v>28</v>
      </c>
      <c r="O25" s="61">
        <f>SUM(M25:N25)</f>
        <v>30</v>
      </c>
    </row>
    <row r="26" spans="2:16" ht="27" thickBot="1" x14ac:dyDescent="0.45">
      <c r="B26" s="40" t="s">
        <v>23</v>
      </c>
      <c r="C26" s="52">
        <v>2011</v>
      </c>
      <c r="D26" s="53">
        <v>2012</v>
      </c>
      <c r="E26" s="53">
        <v>2013</v>
      </c>
      <c r="F26" s="53">
        <v>2014</v>
      </c>
      <c r="G26" s="54">
        <v>2015</v>
      </c>
      <c r="H26" s="41" t="s">
        <v>20</v>
      </c>
      <c r="K26" s="227"/>
      <c r="L26" s="48" t="s">
        <v>20</v>
      </c>
      <c r="M26" s="59">
        <f>SUM(M24:M25)</f>
        <v>2</v>
      </c>
      <c r="N26" s="59">
        <f>SUM(N24:N25)</f>
        <v>38</v>
      </c>
      <c r="O26" s="79">
        <f>SUM(M26:N26)</f>
        <v>40</v>
      </c>
    </row>
    <row r="27" spans="2:16" x14ac:dyDescent="0.25">
      <c r="B27" s="39" t="s">
        <v>24</v>
      </c>
      <c r="C27" s="32">
        <f>COUNTIF('2011'!C3:C28,"January")</f>
        <v>0</v>
      </c>
      <c r="D27" s="32">
        <f>COUNTIF('2012'!C3:C27,"January")</f>
        <v>0</v>
      </c>
      <c r="E27" s="32">
        <f>COUNTIF('2013'!C3:C26,"January")</f>
        <v>0</v>
      </c>
      <c r="F27" s="32">
        <f>COUNTIF('2014'!C3:C33,"January")</f>
        <v>1</v>
      </c>
      <c r="G27" s="32">
        <f>COUNTIF('2015'!C3:C27,"January")</f>
        <v>0</v>
      </c>
      <c r="H27" s="31">
        <f t="shared" ref="H27:H39" si="1">SUM(C27:G27)</f>
        <v>1</v>
      </c>
      <c r="K27" s="12"/>
      <c r="L27" s="221" t="s">
        <v>52</v>
      </c>
      <c r="M27" s="222"/>
      <c r="N27" s="221" t="s">
        <v>53</v>
      </c>
      <c r="O27" s="222"/>
    </row>
    <row r="28" spans="2:16" x14ac:dyDescent="0.25">
      <c r="B28" s="37" t="s">
        <v>25</v>
      </c>
      <c r="C28" s="18">
        <f>COUNTIF('2011'!C3:C28,"February")</f>
        <v>0</v>
      </c>
      <c r="D28" s="18">
        <f>COUNTIF('2012'!C3:C27,"February")</f>
        <v>0</v>
      </c>
      <c r="E28" s="18">
        <f>COUNTIF('2013'!C3:C26,"February")</f>
        <v>0</v>
      </c>
      <c r="F28" s="18">
        <f>COUNTIF('2014'!C3:C33,"February")</f>
        <v>0</v>
      </c>
      <c r="G28" s="18">
        <f>COUNTIF('2015'!C3:C27,"February")</f>
        <v>0</v>
      </c>
      <c r="H28" s="20">
        <f t="shared" si="1"/>
        <v>0</v>
      </c>
    </row>
    <row r="29" spans="2:16" ht="15.75" customHeight="1" x14ac:dyDescent="0.25">
      <c r="B29" s="39" t="s">
        <v>26</v>
      </c>
      <c r="C29" s="32">
        <f>COUNTIF('2011'!C3:C28,"March")</f>
        <v>0</v>
      </c>
      <c r="D29" s="32">
        <f>COUNTIF('2012'!C3:C27,"March")</f>
        <v>0</v>
      </c>
      <c r="E29" s="32">
        <f>COUNTIF('2013'!C3:C26,"March")</f>
        <v>0</v>
      </c>
      <c r="F29" s="32">
        <f>COUNTIF('2014'!C3:C33,"March")</f>
        <v>1</v>
      </c>
      <c r="G29" s="32">
        <f>COUNTIF('2015'!C3:C27,"March")</f>
        <v>1</v>
      </c>
      <c r="H29" s="31">
        <f t="shared" si="1"/>
        <v>2</v>
      </c>
    </row>
    <row r="30" spans="2:16" x14ac:dyDescent="0.25">
      <c r="B30" s="37" t="s">
        <v>27</v>
      </c>
      <c r="C30" s="18">
        <f>COUNTIF('2011'!C3:C28,"April")</f>
        <v>0</v>
      </c>
      <c r="D30" s="18">
        <f>COUNTIF('2012'!C3:C27,"April")</f>
        <v>2</v>
      </c>
      <c r="E30" s="18">
        <f>COUNTIF('2013'!C3:C26,"April")</f>
        <v>0</v>
      </c>
      <c r="F30" s="18">
        <f>COUNTIF('2014'!C3:C33,"April")</f>
        <v>1</v>
      </c>
      <c r="G30" s="18">
        <f>COUNTIF('2015'!C3:C27,"April")</f>
        <v>2</v>
      </c>
      <c r="H30" s="20">
        <f t="shared" si="1"/>
        <v>5</v>
      </c>
    </row>
    <row r="31" spans="2:16" x14ac:dyDescent="0.25">
      <c r="B31" s="39" t="s">
        <v>28</v>
      </c>
      <c r="C31" s="32">
        <f>COUNTIF('2011'!C3:C28,"May")</f>
        <v>1</v>
      </c>
      <c r="D31" s="32">
        <f>COUNTIF('2012'!C3:C27,"May")</f>
        <v>2</v>
      </c>
      <c r="E31" s="32">
        <f>COUNTIF('2013'!C3:C26,"May")</f>
        <v>0</v>
      </c>
      <c r="F31" s="32">
        <f>COUNTIF('2014'!C3:C33,"May")</f>
        <v>0</v>
      </c>
      <c r="G31" s="32">
        <f>COUNTIF('2015'!C3:C27,"May")</f>
        <v>0</v>
      </c>
      <c r="H31" s="31">
        <f t="shared" si="1"/>
        <v>3</v>
      </c>
    </row>
    <row r="32" spans="2:16" x14ac:dyDescent="0.25">
      <c r="B32" s="37" t="s">
        <v>29</v>
      </c>
      <c r="C32" s="46">
        <f>COUNTIF('2011'!C3:C28,"June")</f>
        <v>0</v>
      </c>
      <c r="D32" s="46">
        <f>COUNTIF('2012'!C3:C27,"June")</f>
        <v>0</v>
      </c>
      <c r="E32" s="46">
        <f>COUNTIF('2013'!C3:C26,"June")</f>
        <v>0</v>
      </c>
      <c r="F32" s="46">
        <f>COUNTIF('2014'!C3:C33,"June")</f>
        <v>0</v>
      </c>
      <c r="G32" s="46">
        <f>COUNTIF('2015'!C3:C27,"June")</f>
        <v>1</v>
      </c>
      <c r="H32" s="20">
        <f t="shared" si="1"/>
        <v>1</v>
      </c>
    </row>
    <row r="33" spans="2:8" x14ac:dyDescent="0.25">
      <c r="B33" s="39" t="s">
        <v>30</v>
      </c>
      <c r="C33" s="32">
        <f>COUNTIF('2011'!C3:C28,"July")</f>
        <v>1</v>
      </c>
      <c r="D33" s="32">
        <f>COUNTIF('2012'!C3:C27,"July")</f>
        <v>1</v>
      </c>
      <c r="E33" s="32">
        <f>COUNTIF('2013'!C3:C26,"July")</f>
        <v>1</v>
      </c>
      <c r="F33" s="32">
        <f>COUNTIF('2014'!C3:C33,"July")</f>
        <v>0</v>
      </c>
      <c r="G33" s="32">
        <f>COUNTIF('2015'!C3:C27,"July")</f>
        <v>0</v>
      </c>
      <c r="H33" s="31">
        <f t="shared" si="1"/>
        <v>3</v>
      </c>
    </row>
    <row r="34" spans="2:8" x14ac:dyDescent="0.25">
      <c r="B34" s="37" t="s">
        <v>31</v>
      </c>
      <c r="C34" s="18">
        <f>COUNTIF('2011'!C3:C28,"August")</f>
        <v>1</v>
      </c>
      <c r="D34" s="18">
        <f>COUNTIF('2012'!C3:C27,"August")</f>
        <v>1</v>
      </c>
      <c r="E34" s="18">
        <f>COUNTIF('2013'!C3:C26,"August")</f>
        <v>1</v>
      </c>
      <c r="F34" s="18">
        <f>COUNTIF('2014'!C3:C33,"August")</f>
        <v>0</v>
      </c>
      <c r="G34" s="18">
        <f>COUNTIF('2015'!C3:C27,"August")</f>
        <v>1</v>
      </c>
      <c r="H34" s="20">
        <f t="shared" si="1"/>
        <v>4</v>
      </c>
    </row>
    <row r="35" spans="2:8" x14ac:dyDescent="0.25">
      <c r="B35" s="39" t="s">
        <v>32</v>
      </c>
      <c r="C35" s="32">
        <f>COUNTIF('2011'!C3:C28,"September")</f>
        <v>0</v>
      </c>
      <c r="D35" s="32">
        <f>COUNTIF('2012'!C3:C27,"September")</f>
        <v>1</v>
      </c>
      <c r="E35" s="32">
        <f>COUNTIF('2013'!C3:C26,"September")</f>
        <v>0</v>
      </c>
      <c r="F35" s="32">
        <f>COUNTIF('2014'!C3:C33,"September")</f>
        <v>0</v>
      </c>
      <c r="G35" s="32">
        <f>COUNTIF('2015'!C3:C27,"September")</f>
        <v>1</v>
      </c>
      <c r="H35" s="31">
        <f t="shared" si="1"/>
        <v>2</v>
      </c>
    </row>
    <row r="36" spans="2:8" x14ac:dyDescent="0.25">
      <c r="B36" s="37" t="s">
        <v>33</v>
      </c>
      <c r="C36" s="18">
        <f>COUNTIF('2011'!C3:C28,"October")</f>
        <v>0</v>
      </c>
      <c r="D36" s="18">
        <f>COUNTIF('2012'!C3:C27,"October")</f>
        <v>0</v>
      </c>
      <c r="E36" s="18">
        <f>COUNTIF('2013'!C3:C26,"October")</f>
        <v>0</v>
      </c>
      <c r="F36" s="18">
        <f>COUNTIF('2014'!C3:C33,"October")</f>
        <v>3</v>
      </c>
      <c r="G36" s="18">
        <f>COUNTIF('2015'!C3:C27,"October")</f>
        <v>0</v>
      </c>
      <c r="H36" s="20">
        <f t="shared" si="1"/>
        <v>3</v>
      </c>
    </row>
    <row r="37" spans="2:8" x14ac:dyDescent="0.25">
      <c r="B37" s="39" t="s">
        <v>34</v>
      </c>
      <c r="C37" s="32">
        <f>COUNTIF('2011'!C3:C28,"November")</f>
        <v>0</v>
      </c>
      <c r="D37" s="32">
        <f>COUNTIF('2012'!C3:C27,"November")</f>
        <v>0</v>
      </c>
      <c r="E37" s="32">
        <f>COUNTIF('2013'!C3:C26,"November")</f>
        <v>0</v>
      </c>
      <c r="F37" s="32">
        <f>COUNTIF('2014'!C3:C33,"November")</f>
        <v>0</v>
      </c>
      <c r="G37" s="32">
        <f>COUNTIF('2015'!C3:C27,"November")</f>
        <v>0</v>
      </c>
      <c r="H37" s="31">
        <f t="shared" si="1"/>
        <v>0</v>
      </c>
    </row>
    <row r="38" spans="2:8" ht="15.75" thickBot="1" x14ac:dyDescent="0.3">
      <c r="B38" s="38" t="s">
        <v>35</v>
      </c>
      <c r="C38" s="73">
        <f>COUNTIF('2011'!C3:C28,"December")</f>
        <v>1</v>
      </c>
      <c r="D38" s="73">
        <f>COUNTIF('2012'!C3:C27,"December")</f>
        <v>0</v>
      </c>
      <c r="E38" s="73">
        <f>COUNTIF('2013'!C3:C26,"December")</f>
        <v>0</v>
      </c>
      <c r="F38" s="73">
        <f>COUNTIF('2014'!C3:C33,"December")</f>
        <v>0</v>
      </c>
      <c r="G38" s="73">
        <f>COUNTIF('2015'!C3:C27,"December")</f>
        <v>0</v>
      </c>
      <c r="H38" s="58">
        <f t="shared" si="1"/>
        <v>1</v>
      </c>
    </row>
    <row r="39" spans="2:8" ht="27" thickBot="1" x14ac:dyDescent="0.45">
      <c r="B39" s="22" t="s">
        <v>20</v>
      </c>
      <c r="C39" s="55">
        <f>SUM(C27:C38)</f>
        <v>4</v>
      </c>
      <c r="D39" s="56">
        <f>SUM(D27:D38)</f>
        <v>7</v>
      </c>
      <c r="E39" s="56">
        <f>SUM(E27:E38)</f>
        <v>2</v>
      </c>
      <c r="F39" s="56">
        <f>SUM(F27:F38)</f>
        <v>6</v>
      </c>
      <c r="G39" s="57">
        <f>SUM(G27:G38)</f>
        <v>6</v>
      </c>
      <c r="H39" s="78">
        <f t="shared" si="1"/>
        <v>25</v>
      </c>
    </row>
    <row r="40" spans="2:8" x14ac:dyDescent="0.25">
      <c r="B40" s="217" t="s">
        <v>226</v>
      </c>
      <c r="C40" s="217"/>
      <c r="D40" s="217"/>
      <c r="E40" s="217"/>
      <c r="F40" s="217"/>
      <c r="G40" s="217"/>
      <c r="H40" s="217"/>
    </row>
    <row r="44" spans="2:8" x14ac:dyDescent="0.25">
      <c r="B44" s="16"/>
      <c r="C44" s="16"/>
      <c r="D44" s="16"/>
      <c r="F44" s="16"/>
      <c r="G44" s="16"/>
      <c r="H44" s="16"/>
    </row>
  </sheetData>
  <mergeCells count="24">
    <mergeCell ref="A1:I1"/>
    <mergeCell ref="A2:I2"/>
    <mergeCell ref="D12:F12"/>
    <mergeCell ref="D25:F25"/>
    <mergeCell ref="K12:K17"/>
    <mergeCell ref="K18:L18"/>
    <mergeCell ref="K22:K26"/>
    <mergeCell ref="B23:H23"/>
    <mergeCell ref="K1:Q1"/>
    <mergeCell ref="K3:L3"/>
    <mergeCell ref="K7:L7"/>
    <mergeCell ref="K8:L9"/>
    <mergeCell ref="N7:O7"/>
    <mergeCell ref="N3:P3"/>
    <mergeCell ref="N8:O9"/>
    <mergeCell ref="L21:O21"/>
    <mergeCell ref="B40:H40"/>
    <mergeCell ref="L11:O11"/>
    <mergeCell ref="M12:O12"/>
    <mergeCell ref="L27:M27"/>
    <mergeCell ref="N27:O27"/>
    <mergeCell ref="M18:N18"/>
    <mergeCell ref="O18:P18"/>
    <mergeCell ref="M22:N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X27"/>
  <sheetViews>
    <sheetView topLeftCell="K1" zoomScale="85" zoomScaleNormal="85" workbookViewId="0">
      <selection activeCell="W5" sqref="W5"/>
    </sheetView>
  </sheetViews>
  <sheetFormatPr defaultRowHeight="15" x14ac:dyDescent="0.25"/>
  <cols>
    <col min="2" max="2" width="13.85546875" customWidth="1"/>
    <col min="3" max="3" width="13.42578125" customWidth="1"/>
    <col min="4" max="4" width="5.140625" customWidth="1"/>
    <col min="5" max="5" width="18.7109375" customWidth="1"/>
    <col min="6" max="6" width="28.28515625" customWidth="1"/>
    <col min="9" max="9" width="27.7109375" customWidth="1"/>
    <col min="10" max="10" width="11.28515625" customWidth="1"/>
    <col min="11" max="11" width="27.140625" customWidth="1"/>
    <col min="12" max="12" width="6.42578125" customWidth="1"/>
    <col min="13" max="13" width="6" customWidth="1"/>
    <col min="14" max="14" width="6.140625" customWidth="1"/>
    <col min="16" max="16" width="10.42578125" customWidth="1"/>
    <col min="17" max="17" width="27.140625" customWidth="1"/>
    <col min="18" max="18" width="6.28515625" customWidth="1"/>
    <col min="19" max="19" width="6.140625" customWidth="1"/>
    <col min="20" max="20" width="5.85546875" customWidth="1"/>
    <col min="22" max="23" width="14.5703125" customWidth="1"/>
    <col min="24" max="24" width="73.28515625" customWidth="1"/>
  </cols>
  <sheetData>
    <row r="1" spans="1:24" ht="15.75" thickBot="1" x14ac:dyDescent="0.3">
      <c r="A1" s="85" t="s">
        <v>59</v>
      </c>
      <c r="B1" s="8" t="s">
        <v>2</v>
      </c>
      <c r="C1" s="237" t="s">
        <v>3</v>
      </c>
      <c r="D1" s="239"/>
      <c r="E1" s="8" t="s">
        <v>4</v>
      </c>
      <c r="F1" s="8" t="s">
        <v>5</v>
      </c>
      <c r="G1" s="8" t="s">
        <v>6</v>
      </c>
      <c r="H1" s="8" t="s">
        <v>7</v>
      </c>
      <c r="I1" s="8" t="s">
        <v>57</v>
      </c>
      <c r="J1" s="8" t="s">
        <v>8</v>
      </c>
      <c r="K1" s="237" t="s">
        <v>9</v>
      </c>
      <c r="L1" s="238"/>
      <c r="M1" s="238"/>
      <c r="N1" s="238"/>
      <c r="O1" s="238"/>
      <c r="P1" s="239"/>
      <c r="Q1" s="237" t="s">
        <v>10</v>
      </c>
      <c r="R1" s="238"/>
      <c r="S1" s="238"/>
      <c r="T1" s="238"/>
      <c r="U1" s="238"/>
      <c r="V1" s="239"/>
      <c r="W1" s="180" t="s">
        <v>249</v>
      </c>
      <c r="X1" s="8" t="s">
        <v>11</v>
      </c>
    </row>
    <row r="2" spans="1:24" ht="15.75" thickBot="1" x14ac:dyDescent="0.3">
      <c r="A2" s="14"/>
      <c r="B2" s="13"/>
      <c r="C2" s="66" t="s">
        <v>47</v>
      </c>
      <c r="D2" s="65" t="s">
        <v>48</v>
      </c>
      <c r="E2" s="13"/>
      <c r="F2" s="13"/>
      <c r="G2" s="13"/>
      <c r="H2" s="13"/>
      <c r="I2" s="13"/>
      <c r="J2" s="13"/>
      <c r="K2" s="9" t="s">
        <v>12</v>
      </c>
      <c r="L2" s="9" t="s">
        <v>13</v>
      </c>
      <c r="M2" s="9" t="s">
        <v>14</v>
      </c>
      <c r="N2" s="9" t="s">
        <v>15</v>
      </c>
      <c r="O2" s="9" t="s">
        <v>16</v>
      </c>
      <c r="P2" s="9" t="s">
        <v>17</v>
      </c>
      <c r="Q2" s="10" t="s">
        <v>12</v>
      </c>
      <c r="R2" s="11" t="s">
        <v>13</v>
      </c>
      <c r="S2" s="11" t="s">
        <v>14</v>
      </c>
      <c r="T2" s="11" t="s">
        <v>15</v>
      </c>
      <c r="U2" s="11" t="s">
        <v>16</v>
      </c>
      <c r="V2" s="11" t="s">
        <v>18</v>
      </c>
      <c r="W2" s="200"/>
      <c r="X2" s="13"/>
    </row>
    <row r="3" spans="1:24" ht="30" x14ac:dyDescent="0.25">
      <c r="A3" s="106" t="s">
        <v>54</v>
      </c>
      <c r="B3" s="107" t="s">
        <v>60</v>
      </c>
      <c r="C3" s="108" t="s">
        <v>26</v>
      </c>
      <c r="D3" s="109">
        <v>14</v>
      </c>
      <c r="E3" s="132">
        <v>0.58888888888888891</v>
      </c>
      <c r="F3" s="108" t="s">
        <v>78</v>
      </c>
      <c r="G3" s="110">
        <v>1</v>
      </c>
      <c r="H3" s="110">
        <v>2</v>
      </c>
      <c r="I3" s="111" t="s">
        <v>86</v>
      </c>
      <c r="J3" s="110" t="s">
        <v>55</v>
      </c>
      <c r="K3" s="112" t="s">
        <v>61</v>
      </c>
      <c r="L3" s="112" t="s">
        <v>37</v>
      </c>
      <c r="M3" s="112" t="s">
        <v>46</v>
      </c>
      <c r="N3" s="112">
        <v>24</v>
      </c>
      <c r="O3" s="112" t="s">
        <v>95</v>
      </c>
      <c r="P3" s="112" t="s">
        <v>62</v>
      </c>
      <c r="Q3" s="112" t="s">
        <v>63</v>
      </c>
      <c r="R3" s="113" t="s">
        <v>38</v>
      </c>
      <c r="S3" s="112" t="s">
        <v>45</v>
      </c>
      <c r="T3" s="112">
        <v>42</v>
      </c>
      <c r="U3" s="112" t="s">
        <v>95</v>
      </c>
      <c r="V3" s="112">
        <v>7</v>
      </c>
      <c r="W3" s="112" t="s">
        <v>95</v>
      </c>
      <c r="X3" s="111" t="s">
        <v>64</v>
      </c>
    </row>
    <row r="4" spans="1:24" ht="30" x14ac:dyDescent="0.25">
      <c r="A4" s="114" t="s">
        <v>65</v>
      </c>
      <c r="B4" s="128" t="s">
        <v>66</v>
      </c>
      <c r="C4" s="116" t="s">
        <v>27</v>
      </c>
      <c r="D4" s="117">
        <v>8</v>
      </c>
      <c r="E4" s="133">
        <v>0.7895833333333333</v>
      </c>
      <c r="F4" s="116" t="s">
        <v>67</v>
      </c>
      <c r="G4" s="118">
        <v>3</v>
      </c>
      <c r="H4" s="118">
        <v>3</v>
      </c>
      <c r="I4" s="119" t="s">
        <v>85</v>
      </c>
      <c r="J4" s="118" t="s">
        <v>55</v>
      </c>
      <c r="K4" s="120" t="s">
        <v>68</v>
      </c>
      <c r="L4" s="120" t="s">
        <v>38</v>
      </c>
      <c r="M4" s="120" t="s">
        <v>46</v>
      </c>
      <c r="N4" s="120">
        <v>32</v>
      </c>
      <c r="O4" s="120" t="s">
        <v>95</v>
      </c>
      <c r="P4" s="120" t="s">
        <v>62</v>
      </c>
      <c r="Q4" s="139" t="s">
        <v>97</v>
      </c>
      <c r="R4" s="140" t="s">
        <v>38</v>
      </c>
      <c r="S4" s="139" t="s">
        <v>46</v>
      </c>
      <c r="T4" s="139">
        <v>35</v>
      </c>
      <c r="U4" s="120" t="s">
        <v>95</v>
      </c>
      <c r="V4" s="139">
        <v>7</v>
      </c>
      <c r="W4" s="139" t="s">
        <v>252</v>
      </c>
      <c r="X4" s="119" t="s">
        <v>69</v>
      </c>
    </row>
    <row r="5" spans="1:24" x14ac:dyDescent="0.25">
      <c r="A5" s="137" t="s">
        <v>124</v>
      </c>
      <c r="B5" s="138" t="s">
        <v>125</v>
      </c>
      <c r="C5" s="116"/>
      <c r="D5" s="117"/>
      <c r="E5" s="121"/>
      <c r="F5" s="116"/>
      <c r="G5" s="118"/>
      <c r="H5" s="118"/>
      <c r="I5" s="119"/>
      <c r="J5" s="118"/>
      <c r="K5" s="120" t="s">
        <v>68</v>
      </c>
      <c r="L5" s="120" t="s">
        <v>38</v>
      </c>
      <c r="M5" s="120" t="s">
        <v>46</v>
      </c>
      <c r="N5" s="120">
        <v>32</v>
      </c>
      <c r="O5" s="120" t="s">
        <v>95</v>
      </c>
      <c r="P5" s="120" t="s">
        <v>62</v>
      </c>
      <c r="Q5" s="139" t="s">
        <v>96</v>
      </c>
      <c r="R5" s="140" t="s">
        <v>38</v>
      </c>
      <c r="S5" s="139" t="s">
        <v>46</v>
      </c>
      <c r="T5" s="139">
        <v>25</v>
      </c>
      <c r="U5" s="120" t="s">
        <v>95</v>
      </c>
      <c r="V5" s="139">
        <v>1</v>
      </c>
      <c r="W5" s="201" t="s">
        <v>125</v>
      </c>
      <c r="X5" s="119" t="s">
        <v>69</v>
      </c>
    </row>
    <row r="6" spans="1:24" ht="30" x14ac:dyDescent="0.25">
      <c r="A6" s="130" t="s">
        <v>70</v>
      </c>
      <c r="B6" s="123" t="s">
        <v>71</v>
      </c>
      <c r="C6" s="124" t="s">
        <v>27</v>
      </c>
      <c r="D6" s="125">
        <v>14</v>
      </c>
      <c r="E6" s="134">
        <v>9.6527777777777768E-2</v>
      </c>
      <c r="F6" s="124" t="s">
        <v>72</v>
      </c>
      <c r="G6" s="122">
        <v>8</v>
      </c>
      <c r="H6" s="122">
        <v>1</v>
      </c>
      <c r="I6" s="141" t="s">
        <v>86</v>
      </c>
      <c r="J6" s="122" t="s">
        <v>55</v>
      </c>
      <c r="K6" s="126" t="s">
        <v>73</v>
      </c>
      <c r="L6" s="126" t="s">
        <v>38</v>
      </c>
      <c r="M6" s="126" t="s">
        <v>46</v>
      </c>
      <c r="N6" s="126">
        <v>36</v>
      </c>
      <c r="O6" s="126" t="s">
        <v>95</v>
      </c>
      <c r="P6" s="126" t="s">
        <v>74</v>
      </c>
      <c r="Q6" s="126" t="s">
        <v>75</v>
      </c>
      <c r="R6" s="127" t="s">
        <v>38</v>
      </c>
      <c r="S6" s="126" t="s">
        <v>46</v>
      </c>
      <c r="T6" s="126">
        <v>30</v>
      </c>
      <c r="U6" s="126" t="s">
        <v>95</v>
      </c>
      <c r="V6" s="126">
        <v>2</v>
      </c>
      <c r="W6" s="126" t="s">
        <v>95</v>
      </c>
      <c r="X6" s="135" t="s">
        <v>69</v>
      </c>
    </row>
    <row r="7" spans="1:24" ht="30" x14ac:dyDescent="0.25">
      <c r="A7" s="114" t="s">
        <v>76</v>
      </c>
      <c r="B7" s="128" t="s">
        <v>77</v>
      </c>
      <c r="C7" s="116" t="s">
        <v>29</v>
      </c>
      <c r="D7" s="117">
        <v>13</v>
      </c>
      <c r="E7" s="133">
        <v>0.59027777777777779</v>
      </c>
      <c r="F7" s="116" t="s">
        <v>79</v>
      </c>
      <c r="G7" s="118">
        <v>4</v>
      </c>
      <c r="H7" s="118">
        <v>1</v>
      </c>
      <c r="I7" s="119" t="s">
        <v>85</v>
      </c>
      <c r="J7" s="118" t="s">
        <v>55</v>
      </c>
      <c r="K7" s="120" t="s">
        <v>80</v>
      </c>
      <c r="L7" s="120" t="s">
        <v>37</v>
      </c>
      <c r="M7" s="120" t="s">
        <v>46</v>
      </c>
      <c r="N7" s="120">
        <v>35</v>
      </c>
      <c r="O7" s="120" t="s">
        <v>95</v>
      </c>
      <c r="P7" s="120" t="s">
        <v>81</v>
      </c>
      <c r="Q7" s="120" t="s">
        <v>82</v>
      </c>
      <c r="R7" s="121" t="s">
        <v>38</v>
      </c>
      <c r="S7" s="120" t="s">
        <v>46</v>
      </c>
      <c r="T7" s="120">
        <v>40</v>
      </c>
      <c r="U7" s="120" t="s">
        <v>95</v>
      </c>
      <c r="V7" s="120">
        <v>9</v>
      </c>
      <c r="W7" s="120" t="s">
        <v>250</v>
      </c>
      <c r="X7" s="119" t="s">
        <v>56</v>
      </c>
    </row>
    <row r="8" spans="1:24" ht="30" x14ac:dyDescent="0.25">
      <c r="A8" s="130" t="s">
        <v>83</v>
      </c>
      <c r="B8" s="123" t="s">
        <v>237</v>
      </c>
      <c r="C8" s="124" t="s">
        <v>31</v>
      </c>
      <c r="D8" s="125">
        <v>5</v>
      </c>
      <c r="E8" s="134">
        <v>0.97430555555555554</v>
      </c>
      <c r="F8" s="124" t="s">
        <v>84</v>
      </c>
      <c r="G8" s="122">
        <v>1</v>
      </c>
      <c r="H8" s="122">
        <v>5</v>
      </c>
      <c r="I8" s="142" t="s">
        <v>85</v>
      </c>
      <c r="J8" s="122" t="s">
        <v>55</v>
      </c>
      <c r="K8" s="126" t="s">
        <v>87</v>
      </c>
      <c r="L8" s="126" t="s">
        <v>38</v>
      </c>
      <c r="M8" s="126" t="s">
        <v>46</v>
      </c>
      <c r="N8" s="126">
        <v>18</v>
      </c>
      <c r="O8" s="126" t="s">
        <v>95</v>
      </c>
      <c r="P8" s="126" t="s">
        <v>88</v>
      </c>
      <c r="Q8" s="143" t="s">
        <v>99</v>
      </c>
      <c r="R8" s="144" t="s">
        <v>38</v>
      </c>
      <c r="S8" s="143" t="s">
        <v>46</v>
      </c>
      <c r="T8" s="143">
        <v>44</v>
      </c>
      <c r="U8" s="126" t="s">
        <v>95</v>
      </c>
      <c r="V8" s="143">
        <v>20</v>
      </c>
      <c r="W8" s="143" t="s">
        <v>250</v>
      </c>
      <c r="X8" s="135" t="s">
        <v>56</v>
      </c>
    </row>
    <row r="9" spans="1:24" x14ac:dyDescent="0.25">
      <c r="A9" s="129" t="s">
        <v>126</v>
      </c>
      <c r="B9" s="136" t="s">
        <v>125</v>
      </c>
      <c r="C9" s="124"/>
      <c r="D9" s="125"/>
      <c r="E9" s="127"/>
      <c r="F9" s="124"/>
      <c r="G9" s="122"/>
      <c r="H9" s="122"/>
      <c r="I9" s="142"/>
      <c r="J9" s="122"/>
      <c r="K9" s="126" t="s">
        <v>87</v>
      </c>
      <c r="L9" s="126" t="s">
        <v>38</v>
      </c>
      <c r="M9" s="126" t="s">
        <v>46</v>
      </c>
      <c r="N9" s="126">
        <v>18</v>
      </c>
      <c r="O9" s="126" t="s">
        <v>95</v>
      </c>
      <c r="P9" s="126" t="s">
        <v>88</v>
      </c>
      <c r="Q9" s="143" t="s">
        <v>98</v>
      </c>
      <c r="R9" s="144" t="s">
        <v>38</v>
      </c>
      <c r="S9" s="143" t="s">
        <v>46</v>
      </c>
      <c r="T9" s="143">
        <v>39</v>
      </c>
      <c r="U9" s="126" t="s">
        <v>95</v>
      </c>
      <c r="V9" s="143">
        <v>9</v>
      </c>
      <c r="W9" s="202" t="s">
        <v>125</v>
      </c>
      <c r="X9" s="135" t="s">
        <v>56</v>
      </c>
    </row>
    <row r="10" spans="1:24" ht="30" x14ac:dyDescent="0.25">
      <c r="A10" s="114" t="s">
        <v>89</v>
      </c>
      <c r="B10" s="128" t="s">
        <v>238</v>
      </c>
      <c r="C10" s="116" t="s">
        <v>32</v>
      </c>
      <c r="D10" s="117">
        <v>13</v>
      </c>
      <c r="E10" s="133">
        <v>0.10555555555555556</v>
      </c>
      <c r="F10" s="116" t="s">
        <v>90</v>
      </c>
      <c r="G10" s="118">
        <v>6</v>
      </c>
      <c r="H10" s="118">
        <v>2</v>
      </c>
      <c r="I10" s="119" t="s">
        <v>86</v>
      </c>
      <c r="J10" s="118" t="s">
        <v>55</v>
      </c>
      <c r="K10" s="120" t="s">
        <v>91</v>
      </c>
      <c r="L10" s="120" t="s">
        <v>37</v>
      </c>
      <c r="M10" s="120" t="s">
        <v>46</v>
      </c>
      <c r="N10" s="120">
        <v>22</v>
      </c>
      <c r="O10" s="120" t="s">
        <v>95</v>
      </c>
      <c r="P10" s="120" t="s">
        <v>62</v>
      </c>
      <c r="Q10" s="120" t="s">
        <v>92</v>
      </c>
      <c r="R10" s="121" t="s">
        <v>36</v>
      </c>
      <c r="S10" s="120" t="s">
        <v>45</v>
      </c>
      <c r="T10" s="120">
        <v>25</v>
      </c>
      <c r="U10" s="120" t="s">
        <v>95</v>
      </c>
      <c r="V10" s="120">
        <v>2</v>
      </c>
      <c r="W10" s="120" t="s">
        <v>95</v>
      </c>
      <c r="X10" s="119" t="s">
        <v>56</v>
      </c>
    </row>
    <row r="11" spans="1:24" x14ac:dyDescent="0.25">
      <c r="A11" s="1"/>
      <c r="B11" s="4"/>
      <c r="C11" s="69"/>
      <c r="D11" s="70"/>
      <c r="E11" s="4"/>
      <c r="F11" s="1"/>
      <c r="G11" s="1"/>
      <c r="H11" s="1"/>
      <c r="I11" s="1"/>
      <c r="J11" s="1"/>
      <c r="K11" s="19"/>
      <c r="L11" s="19"/>
      <c r="M11" s="19"/>
      <c r="N11" s="19"/>
      <c r="O11" s="19"/>
      <c r="P11" s="19"/>
      <c r="Q11" s="19"/>
      <c r="R11" s="82"/>
      <c r="S11" s="19"/>
      <c r="T11" s="19"/>
      <c r="U11" s="19"/>
      <c r="V11" s="19"/>
      <c r="W11" s="19"/>
      <c r="X11" s="76"/>
    </row>
    <row r="12" spans="1:24" x14ac:dyDescent="0.25">
      <c r="A12" s="6"/>
      <c r="B12" s="7"/>
      <c r="C12" s="67"/>
      <c r="D12" s="68"/>
      <c r="E12" s="7"/>
      <c r="F12" s="6"/>
      <c r="G12" s="6"/>
      <c r="H12" s="6"/>
      <c r="I12" s="6"/>
      <c r="J12" s="6"/>
      <c r="K12" s="49"/>
      <c r="L12" s="49"/>
      <c r="M12" s="49"/>
      <c r="N12" s="49"/>
      <c r="O12" s="49"/>
      <c r="P12" s="49"/>
      <c r="Q12" s="49"/>
      <c r="R12" s="81"/>
      <c r="S12" s="49"/>
      <c r="T12" s="49"/>
      <c r="U12" s="49"/>
      <c r="V12" s="49"/>
      <c r="W12" s="49"/>
      <c r="X12" s="75"/>
    </row>
    <row r="13" spans="1:24" x14ac:dyDescent="0.25">
      <c r="A13" s="1"/>
      <c r="B13" s="4"/>
      <c r="C13" s="69"/>
      <c r="D13" s="70"/>
      <c r="E13" s="4"/>
      <c r="F13" s="1"/>
      <c r="G13" s="1"/>
      <c r="H13" s="1"/>
      <c r="I13" s="1"/>
      <c r="J13" s="1"/>
      <c r="K13" s="19"/>
      <c r="L13" s="19"/>
      <c r="M13" s="19"/>
      <c r="N13" s="19"/>
      <c r="O13" s="19"/>
      <c r="P13" s="19"/>
      <c r="Q13" s="19"/>
      <c r="R13" s="82"/>
      <c r="S13" s="19"/>
      <c r="T13" s="19"/>
      <c r="U13" s="19"/>
      <c r="V13" s="19"/>
      <c r="W13" s="19"/>
      <c r="X13" s="76"/>
    </row>
    <row r="14" spans="1:24" x14ac:dyDescent="0.25">
      <c r="A14" s="6"/>
      <c r="B14" s="7"/>
      <c r="C14" s="67"/>
      <c r="D14" s="68"/>
      <c r="E14" s="7"/>
      <c r="F14" s="6"/>
      <c r="G14" s="6"/>
      <c r="H14" s="6"/>
      <c r="I14" s="6"/>
      <c r="J14" s="6"/>
      <c r="K14" s="49"/>
      <c r="L14" s="49"/>
      <c r="M14" s="49"/>
      <c r="N14" s="49"/>
      <c r="O14" s="49"/>
      <c r="P14" s="49"/>
      <c r="Q14" s="49"/>
      <c r="R14" s="81"/>
      <c r="S14" s="49"/>
      <c r="T14" s="49"/>
      <c r="U14" s="49"/>
      <c r="V14" s="49"/>
      <c r="W14" s="49"/>
      <c r="X14" s="75"/>
    </row>
    <row r="15" spans="1:24" x14ac:dyDescent="0.25">
      <c r="A15" s="1"/>
      <c r="B15" s="4"/>
      <c r="C15" s="69"/>
      <c r="D15" s="70"/>
      <c r="E15" s="4"/>
      <c r="F15" s="1"/>
      <c r="G15" s="1"/>
      <c r="H15" s="1"/>
      <c r="I15" s="1"/>
      <c r="J15" s="1"/>
      <c r="K15" s="19"/>
      <c r="L15" s="19"/>
      <c r="M15" s="19"/>
      <c r="N15" s="19"/>
      <c r="O15" s="19"/>
      <c r="P15" s="19"/>
      <c r="Q15" s="19"/>
      <c r="R15" s="82"/>
      <c r="S15" s="19"/>
      <c r="T15" s="19"/>
      <c r="U15" s="19"/>
      <c r="V15" s="19"/>
      <c r="W15" s="19"/>
      <c r="X15" s="76"/>
    </row>
    <row r="16" spans="1:24" x14ac:dyDescent="0.25">
      <c r="A16" s="6"/>
      <c r="B16" s="7"/>
      <c r="C16" s="67"/>
      <c r="D16" s="68"/>
      <c r="E16" s="7"/>
      <c r="F16" s="6"/>
      <c r="G16" s="6"/>
      <c r="H16" s="6"/>
      <c r="I16" s="6"/>
      <c r="J16" s="6"/>
      <c r="K16" s="49"/>
      <c r="L16" s="49"/>
      <c r="M16" s="49"/>
      <c r="N16" s="49"/>
      <c r="O16" s="49"/>
      <c r="P16" s="49"/>
      <c r="Q16" s="49"/>
      <c r="R16" s="81"/>
      <c r="S16" s="49"/>
      <c r="T16" s="49"/>
      <c r="U16" s="49"/>
      <c r="V16" s="49"/>
      <c r="W16" s="49"/>
      <c r="X16" s="75"/>
    </row>
    <row r="17" spans="1:24" x14ac:dyDescent="0.25">
      <c r="A17" s="1"/>
      <c r="B17" s="4"/>
      <c r="C17" s="69"/>
      <c r="D17" s="70"/>
      <c r="E17" s="4"/>
      <c r="F17" s="1"/>
      <c r="G17" s="1"/>
      <c r="H17" s="1"/>
      <c r="I17" s="1"/>
      <c r="J17" s="1"/>
      <c r="K17" s="19"/>
      <c r="L17" s="19"/>
      <c r="M17" s="19"/>
      <c r="N17" s="19"/>
      <c r="O17" s="19"/>
      <c r="P17" s="19"/>
      <c r="Q17" s="19"/>
      <c r="R17" s="82"/>
      <c r="S17" s="19"/>
      <c r="T17" s="19"/>
      <c r="U17" s="19"/>
      <c r="V17" s="19"/>
      <c r="W17" s="19"/>
      <c r="X17" s="76"/>
    </row>
    <row r="18" spans="1:24" x14ac:dyDescent="0.25">
      <c r="A18" s="6"/>
      <c r="B18" s="7"/>
      <c r="C18" s="67"/>
      <c r="D18" s="68"/>
      <c r="E18" s="7"/>
      <c r="F18" s="6"/>
      <c r="G18" s="6"/>
      <c r="H18" s="6"/>
      <c r="I18" s="6"/>
      <c r="J18" s="6"/>
      <c r="K18" s="49"/>
      <c r="L18" s="49"/>
      <c r="M18" s="49"/>
      <c r="N18" s="49"/>
      <c r="O18" s="49"/>
      <c r="P18" s="49"/>
      <c r="Q18" s="49"/>
      <c r="R18" s="81"/>
      <c r="S18" s="49"/>
      <c r="T18" s="49"/>
      <c r="U18" s="49"/>
      <c r="V18" s="49"/>
      <c r="W18" s="49"/>
      <c r="X18" s="75"/>
    </row>
    <row r="19" spans="1:24" x14ac:dyDescent="0.25">
      <c r="A19" s="1"/>
      <c r="B19" s="4"/>
      <c r="C19" s="69"/>
      <c r="D19" s="70"/>
      <c r="E19" s="4"/>
      <c r="F19" s="1"/>
      <c r="G19" s="1"/>
      <c r="H19" s="1"/>
      <c r="I19" s="1"/>
      <c r="J19" s="1"/>
      <c r="K19" s="19"/>
      <c r="L19" s="19"/>
      <c r="M19" s="19"/>
      <c r="N19" s="19"/>
      <c r="O19" s="19"/>
      <c r="P19" s="19"/>
      <c r="Q19" s="19"/>
      <c r="R19" s="82"/>
      <c r="S19" s="19"/>
      <c r="T19" s="19"/>
      <c r="U19" s="19"/>
      <c r="V19" s="19"/>
      <c r="W19" s="19"/>
      <c r="X19" s="76"/>
    </row>
    <row r="20" spans="1:24" x14ac:dyDescent="0.25">
      <c r="A20" s="6"/>
      <c r="B20" s="7"/>
      <c r="C20" s="67"/>
      <c r="D20" s="68"/>
      <c r="E20" s="7"/>
      <c r="F20" s="6"/>
      <c r="G20" s="6"/>
      <c r="H20" s="6"/>
      <c r="I20" s="6"/>
      <c r="J20" s="6"/>
      <c r="K20" s="49"/>
      <c r="L20" s="49"/>
      <c r="M20" s="49"/>
      <c r="N20" s="49"/>
      <c r="O20" s="49"/>
      <c r="P20" s="49"/>
      <c r="Q20" s="49"/>
      <c r="R20" s="81"/>
      <c r="S20" s="49"/>
      <c r="T20" s="49"/>
      <c r="U20" s="49"/>
      <c r="V20" s="49"/>
      <c r="W20" s="49"/>
      <c r="X20" s="75"/>
    </row>
    <row r="21" spans="1:24" x14ac:dyDescent="0.25">
      <c r="A21" s="1"/>
      <c r="B21" s="4"/>
      <c r="C21" s="69"/>
      <c r="D21" s="70"/>
      <c r="E21" s="4"/>
      <c r="F21" s="1"/>
      <c r="G21" s="1"/>
      <c r="H21" s="1"/>
      <c r="I21" s="1"/>
      <c r="J21" s="1"/>
      <c r="K21" s="19"/>
      <c r="L21" s="19"/>
      <c r="M21" s="19"/>
      <c r="N21" s="19"/>
      <c r="O21" s="19"/>
      <c r="P21" s="19"/>
      <c r="Q21" s="19"/>
      <c r="R21" s="82"/>
      <c r="S21" s="19"/>
      <c r="T21" s="19"/>
      <c r="U21" s="19"/>
      <c r="V21" s="19"/>
      <c r="W21" s="19"/>
      <c r="X21" s="76"/>
    </row>
    <row r="22" spans="1:24" x14ac:dyDescent="0.25">
      <c r="A22" s="6"/>
      <c r="B22" s="7"/>
      <c r="C22" s="67"/>
      <c r="D22" s="68"/>
      <c r="E22" s="7"/>
      <c r="F22" s="6"/>
      <c r="G22" s="6"/>
      <c r="H22" s="6"/>
      <c r="I22" s="6"/>
      <c r="J22" s="6"/>
      <c r="K22" s="49"/>
      <c r="L22" s="49"/>
      <c r="M22" s="49"/>
      <c r="N22" s="49"/>
      <c r="O22" s="49"/>
      <c r="P22" s="49"/>
      <c r="Q22" s="49"/>
      <c r="R22" s="81"/>
      <c r="S22" s="49"/>
      <c r="T22" s="49"/>
      <c r="U22" s="49"/>
      <c r="V22" s="49"/>
      <c r="W22" s="49"/>
      <c r="X22" s="75"/>
    </row>
    <row r="23" spans="1:24" x14ac:dyDescent="0.25">
      <c r="A23" s="1"/>
      <c r="B23" s="4"/>
      <c r="C23" s="69"/>
      <c r="D23" s="70"/>
      <c r="E23" s="4"/>
      <c r="F23" s="1"/>
      <c r="G23" s="1"/>
      <c r="H23" s="1"/>
      <c r="I23" s="1"/>
      <c r="J23" s="1"/>
      <c r="K23" s="19"/>
      <c r="L23" s="19"/>
      <c r="M23" s="19"/>
      <c r="N23" s="19"/>
      <c r="O23" s="19"/>
      <c r="P23" s="19"/>
      <c r="Q23" s="19"/>
      <c r="R23" s="82"/>
      <c r="S23" s="19"/>
      <c r="T23" s="19"/>
      <c r="U23" s="19"/>
      <c r="V23" s="19"/>
      <c r="W23" s="19"/>
      <c r="X23" s="76"/>
    </row>
    <row r="24" spans="1:24" x14ac:dyDescent="0.25">
      <c r="A24" s="6"/>
      <c r="B24" s="7"/>
      <c r="C24" s="67"/>
      <c r="D24" s="68"/>
      <c r="E24" s="7"/>
      <c r="F24" s="6"/>
      <c r="G24" s="6"/>
      <c r="H24" s="6"/>
      <c r="I24" s="6"/>
      <c r="J24" s="6"/>
      <c r="K24" s="49"/>
      <c r="L24" s="49"/>
      <c r="M24" s="49"/>
      <c r="N24" s="49"/>
      <c r="O24" s="49"/>
      <c r="P24" s="49"/>
      <c r="Q24" s="49"/>
      <c r="R24" s="81"/>
      <c r="S24" s="49"/>
      <c r="T24" s="49"/>
      <c r="U24" s="49"/>
      <c r="V24" s="49"/>
      <c r="W24" s="49"/>
      <c r="X24" s="75"/>
    </row>
    <row r="25" spans="1:24" x14ac:dyDescent="0.25">
      <c r="A25" s="1"/>
      <c r="B25" s="4"/>
      <c r="C25" s="69"/>
      <c r="D25" s="70"/>
      <c r="E25" s="4"/>
      <c r="F25" s="1"/>
      <c r="G25" s="1"/>
      <c r="H25" s="1"/>
      <c r="I25" s="1"/>
      <c r="J25" s="1"/>
      <c r="K25" s="19"/>
      <c r="L25" s="19"/>
      <c r="M25" s="19"/>
      <c r="N25" s="19"/>
      <c r="O25" s="19"/>
      <c r="P25" s="19"/>
      <c r="Q25" s="19"/>
      <c r="R25" s="82"/>
      <c r="S25" s="19"/>
      <c r="T25" s="19"/>
      <c r="U25" s="19"/>
      <c r="V25" s="19"/>
      <c r="W25" s="19"/>
      <c r="X25" s="76"/>
    </row>
    <row r="26" spans="1:24" x14ac:dyDescent="0.25">
      <c r="A26" s="6"/>
      <c r="B26" s="7"/>
      <c r="C26" s="67"/>
      <c r="D26" s="68"/>
      <c r="E26" s="7"/>
      <c r="F26" s="6"/>
      <c r="G26" s="6"/>
      <c r="H26" s="6"/>
      <c r="I26" s="6"/>
      <c r="J26" s="6"/>
      <c r="K26" s="49"/>
      <c r="L26" s="49"/>
      <c r="M26" s="49"/>
      <c r="N26" s="49"/>
      <c r="O26" s="49"/>
      <c r="P26" s="49"/>
      <c r="Q26" s="49"/>
      <c r="R26" s="81"/>
      <c r="S26" s="49"/>
      <c r="T26" s="49"/>
      <c r="U26" s="49"/>
      <c r="V26" s="49"/>
      <c r="W26" s="49"/>
      <c r="X26" s="75"/>
    </row>
    <row r="27" spans="1:24" ht="15.75" thickBot="1" x14ac:dyDescent="0.3">
      <c r="A27" s="2"/>
      <c r="B27" s="5"/>
      <c r="C27" s="71"/>
      <c r="D27" s="72"/>
      <c r="E27" s="5"/>
      <c r="F27" s="2"/>
      <c r="G27" s="2"/>
      <c r="H27" s="2"/>
      <c r="I27" s="2"/>
      <c r="J27" s="2"/>
      <c r="K27" s="83"/>
      <c r="L27" s="83"/>
      <c r="M27" s="83"/>
      <c r="N27" s="83"/>
      <c r="O27" s="83"/>
      <c r="P27" s="83"/>
      <c r="Q27" s="83"/>
      <c r="R27" s="84"/>
      <c r="S27" s="83"/>
      <c r="T27" s="83"/>
      <c r="U27" s="83"/>
      <c r="V27" s="83"/>
      <c r="W27" s="83"/>
      <c r="X27" s="77"/>
    </row>
  </sheetData>
  <mergeCells count="3">
    <mergeCell ref="K1:P1"/>
    <mergeCell ref="Q1:V1"/>
    <mergeCell ref="C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X33"/>
  <sheetViews>
    <sheetView topLeftCell="J1" zoomScale="85" zoomScaleNormal="85" workbookViewId="0">
      <selection activeCell="V4" sqref="V4"/>
    </sheetView>
  </sheetViews>
  <sheetFormatPr defaultRowHeight="15" x14ac:dyDescent="0.25"/>
  <cols>
    <col min="2" max="2" width="16.28515625" customWidth="1"/>
    <col min="3" max="3" width="12.28515625" customWidth="1"/>
    <col min="4" max="4" width="6.5703125" customWidth="1"/>
    <col min="5" max="5" width="18.28515625" customWidth="1"/>
    <col min="6" max="6" width="28.42578125" customWidth="1"/>
    <col min="8" max="8" width="9" customWidth="1"/>
    <col min="9" max="9" width="29.42578125" customWidth="1"/>
    <col min="10" max="10" width="11.5703125" customWidth="1"/>
    <col min="11" max="11" width="27" customWidth="1"/>
    <col min="12" max="12" width="6.28515625" customWidth="1"/>
    <col min="13" max="13" width="6" customWidth="1"/>
    <col min="14" max="14" width="5.28515625" customWidth="1"/>
    <col min="16" max="16" width="9.7109375" customWidth="1"/>
    <col min="17" max="17" width="27.28515625" customWidth="1"/>
    <col min="18" max="18" width="5.7109375" customWidth="1"/>
    <col min="19" max="19" width="5.42578125" customWidth="1"/>
    <col min="20" max="20" width="5.5703125" customWidth="1"/>
    <col min="22" max="23" width="14.85546875" customWidth="1"/>
    <col min="24" max="24" width="82.5703125" customWidth="1"/>
  </cols>
  <sheetData>
    <row r="1" spans="1:24" ht="15.75" thickBot="1" x14ac:dyDescent="0.3">
      <c r="A1" s="85" t="s">
        <v>59</v>
      </c>
      <c r="B1" s="8" t="s">
        <v>2</v>
      </c>
      <c r="C1" s="237" t="s">
        <v>3</v>
      </c>
      <c r="D1" s="239"/>
      <c r="E1" s="8" t="s">
        <v>4</v>
      </c>
      <c r="F1" s="8" t="s">
        <v>5</v>
      </c>
      <c r="G1" s="8" t="s">
        <v>6</v>
      </c>
      <c r="H1" s="8" t="s">
        <v>7</v>
      </c>
      <c r="I1" s="8" t="s">
        <v>57</v>
      </c>
      <c r="J1" s="8" t="s">
        <v>8</v>
      </c>
      <c r="K1" s="237" t="s">
        <v>9</v>
      </c>
      <c r="L1" s="238"/>
      <c r="M1" s="238"/>
      <c r="N1" s="238"/>
      <c r="O1" s="238"/>
      <c r="P1" s="239"/>
      <c r="Q1" s="237" t="s">
        <v>10</v>
      </c>
      <c r="R1" s="238"/>
      <c r="S1" s="238"/>
      <c r="T1" s="238"/>
      <c r="U1" s="238"/>
      <c r="V1" s="239"/>
      <c r="W1" s="180" t="s">
        <v>249</v>
      </c>
      <c r="X1" s="8" t="s">
        <v>11</v>
      </c>
    </row>
    <row r="2" spans="1:24" ht="15.75" thickBot="1" x14ac:dyDescent="0.3">
      <c r="A2" s="14"/>
      <c r="B2" s="13"/>
      <c r="C2" s="66" t="s">
        <v>47</v>
      </c>
      <c r="D2" s="65" t="s">
        <v>48</v>
      </c>
      <c r="E2" s="13"/>
      <c r="F2" s="13"/>
      <c r="G2" s="13"/>
      <c r="H2" s="13"/>
      <c r="I2" s="13"/>
      <c r="J2" s="13"/>
      <c r="K2" s="9" t="s">
        <v>12</v>
      </c>
      <c r="L2" s="9" t="s">
        <v>13</v>
      </c>
      <c r="M2" s="9" t="s">
        <v>14</v>
      </c>
      <c r="N2" s="9" t="s">
        <v>15</v>
      </c>
      <c r="O2" s="9" t="s">
        <v>16</v>
      </c>
      <c r="P2" s="9" t="s">
        <v>17</v>
      </c>
      <c r="Q2" s="10" t="s">
        <v>12</v>
      </c>
      <c r="R2" s="11" t="s">
        <v>13</v>
      </c>
      <c r="S2" s="11" t="s">
        <v>14</v>
      </c>
      <c r="T2" s="11" t="s">
        <v>15</v>
      </c>
      <c r="U2" s="11" t="s">
        <v>16</v>
      </c>
      <c r="V2" s="11" t="s">
        <v>18</v>
      </c>
      <c r="W2" s="200"/>
      <c r="X2" s="13"/>
    </row>
    <row r="3" spans="1:24" ht="120.75" thickBot="1" x14ac:dyDescent="0.3">
      <c r="A3" s="106" t="s">
        <v>127</v>
      </c>
      <c r="B3" s="107" t="s">
        <v>128</v>
      </c>
      <c r="C3" s="112" t="s">
        <v>24</v>
      </c>
      <c r="D3" s="113">
        <v>12</v>
      </c>
      <c r="E3" s="132">
        <v>0.8979166666666667</v>
      </c>
      <c r="F3" s="112" t="s">
        <v>131</v>
      </c>
      <c r="G3" s="112">
        <v>2</v>
      </c>
      <c r="H3" s="112">
        <v>3</v>
      </c>
      <c r="I3" s="111" t="s">
        <v>86</v>
      </c>
      <c r="J3" s="110" t="s">
        <v>129</v>
      </c>
      <c r="K3" s="112" t="s">
        <v>254</v>
      </c>
      <c r="L3" s="112" t="s">
        <v>37</v>
      </c>
      <c r="M3" s="112" t="s">
        <v>46</v>
      </c>
      <c r="N3" s="112">
        <v>15</v>
      </c>
      <c r="O3" s="112"/>
      <c r="P3" s="112" t="s">
        <v>62</v>
      </c>
      <c r="Q3" s="112" t="s">
        <v>130</v>
      </c>
      <c r="R3" s="113" t="s">
        <v>38</v>
      </c>
      <c r="S3" s="112" t="s">
        <v>46</v>
      </c>
      <c r="T3" s="112">
        <v>28</v>
      </c>
      <c r="U3" s="112"/>
      <c r="V3" s="112">
        <v>3</v>
      </c>
      <c r="W3" s="112" t="s">
        <v>95</v>
      </c>
      <c r="X3" s="111" t="s">
        <v>256</v>
      </c>
    </row>
    <row r="4" spans="1:24" x14ac:dyDescent="0.25">
      <c r="A4" s="101" t="s">
        <v>127</v>
      </c>
      <c r="B4" s="102" t="s">
        <v>125</v>
      </c>
      <c r="C4" s="104"/>
      <c r="D4" s="105"/>
      <c r="E4" s="105"/>
      <c r="F4" s="104"/>
      <c r="G4" s="104"/>
      <c r="H4" s="104"/>
      <c r="I4" s="103"/>
      <c r="J4" s="103"/>
      <c r="K4" s="104" t="s">
        <v>255</v>
      </c>
      <c r="L4" s="104" t="s">
        <v>37</v>
      </c>
      <c r="M4" s="104" t="s">
        <v>46</v>
      </c>
      <c r="N4" s="104">
        <v>17</v>
      </c>
      <c r="O4" s="104"/>
      <c r="P4" s="104" t="s">
        <v>62</v>
      </c>
      <c r="Q4" s="112" t="s">
        <v>130</v>
      </c>
      <c r="R4" s="113" t="s">
        <v>38</v>
      </c>
      <c r="S4" s="112" t="s">
        <v>46</v>
      </c>
      <c r="T4" s="112">
        <v>28</v>
      </c>
      <c r="U4" s="104"/>
      <c r="V4" s="112">
        <v>3</v>
      </c>
      <c r="W4" s="209" t="s">
        <v>95</v>
      </c>
      <c r="X4" s="103"/>
    </row>
    <row r="5" spans="1:24" ht="210" x14ac:dyDescent="0.25">
      <c r="A5" s="114" t="s">
        <v>132</v>
      </c>
      <c r="B5" s="115" t="s">
        <v>133</v>
      </c>
      <c r="C5" s="120" t="s">
        <v>26</v>
      </c>
      <c r="D5" s="121">
        <v>28</v>
      </c>
      <c r="E5" s="133">
        <v>0.99097222222222225</v>
      </c>
      <c r="F5" s="120" t="s">
        <v>134</v>
      </c>
      <c r="G5" s="120">
        <v>2</v>
      </c>
      <c r="H5" s="120">
        <v>6</v>
      </c>
      <c r="I5" s="119" t="s">
        <v>85</v>
      </c>
      <c r="J5" s="118" t="s">
        <v>129</v>
      </c>
      <c r="K5" s="120" t="s">
        <v>135</v>
      </c>
      <c r="L5" s="120" t="s">
        <v>37</v>
      </c>
      <c r="M5" s="120" t="s">
        <v>46</v>
      </c>
      <c r="N5" s="120">
        <v>25</v>
      </c>
      <c r="O5" s="120"/>
      <c r="P5" s="120" t="s">
        <v>62</v>
      </c>
      <c r="Q5" s="120" t="s">
        <v>136</v>
      </c>
      <c r="R5" s="121" t="s">
        <v>38</v>
      </c>
      <c r="S5" s="120" t="s">
        <v>46</v>
      </c>
      <c r="T5" s="120">
        <v>26</v>
      </c>
      <c r="U5" s="120"/>
      <c r="V5" s="120">
        <v>4</v>
      </c>
      <c r="W5" s="120" t="s">
        <v>250</v>
      </c>
      <c r="X5" s="119" t="s">
        <v>138</v>
      </c>
    </row>
    <row r="6" spans="1:24" x14ac:dyDescent="0.25">
      <c r="A6" s="100" t="s">
        <v>132</v>
      </c>
      <c r="B6" s="99" t="s">
        <v>125</v>
      </c>
      <c r="C6" s="49"/>
      <c r="D6" s="81"/>
      <c r="E6" s="98"/>
      <c r="F6" s="49"/>
      <c r="G6" s="49"/>
      <c r="H6" s="49"/>
      <c r="I6" s="75"/>
      <c r="J6" s="6"/>
      <c r="K6" s="120" t="s">
        <v>135</v>
      </c>
      <c r="L6" s="49" t="s">
        <v>37</v>
      </c>
      <c r="M6" s="49" t="s">
        <v>46</v>
      </c>
      <c r="N6" s="49">
        <v>25</v>
      </c>
      <c r="O6" s="49"/>
      <c r="P6" s="49" t="s">
        <v>62</v>
      </c>
      <c r="Q6" s="49" t="s">
        <v>137</v>
      </c>
      <c r="R6" s="81" t="s">
        <v>37</v>
      </c>
      <c r="S6" s="49" t="s">
        <v>46</v>
      </c>
      <c r="T6" s="49">
        <v>27</v>
      </c>
      <c r="U6" s="49"/>
      <c r="V6" s="49">
        <v>3</v>
      </c>
      <c r="W6" s="203" t="s">
        <v>125</v>
      </c>
      <c r="X6" s="6"/>
    </row>
    <row r="7" spans="1:24" ht="195" x14ac:dyDescent="0.25">
      <c r="A7" s="130" t="s">
        <v>139</v>
      </c>
      <c r="B7" s="131" t="s">
        <v>140</v>
      </c>
      <c r="C7" s="126" t="s">
        <v>27</v>
      </c>
      <c r="D7" s="127">
        <v>18</v>
      </c>
      <c r="E7" s="134">
        <v>0.19444444444444445</v>
      </c>
      <c r="F7" s="126" t="s">
        <v>141</v>
      </c>
      <c r="G7" s="126">
        <v>6</v>
      </c>
      <c r="H7" s="126">
        <v>2</v>
      </c>
      <c r="I7" s="135" t="s">
        <v>86</v>
      </c>
      <c r="J7" s="122" t="s">
        <v>129</v>
      </c>
      <c r="K7" s="126" t="s">
        <v>142</v>
      </c>
      <c r="L7" s="126" t="s">
        <v>38</v>
      </c>
      <c r="M7" s="126" t="s">
        <v>46</v>
      </c>
      <c r="N7" s="126">
        <v>35</v>
      </c>
      <c r="O7" s="126"/>
      <c r="P7" s="126" t="s">
        <v>143</v>
      </c>
      <c r="Q7" s="126" t="s">
        <v>144</v>
      </c>
      <c r="R7" s="127" t="s">
        <v>37</v>
      </c>
      <c r="S7" s="126" t="s">
        <v>46</v>
      </c>
      <c r="T7" s="126">
        <v>27</v>
      </c>
      <c r="U7" s="126"/>
      <c r="V7" s="126">
        <v>4</v>
      </c>
      <c r="W7" s="126" t="s">
        <v>95</v>
      </c>
      <c r="X7" s="135" t="s">
        <v>153</v>
      </c>
    </row>
    <row r="8" spans="1:24" x14ac:dyDescent="0.25">
      <c r="A8" s="129" t="s">
        <v>139</v>
      </c>
      <c r="B8" s="136" t="s">
        <v>125</v>
      </c>
      <c r="C8" s="126"/>
      <c r="D8" s="127"/>
      <c r="E8" s="134"/>
      <c r="F8" s="126"/>
      <c r="G8" s="126"/>
      <c r="H8" s="126"/>
      <c r="I8" s="135"/>
      <c r="J8" s="122"/>
      <c r="K8" s="126" t="s">
        <v>142</v>
      </c>
      <c r="L8" s="126" t="s">
        <v>38</v>
      </c>
      <c r="M8" s="126" t="s">
        <v>46</v>
      </c>
      <c r="N8" s="126">
        <v>35</v>
      </c>
      <c r="O8" s="126"/>
      <c r="P8" s="126" t="s">
        <v>143</v>
      </c>
      <c r="Q8" s="126" t="s">
        <v>145</v>
      </c>
      <c r="R8" s="127" t="s">
        <v>36</v>
      </c>
      <c r="S8" s="126" t="s">
        <v>46</v>
      </c>
      <c r="T8" s="126">
        <v>28</v>
      </c>
      <c r="U8" s="126"/>
      <c r="V8" s="126">
        <v>4</v>
      </c>
      <c r="W8" s="204" t="s">
        <v>125</v>
      </c>
      <c r="X8" s="122"/>
    </row>
    <row r="9" spans="1:24" x14ac:dyDescent="0.25">
      <c r="A9" s="129" t="s">
        <v>139</v>
      </c>
      <c r="B9" s="136" t="s">
        <v>125</v>
      </c>
      <c r="C9" s="126"/>
      <c r="D9" s="127"/>
      <c r="E9" s="134"/>
      <c r="F9" s="126"/>
      <c r="G9" s="126"/>
      <c r="H9" s="126"/>
      <c r="I9" s="135"/>
      <c r="J9" s="122"/>
      <c r="K9" s="126" t="s">
        <v>142</v>
      </c>
      <c r="L9" s="126" t="s">
        <v>38</v>
      </c>
      <c r="M9" s="126" t="s">
        <v>46</v>
      </c>
      <c r="N9" s="126">
        <v>35</v>
      </c>
      <c r="O9" s="126"/>
      <c r="P9" s="126" t="s">
        <v>143</v>
      </c>
      <c r="Q9" s="126" t="s">
        <v>146</v>
      </c>
      <c r="R9" s="127" t="s">
        <v>38</v>
      </c>
      <c r="S9" s="126" t="s">
        <v>46</v>
      </c>
      <c r="T9" s="126">
        <v>27</v>
      </c>
      <c r="U9" s="126"/>
      <c r="V9" s="126">
        <v>3</v>
      </c>
      <c r="W9" s="204" t="s">
        <v>125</v>
      </c>
      <c r="X9" s="122"/>
    </row>
    <row r="10" spans="1:24" ht="225" x14ac:dyDescent="0.25">
      <c r="A10" s="114" t="s">
        <v>147</v>
      </c>
      <c r="B10" s="128" t="s">
        <v>148</v>
      </c>
      <c r="C10" s="120" t="s">
        <v>149</v>
      </c>
      <c r="D10" s="121">
        <v>23</v>
      </c>
      <c r="E10" s="133">
        <v>5.486111111111111E-2</v>
      </c>
      <c r="F10" s="120" t="s">
        <v>150</v>
      </c>
      <c r="G10" s="120">
        <v>1</v>
      </c>
      <c r="H10" s="120">
        <v>3</v>
      </c>
      <c r="I10" s="119" t="s">
        <v>85</v>
      </c>
      <c r="J10" s="118" t="s">
        <v>129</v>
      </c>
      <c r="K10" s="120" t="s">
        <v>151</v>
      </c>
      <c r="L10" s="120" t="s">
        <v>37</v>
      </c>
      <c r="M10" s="120" t="s">
        <v>46</v>
      </c>
      <c r="N10" s="120">
        <v>28</v>
      </c>
      <c r="O10" s="120"/>
      <c r="P10" s="120" t="s">
        <v>62</v>
      </c>
      <c r="Q10" s="120" t="s">
        <v>152</v>
      </c>
      <c r="R10" s="121" t="s">
        <v>38</v>
      </c>
      <c r="S10" s="120" t="s">
        <v>46</v>
      </c>
      <c r="T10" s="120">
        <v>31</v>
      </c>
      <c r="U10" s="120"/>
      <c r="V10" s="120">
        <v>5</v>
      </c>
      <c r="W10" s="120" t="s">
        <v>250</v>
      </c>
      <c r="X10" s="119" t="s">
        <v>162</v>
      </c>
    </row>
    <row r="11" spans="1:24" ht="257.25" customHeight="1" x14ac:dyDescent="0.25">
      <c r="A11" s="130" t="s">
        <v>154</v>
      </c>
      <c r="B11" s="123" t="s">
        <v>155</v>
      </c>
      <c r="C11" s="126" t="s">
        <v>33</v>
      </c>
      <c r="D11" s="127">
        <v>1</v>
      </c>
      <c r="E11" s="134">
        <v>0.97083333333333333</v>
      </c>
      <c r="F11" s="126" t="s">
        <v>156</v>
      </c>
      <c r="G11" s="126">
        <v>7</v>
      </c>
      <c r="H11" s="126">
        <v>4</v>
      </c>
      <c r="I11" s="135" t="s">
        <v>85</v>
      </c>
      <c r="J11" s="122" t="s">
        <v>129</v>
      </c>
      <c r="K11" s="126" t="s">
        <v>157</v>
      </c>
      <c r="L11" s="126" t="s">
        <v>37</v>
      </c>
      <c r="M11" s="126" t="s">
        <v>45</v>
      </c>
      <c r="N11" s="126">
        <v>39</v>
      </c>
      <c r="O11" s="126"/>
      <c r="P11" s="126" t="s">
        <v>62</v>
      </c>
      <c r="Q11" s="126" t="s">
        <v>158</v>
      </c>
      <c r="R11" s="127" t="s">
        <v>38</v>
      </c>
      <c r="S11" s="126" t="s">
        <v>46</v>
      </c>
      <c r="T11" s="126">
        <v>37</v>
      </c>
      <c r="U11" s="126"/>
      <c r="V11" s="126">
        <v>12</v>
      </c>
      <c r="W11" s="126" t="s">
        <v>250</v>
      </c>
      <c r="X11" s="135" t="s">
        <v>163</v>
      </c>
    </row>
    <row r="12" spans="1:24" x14ac:dyDescent="0.25">
      <c r="A12" s="129" t="s">
        <v>154</v>
      </c>
      <c r="B12" s="136" t="s">
        <v>125</v>
      </c>
      <c r="C12" s="126"/>
      <c r="D12" s="127"/>
      <c r="E12" s="127"/>
      <c r="F12" s="126"/>
      <c r="G12" s="126"/>
      <c r="H12" s="126"/>
      <c r="I12" s="122"/>
      <c r="J12" s="122"/>
      <c r="K12" s="126" t="s">
        <v>157</v>
      </c>
      <c r="L12" s="126" t="s">
        <v>37</v>
      </c>
      <c r="M12" s="126" t="s">
        <v>45</v>
      </c>
      <c r="N12" s="126">
        <v>39</v>
      </c>
      <c r="O12" s="126"/>
      <c r="P12" s="126" t="s">
        <v>62</v>
      </c>
      <c r="Q12" s="126" t="s">
        <v>159</v>
      </c>
      <c r="R12" s="127" t="s">
        <v>38</v>
      </c>
      <c r="S12" s="126" t="s">
        <v>46</v>
      </c>
      <c r="T12" s="126">
        <v>45</v>
      </c>
      <c r="U12" s="126"/>
      <c r="V12" s="126">
        <v>24</v>
      </c>
      <c r="W12" s="204" t="s">
        <v>125</v>
      </c>
      <c r="X12" s="122"/>
    </row>
    <row r="13" spans="1:24" x14ac:dyDescent="0.25">
      <c r="A13" s="129" t="s">
        <v>154</v>
      </c>
      <c r="B13" s="136" t="s">
        <v>125</v>
      </c>
      <c r="C13" s="126"/>
      <c r="D13" s="127"/>
      <c r="E13" s="127"/>
      <c r="F13" s="126"/>
      <c r="G13" s="126"/>
      <c r="H13" s="126"/>
      <c r="I13" s="122"/>
      <c r="J13" s="122"/>
      <c r="K13" s="126" t="s">
        <v>157</v>
      </c>
      <c r="L13" s="126" t="s">
        <v>37</v>
      </c>
      <c r="M13" s="126" t="s">
        <v>45</v>
      </c>
      <c r="N13" s="126">
        <v>39</v>
      </c>
      <c r="O13" s="126"/>
      <c r="P13" s="126" t="s">
        <v>62</v>
      </c>
      <c r="Q13" s="126" t="s">
        <v>160</v>
      </c>
      <c r="R13" s="127" t="s">
        <v>37</v>
      </c>
      <c r="S13" s="126" t="s">
        <v>46</v>
      </c>
      <c r="T13" s="126">
        <v>30</v>
      </c>
      <c r="U13" s="126"/>
      <c r="V13" s="126">
        <v>8</v>
      </c>
      <c r="W13" s="204" t="s">
        <v>125</v>
      </c>
      <c r="X13" s="122"/>
    </row>
    <row r="14" spans="1:24" x14ac:dyDescent="0.25">
      <c r="A14" s="129" t="s">
        <v>154</v>
      </c>
      <c r="B14" s="136" t="s">
        <v>125</v>
      </c>
      <c r="C14" s="126"/>
      <c r="D14" s="127"/>
      <c r="E14" s="127"/>
      <c r="F14" s="126"/>
      <c r="G14" s="126"/>
      <c r="H14" s="126"/>
      <c r="I14" s="122"/>
      <c r="J14" s="122"/>
      <c r="K14" s="126" t="s">
        <v>157</v>
      </c>
      <c r="L14" s="126" t="s">
        <v>37</v>
      </c>
      <c r="M14" s="126" t="s">
        <v>45</v>
      </c>
      <c r="N14" s="126">
        <v>39</v>
      </c>
      <c r="O14" s="126"/>
      <c r="P14" s="126" t="s">
        <v>62</v>
      </c>
      <c r="Q14" s="126" t="s">
        <v>161</v>
      </c>
      <c r="R14" s="127" t="s">
        <v>38</v>
      </c>
      <c r="S14" s="126" t="s">
        <v>46</v>
      </c>
      <c r="T14" s="126">
        <v>36</v>
      </c>
      <c r="U14" s="126"/>
      <c r="V14" s="126">
        <v>12</v>
      </c>
      <c r="W14" s="204" t="s">
        <v>125</v>
      </c>
      <c r="X14" s="122"/>
    </row>
    <row r="15" spans="1:24" ht="210" x14ac:dyDescent="0.25">
      <c r="A15" s="114" t="s">
        <v>164</v>
      </c>
      <c r="B15" s="128" t="s">
        <v>165</v>
      </c>
      <c r="C15" s="120" t="s">
        <v>33</v>
      </c>
      <c r="D15" s="121">
        <v>28</v>
      </c>
      <c r="E15" s="133">
        <v>0.82708333333333339</v>
      </c>
      <c r="F15" s="120" t="s">
        <v>166</v>
      </c>
      <c r="G15" s="120">
        <v>3</v>
      </c>
      <c r="H15" s="120">
        <v>4</v>
      </c>
      <c r="I15" s="119" t="s">
        <v>85</v>
      </c>
      <c r="J15" s="118" t="s">
        <v>129</v>
      </c>
      <c r="K15" s="120" t="s">
        <v>167</v>
      </c>
      <c r="L15" s="120" t="s">
        <v>38</v>
      </c>
      <c r="M15" s="120" t="s">
        <v>46</v>
      </c>
      <c r="N15" s="120">
        <v>38</v>
      </c>
      <c r="O15" s="120"/>
      <c r="P15" s="120" t="s">
        <v>62</v>
      </c>
      <c r="Q15" s="120" t="s">
        <v>97</v>
      </c>
      <c r="R15" s="121" t="s">
        <v>38</v>
      </c>
      <c r="S15" s="120" t="s">
        <v>46</v>
      </c>
      <c r="T15" s="120">
        <v>35</v>
      </c>
      <c r="U15" s="120"/>
      <c r="V15" s="120">
        <v>5</v>
      </c>
      <c r="W15" s="120" t="s">
        <v>250</v>
      </c>
      <c r="X15" s="119" t="s">
        <v>169</v>
      </c>
    </row>
    <row r="16" spans="1:24" x14ac:dyDescent="0.25">
      <c r="A16" s="137" t="s">
        <v>164</v>
      </c>
      <c r="B16" s="138" t="s">
        <v>125</v>
      </c>
      <c r="C16" s="120" t="s">
        <v>33</v>
      </c>
      <c r="D16" s="121"/>
      <c r="E16" s="121"/>
      <c r="F16" s="118"/>
      <c r="G16" s="120"/>
      <c r="H16" s="120"/>
      <c r="I16" s="118"/>
      <c r="J16" s="118"/>
      <c r="K16" s="120" t="s">
        <v>167</v>
      </c>
      <c r="L16" s="120" t="s">
        <v>38</v>
      </c>
      <c r="M16" s="120" t="s">
        <v>46</v>
      </c>
      <c r="N16" s="120">
        <v>38</v>
      </c>
      <c r="O16" s="120"/>
      <c r="P16" s="120" t="s">
        <v>62</v>
      </c>
      <c r="Q16" s="120" t="s">
        <v>168</v>
      </c>
      <c r="R16" s="121" t="s">
        <v>38</v>
      </c>
      <c r="S16" s="120" t="s">
        <v>46</v>
      </c>
      <c r="T16" s="120">
        <v>25</v>
      </c>
      <c r="U16" s="120"/>
      <c r="V16" s="120">
        <v>1</v>
      </c>
      <c r="W16" s="205" t="s">
        <v>125</v>
      </c>
      <c r="X16" s="118"/>
    </row>
    <row r="17" spans="1:24" x14ac:dyDescent="0.25">
      <c r="A17" s="122"/>
      <c r="B17" s="123"/>
      <c r="C17" s="124"/>
      <c r="D17" s="125"/>
      <c r="E17" s="127"/>
      <c r="F17" s="122"/>
      <c r="G17" s="122"/>
      <c r="H17" s="126"/>
      <c r="I17" s="122"/>
      <c r="J17" s="122"/>
      <c r="K17" s="126"/>
      <c r="L17" s="126"/>
      <c r="M17" s="126"/>
      <c r="N17" s="126"/>
      <c r="O17" s="126"/>
      <c r="P17" s="126"/>
      <c r="Q17" s="126"/>
      <c r="R17" s="127"/>
      <c r="S17" s="126"/>
      <c r="T17" s="126"/>
      <c r="U17" s="126"/>
      <c r="V17" s="126"/>
      <c r="W17" s="126"/>
      <c r="X17" s="122"/>
    </row>
    <row r="18" spans="1:24" x14ac:dyDescent="0.25">
      <c r="A18" s="118"/>
      <c r="B18" s="128"/>
      <c r="C18" s="116"/>
      <c r="D18" s="117"/>
      <c r="E18" s="121"/>
      <c r="F18" s="118"/>
      <c r="G18" s="118"/>
      <c r="H18" s="120"/>
      <c r="I18" s="118"/>
      <c r="J18" s="118"/>
      <c r="K18" s="120"/>
      <c r="L18" s="120"/>
      <c r="M18" s="120"/>
      <c r="N18" s="120"/>
      <c r="O18" s="120"/>
      <c r="P18" s="120"/>
      <c r="Q18" s="120"/>
      <c r="R18" s="121"/>
      <c r="S18" s="120"/>
      <c r="T18" s="120"/>
      <c r="U18" s="120"/>
      <c r="V18" s="120"/>
      <c r="W18" s="120"/>
      <c r="X18" s="118"/>
    </row>
    <row r="19" spans="1:24" x14ac:dyDescent="0.25">
      <c r="A19" s="122"/>
      <c r="B19" s="123"/>
      <c r="C19" s="124"/>
      <c r="D19" s="125"/>
      <c r="E19" s="127"/>
      <c r="F19" s="122"/>
      <c r="G19" s="122"/>
      <c r="H19" s="126"/>
      <c r="I19" s="122"/>
      <c r="J19" s="122"/>
      <c r="K19" s="126"/>
      <c r="L19" s="126"/>
      <c r="M19" s="126"/>
      <c r="N19" s="126"/>
      <c r="O19" s="126"/>
      <c r="P19" s="126"/>
      <c r="Q19" s="126"/>
      <c r="R19" s="127"/>
      <c r="S19" s="126"/>
      <c r="T19" s="126"/>
      <c r="U19" s="126"/>
      <c r="V19" s="126"/>
      <c r="W19" s="126"/>
      <c r="X19" s="122"/>
    </row>
    <row r="20" spans="1:24" x14ac:dyDescent="0.25">
      <c r="A20" s="118"/>
      <c r="B20" s="128"/>
      <c r="C20" s="116"/>
      <c r="D20" s="117"/>
      <c r="E20" s="121"/>
      <c r="F20" s="118"/>
      <c r="G20" s="118"/>
      <c r="H20" s="120"/>
      <c r="I20" s="118"/>
      <c r="J20" s="118"/>
      <c r="K20" s="120"/>
      <c r="L20" s="120"/>
      <c r="M20" s="120"/>
      <c r="N20" s="120"/>
      <c r="O20" s="120"/>
      <c r="P20" s="120"/>
      <c r="Q20" s="120"/>
      <c r="R20" s="121"/>
      <c r="S20" s="120"/>
      <c r="T20" s="120"/>
      <c r="U20" s="120"/>
      <c r="V20" s="120"/>
      <c r="W20" s="120"/>
      <c r="X20" s="118"/>
    </row>
    <row r="21" spans="1:24" x14ac:dyDescent="0.25">
      <c r="A21" s="122"/>
      <c r="B21" s="123"/>
      <c r="C21" s="124"/>
      <c r="D21" s="125"/>
      <c r="E21" s="127"/>
      <c r="F21" s="122"/>
      <c r="G21" s="122"/>
      <c r="H21" s="126"/>
      <c r="I21" s="122"/>
      <c r="J21" s="122"/>
      <c r="K21" s="126"/>
      <c r="L21" s="126"/>
      <c r="M21" s="126"/>
      <c r="N21" s="126"/>
      <c r="O21" s="126"/>
      <c r="P21" s="126"/>
      <c r="Q21" s="126"/>
      <c r="R21" s="127"/>
      <c r="S21" s="126"/>
      <c r="T21" s="126"/>
      <c r="U21" s="126"/>
      <c r="V21" s="126"/>
      <c r="W21" s="126"/>
      <c r="X21" s="122"/>
    </row>
    <row r="22" spans="1:24" x14ac:dyDescent="0.25">
      <c r="A22" s="118"/>
      <c r="B22" s="128"/>
      <c r="C22" s="116"/>
      <c r="D22" s="117"/>
      <c r="E22" s="128"/>
      <c r="F22" s="118"/>
      <c r="G22" s="118"/>
      <c r="H22" s="118"/>
      <c r="I22" s="118"/>
      <c r="J22" s="118"/>
      <c r="K22" s="120"/>
      <c r="L22" s="120"/>
      <c r="M22" s="120"/>
      <c r="N22" s="120"/>
      <c r="O22" s="120"/>
      <c r="P22" s="120"/>
      <c r="Q22" s="120"/>
      <c r="R22" s="121"/>
      <c r="S22" s="120"/>
      <c r="T22" s="120"/>
      <c r="U22" s="120"/>
      <c r="V22" s="120"/>
      <c r="W22" s="120"/>
      <c r="X22" s="118"/>
    </row>
    <row r="23" spans="1:24" x14ac:dyDescent="0.25">
      <c r="A23" s="122"/>
      <c r="B23" s="123"/>
      <c r="C23" s="124"/>
      <c r="D23" s="125"/>
      <c r="E23" s="123"/>
      <c r="F23" s="122"/>
      <c r="G23" s="122"/>
      <c r="H23" s="122"/>
      <c r="I23" s="122"/>
      <c r="J23" s="122"/>
      <c r="K23" s="126"/>
      <c r="L23" s="126"/>
      <c r="M23" s="126"/>
      <c r="N23" s="126"/>
      <c r="O23" s="126"/>
      <c r="P23" s="126"/>
      <c r="Q23" s="126"/>
      <c r="R23" s="127"/>
      <c r="S23" s="126"/>
      <c r="T23" s="126"/>
      <c r="U23" s="126"/>
      <c r="V23" s="126"/>
      <c r="W23" s="126"/>
      <c r="X23" s="122"/>
    </row>
    <row r="24" spans="1:24" x14ac:dyDescent="0.25">
      <c r="A24" s="6"/>
      <c r="B24" s="7"/>
      <c r="C24" s="67"/>
      <c r="D24" s="68"/>
      <c r="E24" s="7"/>
      <c r="F24" s="6"/>
      <c r="G24" s="6"/>
      <c r="H24" s="6"/>
      <c r="I24" s="6"/>
      <c r="J24" s="6"/>
      <c r="K24" s="49"/>
      <c r="L24" s="49"/>
      <c r="M24" s="49"/>
      <c r="N24" s="49"/>
      <c r="O24" s="49"/>
      <c r="P24" s="49"/>
      <c r="Q24" s="49"/>
      <c r="R24" s="81"/>
      <c r="S24" s="49"/>
      <c r="T24" s="49"/>
      <c r="U24" s="49"/>
      <c r="V24" s="49"/>
      <c r="W24" s="49"/>
      <c r="X24" s="6"/>
    </row>
    <row r="25" spans="1:24" x14ac:dyDescent="0.25">
      <c r="A25" s="1"/>
      <c r="B25" s="4"/>
      <c r="C25" s="69"/>
      <c r="D25" s="70"/>
      <c r="E25" s="4"/>
      <c r="F25" s="1"/>
      <c r="G25" s="1"/>
      <c r="H25" s="1"/>
      <c r="I25" s="1"/>
      <c r="J25" s="1"/>
      <c r="K25" s="19"/>
      <c r="L25" s="19"/>
      <c r="M25" s="19"/>
      <c r="N25" s="19"/>
      <c r="O25" s="19"/>
      <c r="P25" s="19"/>
      <c r="Q25" s="19"/>
      <c r="R25" s="82"/>
      <c r="S25" s="19"/>
      <c r="T25" s="19"/>
      <c r="U25" s="19"/>
      <c r="V25" s="19"/>
      <c r="W25" s="19"/>
      <c r="X25" s="1"/>
    </row>
    <row r="26" spans="1:24" x14ac:dyDescent="0.25">
      <c r="A26" s="6"/>
      <c r="B26" s="7"/>
      <c r="C26" s="67"/>
      <c r="D26" s="68"/>
      <c r="E26" s="7"/>
      <c r="F26" s="6"/>
      <c r="G26" s="6"/>
      <c r="H26" s="6"/>
      <c r="I26" s="6"/>
      <c r="J26" s="6"/>
      <c r="K26" s="49"/>
      <c r="L26" s="49"/>
      <c r="M26" s="49"/>
      <c r="N26" s="49"/>
      <c r="O26" s="49"/>
      <c r="P26" s="49"/>
      <c r="Q26" s="49"/>
      <c r="R26" s="81"/>
      <c r="S26" s="49"/>
      <c r="T26" s="49"/>
      <c r="U26" s="49"/>
      <c r="V26" s="49"/>
      <c r="W26" s="49"/>
      <c r="X26" s="6"/>
    </row>
    <row r="27" spans="1:24" x14ac:dyDescent="0.25">
      <c r="A27" s="1"/>
      <c r="B27" s="4"/>
      <c r="C27" s="69"/>
      <c r="D27" s="70"/>
      <c r="E27" s="4"/>
      <c r="F27" s="1"/>
      <c r="G27" s="1"/>
      <c r="H27" s="1"/>
      <c r="I27" s="1"/>
      <c r="J27" s="1"/>
      <c r="K27" s="19"/>
      <c r="L27" s="19"/>
      <c r="M27" s="19"/>
      <c r="N27" s="19"/>
      <c r="O27" s="19"/>
      <c r="P27" s="19"/>
      <c r="Q27" s="19"/>
      <c r="R27" s="82"/>
      <c r="S27" s="19"/>
      <c r="T27" s="19"/>
      <c r="U27" s="19"/>
      <c r="V27" s="19"/>
      <c r="W27" s="19"/>
      <c r="X27" s="1"/>
    </row>
    <row r="28" spans="1:24" x14ac:dyDescent="0.25">
      <c r="A28" s="6"/>
      <c r="B28" s="7"/>
      <c r="C28" s="67"/>
      <c r="D28" s="68"/>
      <c r="E28" s="7"/>
      <c r="F28" s="6"/>
      <c r="G28" s="6"/>
      <c r="H28" s="6"/>
      <c r="I28" s="6"/>
      <c r="J28" s="6"/>
      <c r="K28" s="49"/>
      <c r="L28" s="49"/>
      <c r="M28" s="49"/>
      <c r="N28" s="49"/>
      <c r="O28" s="49"/>
      <c r="P28" s="49"/>
      <c r="Q28" s="49"/>
      <c r="R28" s="81"/>
      <c r="S28" s="49"/>
      <c r="T28" s="49"/>
      <c r="U28" s="49"/>
      <c r="V28" s="49"/>
      <c r="W28" s="49"/>
      <c r="X28" s="6"/>
    </row>
    <row r="29" spans="1:24" x14ac:dyDescent="0.25">
      <c r="A29" s="1"/>
      <c r="B29" s="4"/>
      <c r="C29" s="69"/>
      <c r="D29" s="70"/>
      <c r="E29" s="4"/>
      <c r="F29" s="1"/>
      <c r="G29" s="1"/>
      <c r="H29" s="1"/>
      <c r="I29" s="1"/>
      <c r="J29" s="1"/>
      <c r="K29" s="19"/>
      <c r="L29" s="19"/>
      <c r="M29" s="19"/>
      <c r="N29" s="19"/>
      <c r="O29" s="19"/>
      <c r="P29" s="19"/>
      <c r="Q29" s="19"/>
      <c r="R29" s="82"/>
      <c r="S29" s="19"/>
      <c r="T29" s="19"/>
      <c r="U29" s="19"/>
      <c r="V29" s="19"/>
      <c r="W29" s="19"/>
      <c r="X29" s="1"/>
    </row>
    <row r="30" spans="1:24" x14ac:dyDescent="0.25">
      <c r="A30" s="6"/>
      <c r="B30" s="7"/>
      <c r="C30" s="67"/>
      <c r="D30" s="68"/>
      <c r="E30" s="7"/>
      <c r="F30" s="6"/>
      <c r="G30" s="6"/>
      <c r="H30" s="6"/>
      <c r="I30" s="6"/>
      <c r="J30" s="6"/>
      <c r="K30" s="49"/>
      <c r="L30" s="49"/>
      <c r="M30" s="49"/>
      <c r="N30" s="49"/>
      <c r="O30" s="49"/>
      <c r="P30" s="49"/>
      <c r="Q30" s="49"/>
      <c r="R30" s="81"/>
      <c r="S30" s="49"/>
      <c r="T30" s="49"/>
      <c r="U30" s="49"/>
      <c r="V30" s="49"/>
      <c r="W30" s="49"/>
      <c r="X30" s="6"/>
    </row>
    <row r="31" spans="1:24" x14ac:dyDescent="0.25">
      <c r="A31" s="1"/>
      <c r="B31" s="4"/>
      <c r="C31" s="69"/>
      <c r="D31" s="70"/>
      <c r="E31" s="4"/>
      <c r="F31" s="1"/>
      <c r="G31" s="1"/>
      <c r="H31" s="1"/>
      <c r="I31" s="1"/>
      <c r="J31" s="1"/>
      <c r="K31" s="19"/>
      <c r="L31" s="19"/>
      <c r="M31" s="19"/>
      <c r="N31" s="19"/>
      <c r="O31" s="19"/>
      <c r="P31" s="19"/>
      <c r="Q31" s="19"/>
      <c r="R31" s="82"/>
      <c r="S31" s="19"/>
      <c r="T31" s="19"/>
      <c r="U31" s="19"/>
      <c r="V31" s="19"/>
      <c r="W31" s="19"/>
      <c r="X31" s="1"/>
    </row>
    <row r="32" spans="1:24" x14ac:dyDescent="0.25">
      <c r="A32" s="6"/>
      <c r="B32" s="7"/>
      <c r="C32" s="67"/>
      <c r="D32" s="68"/>
      <c r="E32" s="7"/>
      <c r="F32" s="6"/>
      <c r="G32" s="6"/>
      <c r="H32" s="6"/>
      <c r="I32" s="6"/>
      <c r="J32" s="6"/>
      <c r="K32" s="49"/>
      <c r="L32" s="49"/>
      <c r="M32" s="49"/>
      <c r="N32" s="49"/>
      <c r="O32" s="49"/>
      <c r="P32" s="49"/>
      <c r="Q32" s="49"/>
      <c r="R32" s="81"/>
      <c r="S32" s="49"/>
      <c r="T32" s="49"/>
      <c r="U32" s="49"/>
      <c r="V32" s="49"/>
      <c r="W32" s="49"/>
      <c r="X32" s="6"/>
    </row>
    <row r="33" spans="1:24" ht="15.75" thickBot="1" x14ac:dyDescent="0.3">
      <c r="A33" s="2"/>
      <c r="B33" s="5"/>
      <c r="C33" s="71"/>
      <c r="D33" s="72"/>
      <c r="E33" s="5"/>
      <c r="F33" s="2"/>
      <c r="G33" s="2"/>
      <c r="H33" s="2"/>
      <c r="I33" s="2"/>
      <c r="J33" s="2"/>
      <c r="K33" s="83"/>
      <c r="L33" s="83"/>
      <c r="M33" s="83"/>
      <c r="N33" s="83"/>
      <c r="O33" s="83"/>
      <c r="P33" s="83"/>
      <c r="Q33" s="83"/>
      <c r="R33" s="84"/>
      <c r="S33" s="83"/>
      <c r="T33" s="83"/>
      <c r="U33" s="83"/>
      <c r="V33" s="83"/>
      <c r="W33" s="83"/>
      <c r="X33" s="2"/>
    </row>
  </sheetData>
  <mergeCells count="3">
    <mergeCell ref="K1:P1"/>
    <mergeCell ref="Q1:V1"/>
    <mergeCell ref="C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26"/>
  <sheetViews>
    <sheetView topLeftCell="K4" zoomScale="85" zoomScaleNormal="85" workbookViewId="0">
      <selection activeCell="W5" sqref="W5"/>
    </sheetView>
  </sheetViews>
  <sheetFormatPr defaultRowHeight="15" x14ac:dyDescent="0.25"/>
  <cols>
    <col min="2" max="2" width="13.5703125" customWidth="1"/>
    <col min="3" max="3" width="18.5703125" customWidth="1"/>
    <col min="4" max="4" width="6.85546875" customWidth="1"/>
    <col min="5" max="5" width="18.42578125" customWidth="1"/>
    <col min="6" max="6" width="26.42578125" customWidth="1"/>
    <col min="9" max="9" width="25.85546875" style="174" customWidth="1"/>
    <col min="10" max="10" width="11.5703125" customWidth="1"/>
    <col min="11" max="11" width="18.28515625" customWidth="1"/>
    <col min="17" max="17" width="22.5703125" customWidth="1"/>
    <col min="22" max="23" width="16.42578125" customWidth="1"/>
    <col min="24" max="24" width="92" customWidth="1"/>
  </cols>
  <sheetData>
    <row r="1" spans="1:24" ht="15.75" thickBot="1" x14ac:dyDescent="0.3">
      <c r="A1" s="15" t="s">
        <v>19</v>
      </c>
      <c r="B1" s="8" t="s">
        <v>2</v>
      </c>
      <c r="C1" s="237" t="s">
        <v>3</v>
      </c>
      <c r="D1" s="239"/>
      <c r="E1" s="8" t="s">
        <v>4</v>
      </c>
      <c r="F1" s="8" t="s">
        <v>5</v>
      </c>
      <c r="G1" s="8" t="s">
        <v>6</v>
      </c>
      <c r="H1" s="8" t="s">
        <v>7</v>
      </c>
      <c r="I1" s="171" t="s">
        <v>57</v>
      </c>
      <c r="J1" s="8" t="s">
        <v>8</v>
      </c>
      <c r="K1" s="237" t="s">
        <v>9</v>
      </c>
      <c r="L1" s="238"/>
      <c r="M1" s="238"/>
      <c r="N1" s="238"/>
      <c r="O1" s="238"/>
      <c r="P1" s="239"/>
      <c r="Q1" s="237" t="s">
        <v>10</v>
      </c>
      <c r="R1" s="238"/>
      <c r="S1" s="238"/>
      <c r="T1" s="238"/>
      <c r="U1" s="238"/>
      <c r="V1" s="239"/>
      <c r="W1" s="180" t="s">
        <v>249</v>
      </c>
      <c r="X1" s="8" t="s">
        <v>11</v>
      </c>
    </row>
    <row r="2" spans="1:24" ht="15.75" thickBot="1" x14ac:dyDescent="0.3">
      <c r="A2" s="14"/>
      <c r="B2" s="13"/>
      <c r="C2" s="66" t="s">
        <v>47</v>
      </c>
      <c r="D2" s="65" t="s">
        <v>48</v>
      </c>
      <c r="E2" s="13"/>
      <c r="F2" s="13"/>
      <c r="G2" s="13"/>
      <c r="H2" s="13"/>
      <c r="I2" s="172"/>
      <c r="J2" s="13"/>
      <c r="K2" s="9" t="s">
        <v>12</v>
      </c>
      <c r="L2" s="9" t="s">
        <v>13</v>
      </c>
      <c r="M2" s="9" t="s">
        <v>14</v>
      </c>
      <c r="N2" s="9" t="s">
        <v>15</v>
      </c>
      <c r="O2" s="9" t="s">
        <v>16</v>
      </c>
      <c r="P2" s="9" t="s">
        <v>17</v>
      </c>
      <c r="Q2" s="10" t="s">
        <v>12</v>
      </c>
      <c r="R2" s="11" t="s">
        <v>13</v>
      </c>
      <c r="S2" s="11" t="s">
        <v>14</v>
      </c>
      <c r="T2" s="11" t="s">
        <v>15</v>
      </c>
      <c r="U2" s="11" t="s">
        <v>16</v>
      </c>
      <c r="V2" s="11" t="s">
        <v>18</v>
      </c>
      <c r="W2" s="200"/>
      <c r="X2" s="13"/>
    </row>
    <row r="3" spans="1:24" ht="315.75" thickBot="1" x14ac:dyDescent="0.3">
      <c r="A3" s="106" t="s">
        <v>204</v>
      </c>
      <c r="B3" s="107" t="s">
        <v>205</v>
      </c>
      <c r="C3" s="112" t="s">
        <v>30</v>
      </c>
      <c r="D3" s="113">
        <v>7</v>
      </c>
      <c r="E3" s="132">
        <v>0.35416666666666669</v>
      </c>
      <c r="F3" s="110" t="s">
        <v>206</v>
      </c>
      <c r="G3" s="112">
        <v>7</v>
      </c>
      <c r="H3" s="112">
        <v>1</v>
      </c>
      <c r="I3" s="111" t="s">
        <v>224</v>
      </c>
      <c r="J3" s="112" t="s">
        <v>129</v>
      </c>
      <c r="K3" s="112" t="s">
        <v>207</v>
      </c>
      <c r="L3" s="112" t="s">
        <v>37</v>
      </c>
      <c r="M3" s="112" t="s">
        <v>46</v>
      </c>
      <c r="N3" s="112">
        <v>30</v>
      </c>
      <c r="O3" s="112" t="s">
        <v>95</v>
      </c>
      <c r="P3" s="112" t="s">
        <v>62</v>
      </c>
      <c r="Q3" s="112" t="s">
        <v>208</v>
      </c>
      <c r="R3" s="113" t="s">
        <v>38</v>
      </c>
      <c r="S3" s="112" t="s">
        <v>46</v>
      </c>
      <c r="T3" s="112">
        <v>43</v>
      </c>
      <c r="U3" s="112" t="s">
        <v>95</v>
      </c>
      <c r="V3" s="112">
        <v>18</v>
      </c>
      <c r="W3" s="112" t="s">
        <v>250</v>
      </c>
      <c r="X3" s="157" t="s">
        <v>227</v>
      </c>
    </row>
    <row r="4" spans="1:24" ht="285.75" thickBot="1" x14ac:dyDescent="0.3">
      <c r="A4" s="114" t="s">
        <v>209</v>
      </c>
      <c r="B4" s="128" t="s">
        <v>210</v>
      </c>
      <c r="C4" s="120" t="s">
        <v>31</v>
      </c>
      <c r="D4" s="121">
        <v>15</v>
      </c>
      <c r="E4" s="133">
        <v>0.77083333333333337</v>
      </c>
      <c r="F4" s="118" t="s">
        <v>211</v>
      </c>
      <c r="G4" s="120">
        <v>3</v>
      </c>
      <c r="H4" s="120">
        <v>1</v>
      </c>
      <c r="I4" s="175" t="s">
        <v>224</v>
      </c>
      <c r="J4" s="120" t="s">
        <v>129</v>
      </c>
      <c r="K4" s="120" t="s">
        <v>212</v>
      </c>
      <c r="L4" s="120" t="s">
        <v>37</v>
      </c>
      <c r="M4" s="120" t="s">
        <v>45</v>
      </c>
      <c r="N4" s="120">
        <v>21</v>
      </c>
      <c r="O4" s="120" t="s">
        <v>95</v>
      </c>
      <c r="P4" s="120" t="s">
        <v>62</v>
      </c>
      <c r="Q4" s="120" t="s">
        <v>214</v>
      </c>
      <c r="R4" s="121" t="s">
        <v>38</v>
      </c>
      <c r="S4" s="120" t="s">
        <v>46</v>
      </c>
      <c r="T4" s="120">
        <v>29</v>
      </c>
      <c r="U4" s="120" t="s">
        <v>95</v>
      </c>
      <c r="V4" s="120">
        <v>4</v>
      </c>
      <c r="W4" s="120" t="s">
        <v>95</v>
      </c>
      <c r="X4" s="75" t="s">
        <v>228</v>
      </c>
    </row>
    <row r="5" spans="1:24" ht="45" x14ac:dyDescent="0.25">
      <c r="A5" s="114" t="s">
        <v>209</v>
      </c>
      <c r="B5" s="138" t="s">
        <v>125</v>
      </c>
      <c r="C5" s="120"/>
      <c r="D5" s="121"/>
      <c r="E5" s="133"/>
      <c r="F5" s="118"/>
      <c r="G5" s="120"/>
      <c r="H5" s="120"/>
      <c r="I5" s="175" t="s">
        <v>224</v>
      </c>
      <c r="J5" s="120" t="s">
        <v>129</v>
      </c>
      <c r="K5" s="120" t="s">
        <v>213</v>
      </c>
      <c r="L5" s="120" t="s">
        <v>38</v>
      </c>
      <c r="M5" s="120" t="s">
        <v>45</v>
      </c>
      <c r="N5" s="120">
        <v>18</v>
      </c>
      <c r="O5" s="120" t="s">
        <v>95</v>
      </c>
      <c r="P5" s="120" t="s">
        <v>74</v>
      </c>
      <c r="Q5" s="120" t="s">
        <v>215</v>
      </c>
      <c r="R5" s="121" t="s">
        <v>38</v>
      </c>
      <c r="S5" s="120" t="s">
        <v>46</v>
      </c>
      <c r="T5" s="120">
        <v>32</v>
      </c>
      <c r="U5" s="120" t="s">
        <v>95</v>
      </c>
      <c r="V5" s="120">
        <v>4</v>
      </c>
      <c r="W5" s="208" t="s">
        <v>95</v>
      </c>
      <c r="X5" s="75" t="s">
        <v>123</v>
      </c>
    </row>
    <row r="6" spans="1:24" x14ac:dyDescent="0.25">
      <c r="A6" s="130"/>
      <c r="B6" s="123"/>
      <c r="C6" s="126"/>
      <c r="D6" s="127"/>
      <c r="E6" s="127"/>
      <c r="F6" s="122"/>
      <c r="G6" s="126"/>
      <c r="H6" s="126"/>
      <c r="I6" s="135"/>
      <c r="J6" s="126"/>
      <c r="K6" s="126"/>
      <c r="L6" s="126"/>
      <c r="M6" s="126"/>
      <c r="N6" s="126"/>
      <c r="O6" s="126"/>
      <c r="P6" s="126"/>
      <c r="Q6" s="126"/>
      <c r="R6" s="127"/>
      <c r="S6" s="126"/>
      <c r="T6" s="126"/>
      <c r="U6" s="126"/>
      <c r="V6" s="126"/>
      <c r="W6" s="126"/>
      <c r="X6" s="1"/>
    </row>
    <row r="7" spans="1:24" x14ac:dyDescent="0.25">
      <c r="A7" s="114"/>
      <c r="B7" s="128"/>
      <c r="C7" s="120"/>
      <c r="D7" s="121"/>
      <c r="E7" s="121"/>
      <c r="F7" s="118"/>
      <c r="G7" s="120"/>
      <c r="H7" s="120"/>
      <c r="I7" s="119"/>
      <c r="J7" s="120"/>
      <c r="K7" s="120"/>
      <c r="L7" s="120"/>
      <c r="M7" s="120"/>
      <c r="N7" s="120"/>
      <c r="O7" s="120"/>
      <c r="P7" s="120"/>
      <c r="Q7" s="120"/>
      <c r="R7" s="121"/>
      <c r="S7" s="120"/>
      <c r="T7" s="120"/>
      <c r="U7" s="120"/>
      <c r="V7" s="120"/>
      <c r="W7" s="120"/>
      <c r="X7" s="6"/>
    </row>
    <row r="8" spans="1:24" x14ac:dyDescent="0.25">
      <c r="A8" s="130"/>
      <c r="B8" s="123"/>
      <c r="C8" s="126"/>
      <c r="D8" s="127"/>
      <c r="E8" s="127"/>
      <c r="F8" s="122"/>
      <c r="G8" s="126"/>
      <c r="H8" s="126"/>
      <c r="I8" s="135"/>
      <c r="J8" s="126"/>
      <c r="K8" s="126"/>
      <c r="L8" s="126"/>
      <c r="M8" s="126"/>
      <c r="N8" s="126"/>
      <c r="O8" s="126"/>
      <c r="P8" s="126"/>
      <c r="Q8" s="126"/>
      <c r="R8" s="127"/>
      <c r="S8" s="126"/>
      <c r="T8" s="126"/>
      <c r="U8" s="126"/>
      <c r="V8" s="126"/>
      <c r="W8" s="126"/>
      <c r="X8" s="1"/>
    </row>
    <row r="9" spans="1:24" x14ac:dyDescent="0.25">
      <c r="A9" s="114"/>
      <c r="B9" s="128"/>
      <c r="C9" s="120"/>
      <c r="D9" s="121"/>
      <c r="E9" s="121"/>
      <c r="F9" s="118"/>
      <c r="G9" s="120"/>
      <c r="H9" s="120"/>
      <c r="I9" s="119"/>
      <c r="J9" s="120"/>
      <c r="K9" s="120"/>
      <c r="L9" s="120"/>
      <c r="M9" s="120"/>
      <c r="N9" s="120"/>
      <c r="O9" s="120"/>
      <c r="P9" s="120"/>
      <c r="Q9" s="120"/>
      <c r="R9" s="121"/>
      <c r="S9" s="120"/>
      <c r="T9" s="120"/>
      <c r="U9" s="120"/>
      <c r="V9" s="120"/>
      <c r="W9" s="120"/>
      <c r="X9" s="6"/>
    </row>
    <row r="10" spans="1:24" x14ac:dyDescent="0.25">
      <c r="A10" s="130"/>
      <c r="B10" s="123"/>
      <c r="C10" s="126"/>
      <c r="D10" s="127"/>
      <c r="E10" s="127"/>
      <c r="F10" s="122"/>
      <c r="G10" s="126"/>
      <c r="H10" s="126"/>
      <c r="I10" s="135"/>
      <c r="J10" s="126"/>
      <c r="K10" s="126"/>
      <c r="L10" s="126"/>
      <c r="M10" s="126"/>
      <c r="N10" s="126"/>
      <c r="O10" s="126"/>
      <c r="P10" s="126"/>
      <c r="Q10" s="126"/>
      <c r="R10" s="127"/>
      <c r="S10" s="126"/>
      <c r="T10" s="126"/>
      <c r="U10" s="126"/>
      <c r="V10" s="126"/>
      <c r="W10" s="126"/>
      <c r="X10" s="1"/>
    </row>
    <row r="11" spans="1:24" x14ac:dyDescent="0.25">
      <c r="A11" s="114"/>
      <c r="B11" s="128"/>
      <c r="C11" s="120"/>
      <c r="D11" s="121"/>
      <c r="E11" s="121"/>
      <c r="F11" s="118"/>
      <c r="G11" s="120"/>
      <c r="H11" s="120"/>
      <c r="I11" s="119"/>
      <c r="J11" s="120"/>
      <c r="K11" s="120"/>
      <c r="L11" s="120"/>
      <c r="M11" s="120"/>
      <c r="N11" s="120"/>
      <c r="O11" s="120"/>
      <c r="P11" s="120"/>
      <c r="Q11" s="120"/>
      <c r="R11" s="121"/>
      <c r="S11" s="120"/>
      <c r="T11" s="120"/>
      <c r="U11" s="120"/>
      <c r="V11" s="120"/>
      <c r="W11" s="120"/>
      <c r="X11" s="6"/>
    </row>
    <row r="12" spans="1:24" x14ac:dyDescent="0.25">
      <c r="A12" s="130"/>
      <c r="B12" s="123"/>
      <c r="C12" s="126"/>
      <c r="D12" s="127"/>
      <c r="E12" s="127"/>
      <c r="F12" s="122"/>
      <c r="G12" s="126"/>
      <c r="H12" s="126"/>
      <c r="I12" s="135"/>
      <c r="J12" s="126"/>
      <c r="K12" s="126"/>
      <c r="L12" s="126"/>
      <c r="M12" s="126"/>
      <c r="N12" s="126"/>
      <c r="O12" s="126"/>
      <c r="P12" s="126"/>
      <c r="Q12" s="126"/>
      <c r="R12" s="127"/>
      <c r="S12" s="126"/>
      <c r="T12" s="126"/>
      <c r="U12" s="126"/>
      <c r="V12" s="126"/>
      <c r="W12" s="126"/>
      <c r="X12" s="1"/>
    </row>
    <row r="13" spans="1:24" x14ac:dyDescent="0.25">
      <c r="A13" s="114"/>
      <c r="B13" s="128"/>
      <c r="C13" s="120"/>
      <c r="D13" s="121"/>
      <c r="E13" s="121"/>
      <c r="F13" s="118"/>
      <c r="G13" s="120"/>
      <c r="H13" s="120"/>
      <c r="I13" s="119"/>
      <c r="J13" s="120"/>
      <c r="K13" s="120"/>
      <c r="L13" s="120"/>
      <c r="M13" s="120"/>
      <c r="N13" s="120"/>
      <c r="O13" s="120"/>
      <c r="P13" s="120"/>
      <c r="Q13" s="120"/>
      <c r="R13" s="121"/>
      <c r="S13" s="120"/>
      <c r="T13" s="120"/>
      <c r="U13" s="120"/>
      <c r="V13" s="120"/>
      <c r="W13" s="120"/>
      <c r="X13" s="6"/>
    </row>
    <row r="14" spans="1:24" x14ac:dyDescent="0.25">
      <c r="A14" s="130"/>
      <c r="B14" s="123"/>
      <c r="C14" s="126"/>
      <c r="D14" s="127"/>
      <c r="E14" s="127"/>
      <c r="F14" s="122"/>
      <c r="G14" s="126"/>
      <c r="H14" s="126"/>
      <c r="I14" s="135"/>
      <c r="J14" s="126"/>
      <c r="K14" s="126"/>
      <c r="L14" s="126"/>
      <c r="M14" s="126"/>
      <c r="N14" s="126"/>
      <c r="O14" s="126"/>
      <c r="P14" s="126"/>
      <c r="Q14" s="126"/>
      <c r="R14" s="127"/>
      <c r="S14" s="126"/>
      <c r="T14" s="126"/>
      <c r="U14" s="126"/>
      <c r="V14" s="126"/>
      <c r="W14" s="126"/>
      <c r="X14" s="1"/>
    </row>
    <row r="15" spans="1:24" x14ac:dyDescent="0.25">
      <c r="A15" s="114"/>
      <c r="B15" s="128"/>
      <c r="C15" s="120"/>
      <c r="D15" s="121"/>
      <c r="E15" s="121"/>
      <c r="F15" s="118"/>
      <c r="G15" s="120"/>
      <c r="H15" s="120"/>
      <c r="I15" s="119"/>
      <c r="J15" s="120"/>
      <c r="K15" s="120"/>
      <c r="L15" s="120"/>
      <c r="M15" s="120"/>
      <c r="N15" s="120"/>
      <c r="O15" s="120"/>
      <c r="P15" s="120"/>
      <c r="Q15" s="120"/>
      <c r="R15" s="121"/>
      <c r="S15" s="120"/>
      <c r="T15" s="120"/>
      <c r="U15" s="120"/>
      <c r="V15" s="120"/>
      <c r="W15" s="120"/>
      <c r="X15" s="6"/>
    </row>
    <row r="16" spans="1:24" x14ac:dyDescent="0.25">
      <c r="A16" s="130"/>
      <c r="B16" s="123"/>
      <c r="C16" s="126"/>
      <c r="D16" s="127"/>
      <c r="E16" s="127"/>
      <c r="F16" s="122"/>
      <c r="G16" s="126"/>
      <c r="H16" s="126"/>
      <c r="I16" s="135"/>
      <c r="J16" s="126"/>
      <c r="K16" s="126"/>
      <c r="L16" s="126"/>
      <c r="M16" s="126"/>
      <c r="N16" s="126"/>
      <c r="O16" s="126"/>
      <c r="P16" s="126"/>
      <c r="Q16" s="126"/>
      <c r="R16" s="127"/>
      <c r="S16" s="126"/>
      <c r="T16" s="126"/>
      <c r="U16" s="126"/>
      <c r="V16" s="126"/>
      <c r="W16" s="126"/>
      <c r="X16" s="1"/>
    </row>
    <row r="17" spans="1:24" x14ac:dyDescent="0.25">
      <c r="A17" s="114"/>
      <c r="B17" s="128"/>
      <c r="C17" s="120"/>
      <c r="D17" s="121"/>
      <c r="E17" s="121"/>
      <c r="F17" s="118"/>
      <c r="G17" s="120"/>
      <c r="H17" s="120"/>
      <c r="I17" s="119"/>
      <c r="J17" s="120"/>
      <c r="K17" s="120"/>
      <c r="L17" s="120"/>
      <c r="M17" s="120"/>
      <c r="N17" s="120"/>
      <c r="O17" s="120"/>
      <c r="P17" s="120"/>
      <c r="Q17" s="120"/>
      <c r="R17" s="121"/>
      <c r="S17" s="120"/>
      <c r="T17" s="120"/>
      <c r="U17" s="120"/>
      <c r="V17" s="120"/>
      <c r="W17" s="120"/>
      <c r="X17" s="6"/>
    </row>
    <row r="18" spans="1:24" x14ac:dyDescent="0.25">
      <c r="A18" s="130"/>
      <c r="B18" s="123"/>
      <c r="C18" s="126"/>
      <c r="D18" s="127"/>
      <c r="E18" s="127"/>
      <c r="F18" s="122"/>
      <c r="G18" s="126"/>
      <c r="H18" s="126"/>
      <c r="I18" s="135"/>
      <c r="J18" s="126"/>
      <c r="K18" s="126"/>
      <c r="L18" s="126"/>
      <c r="M18" s="126"/>
      <c r="N18" s="126"/>
      <c r="O18" s="126"/>
      <c r="P18" s="126"/>
      <c r="Q18" s="126"/>
      <c r="R18" s="127"/>
      <c r="S18" s="126"/>
      <c r="T18" s="126"/>
      <c r="U18" s="126"/>
      <c r="V18" s="126"/>
      <c r="W18" s="126"/>
      <c r="X18" s="1"/>
    </row>
    <row r="19" spans="1:24" x14ac:dyDescent="0.25">
      <c r="A19" s="114"/>
      <c r="B19" s="128"/>
      <c r="C19" s="120"/>
      <c r="D19" s="121"/>
      <c r="E19" s="121"/>
      <c r="F19" s="118"/>
      <c r="G19" s="120"/>
      <c r="H19" s="120"/>
      <c r="I19" s="119"/>
      <c r="J19" s="120"/>
      <c r="K19" s="120"/>
      <c r="L19" s="120"/>
      <c r="M19" s="120"/>
      <c r="N19" s="120"/>
      <c r="O19" s="120"/>
      <c r="P19" s="120"/>
      <c r="Q19" s="120"/>
      <c r="R19" s="121"/>
      <c r="S19" s="120"/>
      <c r="T19" s="120"/>
      <c r="U19" s="120"/>
      <c r="V19" s="120"/>
      <c r="W19" s="120"/>
      <c r="X19" s="6"/>
    </row>
    <row r="20" spans="1:24" x14ac:dyDescent="0.25">
      <c r="A20" s="130"/>
      <c r="B20" s="123"/>
      <c r="C20" s="126"/>
      <c r="D20" s="127"/>
      <c r="E20" s="127"/>
      <c r="F20" s="122"/>
      <c r="G20" s="126"/>
      <c r="H20" s="126"/>
      <c r="I20" s="135"/>
      <c r="J20" s="126"/>
      <c r="K20" s="126"/>
      <c r="L20" s="126"/>
      <c r="M20" s="126"/>
      <c r="N20" s="126"/>
      <c r="O20" s="126"/>
      <c r="P20" s="126"/>
      <c r="Q20" s="126"/>
      <c r="R20" s="127"/>
      <c r="S20" s="126"/>
      <c r="T20" s="126"/>
      <c r="U20" s="126"/>
      <c r="V20" s="126"/>
      <c r="W20" s="126"/>
      <c r="X20" s="1"/>
    </row>
    <row r="21" spans="1:24" x14ac:dyDescent="0.25">
      <c r="A21" s="114"/>
      <c r="B21" s="128"/>
      <c r="C21" s="120"/>
      <c r="D21" s="121"/>
      <c r="E21" s="121"/>
      <c r="F21" s="118"/>
      <c r="G21" s="120"/>
      <c r="H21" s="120"/>
      <c r="I21" s="119"/>
      <c r="J21" s="120"/>
      <c r="K21" s="120"/>
      <c r="L21" s="120"/>
      <c r="M21" s="120"/>
      <c r="N21" s="120"/>
      <c r="O21" s="120"/>
      <c r="P21" s="120"/>
      <c r="Q21" s="120"/>
      <c r="R21" s="121"/>
      <c r="S21" s="120"/>
      <c r="T21" s="120"/>
      <c r="U21" s="120"/>
      <c r="V21" s="120"/>
      <c r="W21" s="120"/>
      <c r="X21" s="6"/>
    </row>
    <row r="22" spans="1:24" x14ac:dyDescent="0.25">
      <c r="A22" s="130"/>
      <c r="B22" s="123"/>
      <c r="C22" s="126"/>
      <c r="D22" s="127"/>
      <c r="E22" s="127"/>
      <c r="F22" s="122"/>
      <c r="G22" s="126"/>
      <c r="H22" s="126"/>
      <c r="I22" s="135"/>
      <c r="J22" s="126"/>
      <c r="K22" s="126"/>
      <c r="L22" s="126"/>
      <c r="M22" s="126"/>
      <c r="N22" s="126"/>
      <c r="O22" s="126"/>
      <c r="P22" s="126"/>
      <c r="Q22" s="126"/>
      <c r="R22" s="127"/>
      <c r="S22" s="126"/>
      <c r="T22" s="126"/>
      <c r="U22" s="126"/>
      <c r="V22" s="126"/>
      <c r="W22" s="126"/>
      <c r="X22" s="1"/>
    </row>
    <row r="23" spans="1:24" x14ac:dyDescent="0.25">
      <c r="A23" s="114"/>
      <c r="B23" s="128"/>
      <c r="C23" s="120"/>
      <c r="D23" s="121"/>
      <c r="E23" s="121"/>
      <c r="F23" s="118"/>
      <c r="G23" s="120"/>
      <c r="H23" s="120"/>
      <c r="I23" s="119"/>
      <c r="J23" s="120"/>
      <c r="K23" s="120"/>
      <c r="L23" s="120"/>
      <c r="M23" s="120"/>
      <c r="N23" s="120"/>
      <c r="O23" s="120"/>
      <c r="P23" s="120"/>
      <c r="Q23" s="120"/>
      <c r="R23" s="121"/>
      <c r="S23" s="120"/>
      <c r="T23" s="120"/>
      <c r="U23" s="120"/>
      <c r="V23" s="120"/>
      <c r="W23" s="120"/>
      <c r="X23" s="6"/>
    </row>
    <row r="24" spans="1:24" x14ac:dyDescent="0.25">
      <c r="A24" s="130"/>
      <c r="B24" s="123"/>
      <c r="C24" s="126"/>
      <c r="D24" s="127"/>
      <c r="E24" s="127"/>
      <c r="F24" s="122"/>
      <c r="G24" s="126"/>
      <c r="H24" s="126"/>
      <c r="I24" s="135"/>
      <c r="J24" s="126"/>
      <c r="K24" s="126"/>
      <c r="L24" s="126"/>
      <c r="M24" s="126"/>
      <c r="N24" s="126"/>
      <c r="O24" s="126"/>
      <c r="P24" s="126"/>
      <c r="Q24" s="126"/>
      <c r="R24" s="127"/>
      <c r="S24" s="126"/>
      <c r="T24" s="126"/>
      <c r="U24" s="126"/>
      <c r="V24" s="126"/>
      <c r="W24" s="126"/>
      <c r="X24" s="1"/>
    </row>
    <row r="25" spans="1:24" x14ac:dyDescent="0.25">
      <c r="A25" s="114"/>
      <c r="B25" s="128"/>
      <c r="C25" s="120"/>
      <c r="D25" s="121"/>
      <c r="E25" s="121"/>
      <c r="F25" s="118"/>
      <c r="G25" s="120"/>
      <c r="H25" s="120"/>
      <c r="I25" s="119"/>
      <c r="J25" s="120"/>
      <c r="K25" s="120"/>
      <c r="L25" s="120"/>
      <c r="M25" s="120"/>
      <c r="N25" s="120"/>
      <c r="O25" s="120"/>
      <c r="P25" s="120"/>
      <c r="Q25" s="120"/>
      <c r="R25" s="121"/>
      <c r="S25" s="120"/>
      <c r="T25" s="120"/>
      <c r="U25" s="120"/>
      <c r="V25" s="120"/>
      <c r="W25" s="120"/>
      <c r="X25" s="6"/>
    </row>
    <row r="26" spans="1:24" ht="15.75" thickBot="1" x14ac:dyDescent="0.3">
      <c r="A26" s="161"/>
      <c r="B26" s="162"/>
      <c r="C26" s="163"/>
      <c r="D26" s="164"/>
      <c r="E26" s="164"/>
      <c r="F26" s="165"/>
      <c r="G26" s="163"/>
      <c r="H26" s="163"/>
      <c r="I26" s="173"/>
      <c r="J26" s="163"/>
      <c r="K26" s="163"/>
      <c r="L26" s="163"/>
      <c r="M26" s="163"/>
      <c r="N26" s="163"/>
      <c r="O26" s="163"/>
      <c r="P26" s="163"/>
      <c r="Q26" s="163"/>
      <c r="R26" s="164"/>
      <c r="S26" s="163"/>
      <c r="T26" s="163"/>
      <c r="U26" s="163"/>
      <c r="V26" s="163"/>
      <c r="W26" s="163"/>
      <c r="X26" s="2"/>
    </row>
  </sheetData>
  <mergeCells count="3">
    <mergeCell ref="K1:P1"/>
    <mergeCell ref="Q1:V1"/>
    <mergeCell ref="C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X27"/>
  <sheetViews>
    <sheetView topLeftCell="G7" zoomScale="85" zoomScaleNormal="85" workbookViewId="0">
      <selection activeCell="W11" sqref="W11"/>
    </sheetView>
  </sheetViews>
  <sheetFormatPr defaultRowHeight="15" x14ac:dyDescent="0.25"/>
  <cols>
    <col min="1" max="1" width="9.140625" style="170"/>
    <col min="2" max="2" width="14.42578125" customWidth="1"/>
    <col min="3" max="3" width="15.28515625" customWidth="1"/>
    <col min="4" max="4" width="8.28515625" customWidth="1"/>
    <col min="5" max="5" width="18.5703125" customWidth="1"/>
    <col min="6" max="6" width="27.5703125" customWidth="1"/>
    <col min="9" max="9" width="26" style="174" customWidth="1"/>
    <col min="10" max="10" width="12.42578125" customWidth="1"/>
    <col min="11" max="11" width="21.85546875" customWidth="1"/>
    <col min="17" max="17" width="27.85546875" customWidth="1"/>
    <col min="22" max="23" width="16.7109375" customWidth="1"/>
    <col min="24" max="24" width="91.42578125" customWidth="1"/>
  </cols>
  <sheetData>
    <row r="1" spans="1:24" ht="15.75" thickBot="1" x14ac:dyDescent="0.3">
      <c r="A1" s="145" t="s">
        <v>59</v>
      </c>
      <c r="B1" s="8" t="s">
        <v>2</v>
      </c>
      <c r="C1" s="237" t="s">
        <v>3</v>
      </c>
      <c r="D1" s="239"/>
      <c r="E1" s="8" t="s">
        <v>4</v>
      </c>
      <c r="F1" s="8" t="s">
        <v>5</v>
      </c>
      <c r="G1" s="8" t="s">
        <v>6</v>
      </c>
      <c r="H1" s="8" t="s">
        <v>7</v>
      </c>
      <c r="I1" s="171" t="s">
        <v>170</v>
      </c>
      <c r="J1" s="8" t="s">
        <v>8</v>
      </c>
      <c r="K1" s="237" t="s">
        <v>9</v>
      </c>
      <c r="L1" s="238"/>
      <c r="M1" s="238"/>
      <c r="N1" s="238"/>
      <c r="O1" s="238"/>
      <c r="P1" s="239"/>
      <c r="Q1" s="237" t="s">
        <v>10</v>
      </c>
      <c r="R1" s="238"/>
      <c r="S1" s="238"/>
      <c r="T1" s="238"/>
      <c r="U1" s="238"/>
      <c r="V1" s="239"/>
      <c r="W1" s="180" t="s">
        <v>249</v>
      </c>
      <c r="X1" s="8" t="s">
        <v>11</v>
      </c>
    </row>
    <row r="2" spans="1:24" ht="15.75" thickBot="1" x14ac:dyDescent="0.3">
      <c r="A2" s="166"/>
      <c r="B2" s="13"/>
      <c r="C2" s="65" t="s">
        <v>47</v>
      </c>
      <c r="D2" s="66" t="s">
        <v>48</v>
      </c>
      <c r="E2" s="13"/>
      <c r="F2" s="13"/>
      <c r="G2" s="13"/>
      <c r="H2" s="13"/>
      <c r="I2" s="172"/>
      <c r="J2" s="13"/>
      <c r="K2" s="9" t="s">
        <v>12</v>
      </c>
      <c r="L2" s="9" t="s">
        <v>13</v>
      </c>
      <c r="M2" s="9" t="s">
        <v>14</v>
      </c>
      <c r="N2" s="9" t="s">
        <v>15</v>
      </c>
      <c r="O2" s="9" t="s">
        <v>16</v>
      </c>
      <c r="P2" s="9" t="s">
        <v>17</v>
      </c>
      <c r="Q2" s="10" t="s">
        <v>12</v>
      </c>
      <c r="R2" s="11" t="s">
        <v>13</v>
      </c>
      <c r="S2" s="11" t="s">
        <v>14</v>
      </c>
      <c r="T2" s="11" t="s">
        <v>15</v>
      </c>
      <c r="U2" s="11" t="s">
        <v>16</v>
      </c>
      <c r="V2" s="11" t="s">
        <v>18</v>
      </c>
      <c r="W2" s="200"/>
      <c r="X2" s="13"/>
    </row>
    <row r="3" spans="1:24" ht="75.75" thickBot="1" x14ac:dyDescent="0.3">
      <c r="A3" s="179" t="s">
        <v>174</v>
      </c>
      <c r="B3" s="113" t="s">
        <v>180</v>
      </c>
      <c r="C3" s="112" t="s">
        <v>27</v>
      </c>
      <c r="D3" s="113">
        <v>23</v>
      </c>
      <c r="E3" s="132">
        <v>0.84652777777777777</v>
      </c>
      <c r="F3" s="112" t="s">
        <v>175</v>
      </c>
      <c r="G3" s="112">
        <v>3</v>
      </c>
      <c r="H3" s="112">
        <v>3</v>
      </c>
      <c r="I3" s="148" t="s">
        <v>223</v>
      </c>
      <c r="J3" s="112" t="s">
        <v>129</v>
      </c>
      <c r="K3" s="112" t="s">
        <v>176</v>
      </c>
      <c r="L3" s="112" t="s">
        <v>38</v>
      </c>
      <c r="M3" s="112" t="s">
        <v>46</v>
      </c>
      <c r="N3" s="112">
        <v>20</v>
      </c>
      <c r="O3" s="112" t="s">
        <v>95</v>
      </c>
      <c r="P3" s="112" t="s">
        <v>118</v>
      </c>
      <c r="Q3" s="112" t="s">
        <v>177</v>
      </c>
      <c r="R3" s="113" t="s">
        <v>38</v>
      </c>
      <c r="S3" s="112" t="s">
        <v>46</v>
      </c>
      <c r="T3" s="112">
        <v>24</v>
      </c>
      <c r="U3" s="112" t="s">
        <v>95</v>
      </c>
      <c r="V3" s="112">
        <v>1</v>
      </c>
      <c r="W3" s="112" t="s">
        <v>95</v>
      </c>
      <c r="X3" s="157" t="s">
        <v>229</v>
      </c>
    </row>
    <row r="4" spans="1:24" ht="360.75" thickBot="1" x14ac:dyDescent="0.3">
      <c r="A4" s="167" t="s">
        <v>178</v>
      </c>
      <c r="B4" s="121" t="s">
        <v>179</v>
      </c>
      <c r="C4" s="120" t="s">
        <v>27</v>
      </c>
      <c r="D4" s="121">
        <v>29</v>
      </c>
      <c r="E4" s="133">
        <v>0.70833333333333337</v>
      </c>
      <c r="F4" s="120" t="s">
        <v>181</v>
      </c>
      <c r="G4" s="120">
        <v>8</v>
      </c>
      <c r="H4" s="120">
        <v>1</v>
      </c>
      <c r="I4" s="176" t="s">
        <v>223</v>
      </c>
      <c r="J4" s="120" t="s">
        <v>129</v>
      </c>
      <c r="K4" s="120" t="s">
        <v>182</v>
      </c>
      <c r="L4" s="120" t="s">
        <v>38</v>
      </c>
      <c r="M4" s="120" t="s">
        <v>46</v>
      </c>
      <c r="N4" s="120">
        <v>42</v>
      </c>
      <c r="O4" s="120" t="s">
        <v>95</v>
      </c>
      <c r="P4" s="120" t="s">
        <v>103</v>
      </c>
      <c r="Q4" s="120" t="s">
        <v>183</v>
      </c>
      <c r="R4" s="121" t="s">
        <v>38</v>
      </c>
      <c r="S4" s="120" t="s">
        <v>46</v>
      </c>
      <c r="T4" s="120">
        <v>41</v>
      </c>
      <c r="U4" s="120" t="s">
        <v>95</v>
      </c>
      <c r="V4" s="120">
        <v>7</v>
      </c>
      <c r="W4" s="120" t="s">
        <v>95</v>
      </c>
      <c r="X4" s="75" t="s">
        <v>230</v>
      </c>
    </row>
    <row r="5" spans="1:24" ht="150.75" thickBot="1" x14ac:dyDescent="0.3">
      <c r="A5" s="168" t="s">
        <v>184</v>
      </c>
      <c r="B5" s="127" t="s">
        <v>185</v>
      </c>
      <c r="C5" s="126" t="s">
        <v>28</v>
      </c>
      <c r="D5" s="127">
        <v>17</v>
      </c>
      <c r="E5" s="134">
        <v>0.60416666666666663</v>
      </c>
      <c r="F5" s="126" t="s">
        <v>186</v>
      </c>
      <c r="G5" s="126">
        <v>2</v>
      </c>
      <c r="H5" s="126">
        <v>3</v>
      </c>
      <c r="I5" s="148" t="s">
        <v>223</v>
      </c>
      <c r="J5" s="126" t="s">
        <v>129</v>
      </c>
      <c r="K5" s="126" t="s">
        <v>187</v>
      </c>
      <c r="L5" s="126" t="s">
        <v>37</v>
      </c>
      <c r="M5" s="126" t="s">
        <v>45</v>
      </c>
      <c r="N5" s="126">
        <v>23</v>
      </c>
      <c r="O5" s="126" t="s">
        <v>95</v>
      </c>
      <c r="P5" s="126" t="s">
        <v>62</v>
      </c>
      <c r="Q5" s="126" t="s">
        <v>188</v>
      </c>
      <c r="R5" s="127" t="s">
        <v>38</v>
      </c>
      <c r="S5" s="126" t="s">
        <v>46</v>
      </c>
      <c r="T5" s="126">
        <v>36</v>
      </c>
      <c r="U5" s="126" t="s">
        <v>95</v>
      </c>
      <c r="V5" s="126">
        <v>2</v>
      </c>
      <c r="W5" s="126" t="s">
        <v>95</v>
      </c>
      <c r="X5" s="76" t="s">
        <v>231</v>
      </c>
    </row>
    <row r="6" spans="1:24" ht="75" x14ac:dyDescent="0.25">
      <c r="A6" s="167" t="s">
        <v>217</v>
      </c>
      <c r="B6" s="121">
        <v>8012104102</v>
      </c>
      <c r="C6" s="120" t="s">
        <v>28</v>
      </c>
      <c r="D6" s="121">
        <v>20</v>
      </c>
      <c r="E6" s="133">
        <v>0.13541666666666666</v>
      </c>
      <c r="F6" s="120" t="s">
        <v>218</v>
      </c>
      <c r="G6" s="120">
        <v>2</v>
      </c>
      <c r="H6" s="120">
        <v>2</v>
      </c>
      <c r="I6" s="176" t="s">
        <v>223</v>
      </c>
      <c r="J6" s="120" t="s">
        <v>129</v>
      </c>
      <c r="K6" s="120" t="s">
        <v>219</v>
      </c>
      <c r="L6" s="120" t="s">
        <v>37</v>
      </c>
      <c r="M6" s="120" t="s">
        <v>45</v>
      </c>
      <c r="N6" s="120"/>
      <c r="O6" s="120"/>
      <c r="P6" s="120" t="s">
        <v>220</v>
      </c>
      <c r="Q6" s="120" t="s">
        <v>221</v>
      </c>
      <c r="R6" s="121" t="s">
        <v>37</v>
      </c>
      <c r="S6" s="120" t="s">
        <v>46</v>
      </c>
      <c r="T6" s="120">
        <v>50</v>
      </c>
      <c r="U6" s="120" t="s">
        <v>95</v>
      </c>
      <c r="V6" s="120">
        <v>18</v>
      </c>
      <c r="W6" s="120" t="s">
        <v>95</v>
      </c>
      <c r="X6" s="75" t="s">
        <v>234</v>
      </c>
    </row>
    <row r="7" spans="1:24" ht="15.75" thickBot="1" x14ac:dyDescent="0.3">
      <c r="A7" s="169" t="s">
        <v>217</v>
      </c>
      <c r="B7" s="191" t="s">
        <v>125</v>
      </c>
      <c r="C7" s="49"/>
      <c r="D7" s="81"/>
      <c r="E7" s="98"/>
      <c r="F7" s="49"/>
      <c r="G7" s="49"/>
      <c r="H7" s="49"/>
      <c r="I7" s="87"/>
      <c r="J7" s="49" t="s">
        <v>129</v>
      </c>
      <c r="K7" s="49" t="s">
        <v>219</v>
      </c>
      <c r="L7" s="49" t="s">
        <v>37</v>
      </c>
      <c r="M7" s="49" t="s">
        <v>45</v>
      </c>
      <c r="N7" s="49"/>
      <c r="O7" s="49"/>
      <c r="P7" s="49" t="s">
        <v>220</v>
      </c>
      <c r="Q7" s="49" t="s">
        <v>222</v>
      </c>
      <c r="R7" s="81" t="s">
        <v>37</v>
      </c>
      <c r="S7" s="49" t="s">
        <v>46</v>
      </c>
      <c r="T7" s="49">
        <v>36</v>
      </c>
      <c r="U7" s="49" t="s">
        <v>95</v>
      </c>
      <c r="V7" s="49">
        <v>3</v>
      </c>
      <c r="W7" s="203" t="s">
        <v>125</v>
      </c>
      <c r="X7" s="75" t="s">
        <v>123</v>
      </c>
    </row>
    <row r="8" spans="1:24" ht="105.75" thickBot="1" x14ac:dyDescent="0.3">
      <c r="A8" s="181" t="s">
        <v>189</v>
      </c>
      <c r="B8" s="182" t="s">
        <v>190</v>
      </c>
      <c r="C8" s="192" t="s">
        <v>30</v>
      </c>
      <c r="D8" s="182">
        <v>31</v>
      </c>
      <c r="E8" s="184">
        <v>0.53472222222222221</v>
      </c>
      <c r="F8" s="183" t="s">
        <v>191</v>
      </c>
      <c r="G8" s="183">
        <v>2</v>
      </c>
      <c r="H8" s="183">
        <v>1</v>
      </c>
      <c r="I8" s="185" t="s">
        <v>223</v>
      </c>
      <c r="J8" s="183" t="s">
        <v>129</v>
      </c>
      <c r="K8" s="183" t="s">
        <v>192</v>
      </c>
      <c r="L8" s="183" t="s">
        <v>37</v>
      </c>
      <c r="M8" s="183" t="s">
        <v>46</v>
      </c>
      <c r="N8" s="183">
        <v>47</v>
      </c>
      <c r="O8" s="183" t="s">
        <v>95</v>
      </c>
      <c r="P8" s="183" t="s">
        <v>62</v>
      </c>
      <c r="Q8" s="183" t="s">
        <v>193</v>
      </c>
      <c r="R8" s="182" t="s">
        <v>38</v>
      </c>
      <c r="S8" s="183" t="s">
        <v>46</v>
      </c>
      <c r="T8" s="183">
        <v>31</v>
      </c>
      <c r="U8" s="183" t="s">
        <v>95</v>
      </c>
      <c r="V8" s="183">
        <v>7</v>
      </c>
      <c r="W8" s="183" t="s">
        <v>95</v>
      </c>
      <c r="X8" s="186" t="s">
        <v>232</v>
      </c>
    </row>
    <row r="9" spans="1:24" ht="75.75" thickBot="1" x14ac:dyDescent="0.3">
      <c r="A9" s="167" t="s">
        <v>194</v>
      </c>
      <c r="B9" s="120" t="s">
        <v>216</v>
      </c>
      <c r="C9" s="120" t="s">
        <v>31</v>
      </c>
      <c r="D9" s="121">
        <v>10</v>
      </c>
      <c r="E9" s="133">
        <v>0.72430555555555554</v>
      </c>
      <c r="F9" s="139" t="s">
        <v>195</v>
      </c>
      <c r="G9" s="120">
        <v>3</v>
      </c>
      <c r="H9" s="120">
        <v>1</v>
      </c>
      <c r="I9" s="176" t="s">
        <v>223</v>
      </c>
      <c r="J9" s="120" t="s">
        <v>129</v>
      </c>
      <c r="K9" s="120" t="s">
        <v>196</v>
      </c>
      <c r="L9" s="120" t="s">
        <v>37</v>
      </c>
      <c r="M9" s="120" t="s">
        <v>46</v>
      </c>
      <c r="N9" s="120">
        <v>19</v>
      </c>
      <c r="O9" s="120" t="s">
        <v>95</v>
      </c>
      <c r="P9" s="120" t="s">
        <v>103</v>
      </c>
      <c r="Q9" s="120" t="s">
        <v>197</v>
      </c>
      <c r="R9" s="121" t="s">
        <v>38</v>
      </c>
      <c r="S9" s="120" t="s">
        <v>46</v>
      </c>
      <c r="T9" s="120">
        <v>26</v>
      </c>
      <c r="U9" s="120" t="s">
        <v>95</v>
      </c>
      <c r="V9" s="120">
        <v>4</v>
      </c>
      <c r="W9" s="120" t="s">
        <v>95</v>
      </c>
      <c r="X9" s="75" t="s">
        <v>233</v>
      </c>
    </row>
    <row r="10" spans="1:24" ht="135" x14ac:dyDescent="0.25">
      <c r="A10" s="181" t="s">
        <v>198</v>
      </c>
      <c r="B10" s="182" t="s">
        <v>236</v>
      </c>
      <c r="C10" s="193" t="s">
        <v>32</v>
      </c>
      <c r="D10" s="182">
        <v>5</v>
      </c>
      <c r="E10" s="184">
        <v>0.99305555555555547</v>
      </c>
      <c r="F10" s="183" t="s">
        <v>199</v>
      </c>
      <c r="G10" s="183">
        <v>1</v>
      </c>
      <c r="H10" s="183">
        <v>2</v>
      </c>
      <c r="I10" s="185" t="s">
        <v>223</v>
      </c>
      <c r="J10" s="183" t="s">
        <v>129</v>
      </c>
      <c r="K10" s="183" t="s">
        <v>200</v>
      </c>
      <c r="L10" s="183" t="s">
        <v>37</v>
      </c>
      <c r="M10" s="183" t="s">
        <v>46</v>
      </c>
      <c r="N10" s="183">
        <v>22</v>
      </c>
      <c r="O10" s="183" t="s">
        <v>95</v>
      </c>
      <c r="P10" s="183" t="s">
        <v>74</v>
      </c>
      <c r="Q10" s="183" t="s">
        <v>201</v>
      </c>
      <c r="R10" s="182" t="s">
        <v>37</v>
      </c>
      <c r="S10" s="183" t="s">
        <v>46</v>
      </c>
      <c r="T10" s="183">
        <v>52</v>
      </c>
      <c r="U10" s="183" t="s">
        <v>95</v>
      </c>
      <c r="V10" s="183">
        <v>11</v>
      </c>
      <c r="W10" s="183" t="s">
        <v>95</v>
      </c>
      <c r="X10" s="186" t="s">
        <v>242</v>
      </c>
    </row>
    <row r="11" spans="1:24" x14ac:dyDescent="0.25">
      <c r="A11" s="169"/>
      <c r="B11" s="191"/>
      <c r="C11" s="49"/>
      <c r="D11" s="81"/>
      <c r="E11" s="98"/>
      <c r="F11" s="49"/>
      <c r="G11" s="49"/>
      <c r="H11" s="49"/>
      <c r="I11" s="87"/>
      <c r="J11" s="49"/>
      <c r="K11" s="49"/>
      <c r="L11" s="49"/>
      <c r="M11" s="49"/>
      <c r="N11" s="49"/>
      <c r="O11" s="49"/>
      <c r="P11" s="49"/>
      <c r="Q11" s="49"/>
      <c r="R11" s="81"/>
      <c r="S11" s="49"/>
      <c r="T11" s="49"/>
      <c r="U11" s="49"/>
      <c r="V11" s="49"/>
      <c r="W11" s="49"/>
      <c r="X11" s="75"/>
    </row>
    <row r="12" spans="1:24" x14ac:dyDescent="0.25">
      <c r="A12" s="187"/>
      <c r="B12" s="189"/>
      <c r="C12" s="188"/>
      <c r="D12" s="189"/>
      <c r="E12" s="189"/>
      <c r="F12" s="188"/>
      <c r="G12" s="188"/>
      <c r="H12" s="188"/>
      <c r="I12" s="190"/>
      <c r="J12" s="188"/>
      <c r="K12" s="188"/>
      <c r="L12" s="188"/>
      <c r="M12" s="188"/>
      <c r="N12" s="188"/>
      <c r="O12" s="188"/>
      <c r="P12" s="188"/>
      <c r="Q12" s="188"/>
      <c r="R12" s="189"/>
      <c r="S12" s="188"/>
      <c r="T12" s="188"/>
      <c r="U12" s="188"/>
      <c r="V12" s="188"/>
      <c r="W12" s="188"/>
      <c r="X12" s="186"/>
    </row>
    <row r="13" spans="1:24" x14ac:dyDescent="0.25">
      <c r="A13" s="169"/>
      <c r="B13" s="81"/>
      <c r="C13" s="49"/>
      <c r="D13" s="81"/>
      <c r="E13" s="81"/>
      <c r="F13" s="49"/>
      <c r="G13" s="49"/>
      <c r="H13" s="49"/>
      <c r="I13" s="87"/>
      <c r="J13" s="49"/>
      <c r="K13" s="49"/>
      <c r="L13" s="49"/>
      <c r="M13" s="49"/>
      <c r="N13" s="49"/>
      <c r="O13" s="49"/>
      <c r="P13" s="49"/>
      <c r="Q13" s="49"/>
      <c r="R13" s="81"/>
      <c r="S13" s="49"/>
      <c r="T13" s="49"/>
      <c r="U13" s="49"/>
      <c r="V13" s="49"/>
      <c r="W13" s="49"/>
      <c r="X13" s="75"/>
    </row>
    <row r="14" spans="1:24" x14ac:dyDescent="0.25">
      <c r="A14" s="187"/>
      <c r="B14" s="189"/>
      <c r="C14" s="188"/>
      <c r="D14" s="189"/>
      <c r="E14" s="189"/>
      <c r="F14" s="188"/>
      <c r="G14" s="188"/>
      <c r="H14" s="188"/>
      <c r="I14" s="190"/>
      <c r="J14" s="188"/>
      <c r="K14" s="188"/>
      <c r="L14" s="188"/>
      <c r="M14" s="188"/>
      <c r="N14" s="188"/>
      <c r="O14" s="188"/>
      <c r="P14" s="188"/>
      <c r="Q14" s="188"/>
      <c r="R14" s="189"/>
      <c r="S14" s="188"/>
      <c r="T14" s="188"/>
      <c r="U14" s="188"/>
      <c r="V14" s="188"/>
      <c r="W14" s="188"/>
      <c r="X14" s="186"/>
    </row>
    <row r="15" spans="1:24" x14ac:dyDescent="0.25">
      <c r="A15" s="169"/>
      <c r="B15" s="81"/>
      <c r="C15" s="49"/>
      <c r="D15" s="81"/>
      <c r="E15" s="81"/>
      <c r="F15" s="49"/>
      <c r="G15" s="49"/>
      <c r="H15" s="49"/>
      <c r="I15" s="87"/>
      <c r="J15" s="49"/>
      <c r="K15" s="49"/>
      <c r="L15" s="49"/>
      <c r="M15" s="49"/>
      <c r="N15" s="49"/>
      <c r="O15" s="49"/>
      <c r="P15" s="49"/>
      <c r="Q15" s="49"/>
      <c r="R15" s="81"/>
      <c r="S15" s="49"/>
      <c r="T15" s="49"/>
      <c r="U15" s="49"/>
      <c r="V15" s="49"/>
      <c r="W15" s="49"/>
      <c r="X15" s="75"/>
    </row>
    <row r="16" spans="1:24" x14ac:dyDescent="0.25">
      <c r="A16" s="187"/>
      <c r="B16" s="189"/>
      <c r="C16" s="188"/>
      <c r="D16" s="189"/>
      <c r="E16" s="189"/>
      <c r="F16" s="188"/>
      <c r="G16" s="188"/>
      <c r="H16" s="188"/>
      <c r="I16" s="190"/>
      <c r="J16" s="188"/>
      <c r="K16" s="188"/>
      <c r="L16" s="188"/>
      <c r="M16" s="188"/>
      <c r="N16" s="188"/>
      <c r="O16" s="188"/>
      <c r="P16" s="188"/>
      <c r="Q16" s="188"/>
      <c r="R16" s="189"/>
      <c r="S16" s="188"/>
      <c r="T16" s="188"/>
      <c r="U16" s="188"/>
      <c r="V16" s="188"/>
      <c r="W16" s="188"/>
      <c r="X16" s="186"/>
    </row>
    <row r="17" spans="1:24" x14ac:dyDescent="0.25">
      <c r="A17" s="169"/>
      <c r="B17" s="81"/>
      <c r="C17" s="49"/>
      <c r="D17" s="81"/>
      <c r="E17" s="81"/>
      <c r="F17" s="49"/>
      <c r="G17" s="49"/>
      <c r="H17" s="49"/>
      <c r="I17" s="87"/>
      <c r="J17" s="49"/>
      <c r="K17" s="49"/>
      <c r="L17" s="49"/>
      <c r="M17" s="49"/>
      <c r="N17" s="49"/>
      <c r="O17" s="49"/>
      <c r="P17" s="49"/>
      <c r="Q17" s="49"/>
      <c r="R17" s="81"/>
      <c r="S17" s="49"/>
      <c r="T17" s="49"/>
      <c r="U17" s="49"/>
      <c r="V17" s="49"/>
      <c r="W17" s="49"/>
      <c r="X17" s="75"/>
    </row>
    <row r="18" spans="1:24" x14ac:dyDescent="0.25">
      <c r="A18" s="187"/>
      <c r="B18" s="189"/>
      <c r="C18" s="188"/>
      <c r="D18" s="189"/>
      <c r="E18" s="189"/>
      <c r="F18" s="188"/>
      <c r="G18" s="188"/>
      <c r="H18" s="188"/>
      <c r="I18" s="190"/>
      <c r="J18" s="188"/>
      <c r="K18" s="188"/>
      <c r="L18" s="188"/>
      <c r="M18" s="188"/>
      <c r="N18" s="188"/>
      <c r="O18" s="188"/>
      <c r="P18" s="188"/>
      <c r="Q18" s="188"/>
      <c r="R18" s="189"/>
      <c r="S18" s="188"/>
      <c r="T18" s="188"/>
      <c r="U18" s="188"/>
      <c r="V18" s="188"/>
      <c r="W18" s="188"/>
      <c r="X18" s="186"/>
    </row>
    <row r="19" spans="1:24" x14ac:dyDescent="0.25">
      <c r="A19" s="169"/>
      <c r="B19" s="81"/>
      <c r="C19" s="49"/>
      <c r="D19" s="81"/>
      <c r="E19" s="81"/>
      <c r="F19" s="49"/>
      <c r="G19" s="49"/>
      <c r="H19" s="49"/>
      <c r="I19" s="87"/>
      <c r="J19" s="49"/>
      <c r="K19" s="49"/>
      <c r="L19" s="49"/>
      <c r="M19" s="49"/>
      <c r="N19" s="49"/>
      <c r="O19" s="49"/>
      <c r="P19" s="49"/>
      <c r="Q19" s="49"/>
      <c r="R19" s="81"/>
      <c r="S19" s="49"/>
      <c r="T19" s="49"/>
      <c r="U19" s="49"/>
      <c r="V19" s="49"/>
      <c r="W19" s="49"/>
      <c r="X19" s="75"/>
    </row>
    <row r="20" spans="1:24" x14ac:dyDescent="0.25">
      <c r="A20" s="187"/>
      <c r="B20" s="189"/>
      <c r="C20" s="188"/>
      <c r="D20" s="189"/>
      <c r="E20" s="189"/>
      <c r="F20" s="188"/>
      <c r="G20" s="188"/>
      <c r="H20" s="188"/>
      <c r="I20" s="190"/>
      <c r="J20" s="188"/>
      <c r="K20" s="188"/>
      <c r="L20" s="188"/>
      <c r="M20" s="188"/>
      <c r="N20" s="188"/>
      <c r="O20" s="188"/>
      <c r="P20" s="188"/>
      <c r="Q20" s="188"/>
      <c r="R20" s="189"/>
      <c r="S20" s="188"/>
      <c r="T20" s="188"/>
      <c r="U20" s="188"/>
      <c r="V20" s="188"/>
      <c r="W20" s="188"/>
      <c r="X20" s="186"/>
    </row>
    <row r="21" spans="1:24" x14ac:dyDescent="0.25">
      <c r="A21" s="169"/>
      <c r="B21" s="81"/>
      <c r="C21" s="49"/>
      <c r="D21" s="81"/>
      <c r="E21" s="81"/>
      <c r="F21" s="49"/>
      <c r="G21" s="49"/>
      <c r="H21" s="49"/>
      <c r="I21" s="87"/>
      <c r="J21" s="49"/>
      <c r="K21" s="49"/>
      <c r="L21" s="49"/>
      <c r="M21" s="49"/>
      <c r="N21" s="49"/>
      <c r="O21" s="49"/>
      <c r="P21" s="49"/>
      <c r="Q21" s="49"/>
      <c r="R21" s="81"/>
      <c r="S21" s="49"/>
      <c r="T21" s="49"/>
      <c r="U21" s="49"/>
      <c r="V21" s="49"/>
      <c r="W21" s="49"/>
      <c r="X21" s="75"/>
    </row>
    <row r="22" spans="1:24" x14ac:dyDescent="0.25">
      <c r="A22" s="187"/>
      <c r="B22" s="189"/>
      <c r="C22" s="188"/>
      <c r="D22" s="189"/>
      <c r="E22" s="189"/>
      <c r="F22" s="188"/>
      <c r="G22" s="188"/>
      <c r="H22" s="188"/>
      <c r="I22" s="190"/>
      <c r="J22" s="188"/>
      <c r="K22" s="188"/>
      <c r="L22" s="188"/>
      <c r="M22" s="188"/>
      <c r="N22" s="188"/>
      <c r="O22" s="188"/>
      <c r="P22" s="188"/>
      <c r="Q22" s="188"/>
      <c r="R22" s="189"/>
      <c r="S22" s="188"/>
      <c r="T22" s="188"/>
      <c r="U22" s="188"/>
      <c r="V22" s="188"/>
      <c r="W22" s="188"/>
      <c r="X22" s="186"/>
    </row>
    <row r="23" spans="1:24" x14ac:dyDescent="0.25">
      <c r="A23" s="169"/>
      <c r="B23" s="81"/>
      <c r="C23" s="49"/>
      <c r="D23" s="81"/>
      <c r="E23" s="81"/>
      <c r="F23" s="49"/>
      <c r="G23" s="49"/>
      <c r="H23" s="49"/>
      <c r="I23" s="87"/>
      <c r="J23" s="49"/>
      <c r="K23" s="49"/>
      <c r="L23" s="49"/>
      <c r="M23" s="49"/>
      <c r="N23" s="49"/>
      <c r="O23" s="49"/>
      <c r="P23" s="49"/>
      <c r="Q23" s="49"/>
      <c r="R23" s="81"/>
      <c r="S23" s="49"/>
      <c r="T23" s="49"/>
      <c r="U23" s="49"/>
      <c r="V23" s="49"/>
      <c r="W23" s="49"/>
      <c r="X23" s="75"/>
    </row>
    <row r="24" spans="1:24" x14ac:dyDescent="0.25">
      <c r="A24" s="187"/>
      <c r="B24" s="189"/>
      <c r="C24" s="188"/>
      <c r="D24" s="189"/>
      <c r="E24" s="189"/>
      <c r="F24" s="188"/>
      <c r="G24" s="188"/>
      <c r="H24" s="188"/>
      <c r="I24" s="190"/>
      <c r="J24" s="188"/>
      <c r="K24" s="188"/>
      <c r="L24" s="188"/>
      <c r="M24" s="188"/>
      <c r="N24" s="188"/>
      <c r="O24" s="188"/>
      <c r="P24" s="188"/>
      <c r="Q24" s="188"/>
      <c r="R24" s="189"/>
      <c r="S24" s="188"/>
      <c r="T24" s="188"/>
      <c r="U24" s="188"/>
      <c r="V24" s="188"/>
      <c r="W24" s="188"/>
      <c r="X24" s="186"/>
    </row>
    <row r="25" spans="1:24" x14ac:dyDescent="0.25">
      <c r="A25" s="169"/>
      <c r="B25" s="81"/>
      <c r="C25" s="49"/>
      <c r="D25" s="81"/>
      <c r="E25" s="81"/>
      <c r="F25" s="49"/>
      <c r="G25" s="49"/>
      <c r="H25" s="49"/>
      <c r="I25" s="87"/>
      <c r="J25" s="49"/>
      <c r="K25" s="49"/>
      <c r="L25" s="49"/>
      <c r="M25" s="49"/>
      <c r="N25" s="49"/>
      <c r="O25" s="49"/>
      <c r="P25" s="49"/>
      <c r="Q25" s="49"/>
      <c r="R25" s="81"/>
      <c r="S25" s="49"/>
      <c r="T25" s="49"/>
      <c r="U25" s="49"/>
      <c r="V25" s="49"/>
      <c r="W25" s="49"/>
      <c r="X25" s="75"/>
    </row>
    <row r="26" spans="1:24" x14ac:dyDescent="0.25">
      <c r="A26" s="187"/>
      <c r="B26" s="189"/>
      <c r="C26" s="188"/>
      <c r="D26" s="189"/>
      <c r="E26" s="189"/>
      <c r="F26" s="188"/>
      <c r="G26" s="188"/>
      <c r="H26" s="188"/>
      <c r="I26" s="190"/>
      <c r="J26" s="188"/>
      <c r="K26" s="188"/>
      <c r="L26" s="188"/>
      <c r="M26" s="188"/>
      <c r="N26" s="188"/>
      <c r="O26" s="188"/>
      <c r="P26" s="188"/>
      <c r="Q26" s="188"/>
      <c r="R26" s="189"/>
      <c r="S26" s="188"/>
      <c r="T26" s="188"/>
      <c r="U26" s="188"/>
      <c r="V26" s="188"/>
      <c r="W26" s="188"/>
      <c r="X26" s="186"/>
    </row>
    <row r="27" spans="1:24" ht="15.75" thickBot="1" x14ac:dyDescent="0.3">
      <c r="A27" s="194"/>
      <c r="B27" s="195"/>
      <c r="C27" s="196"/>
      <c r="D27" s="195"/>
      <c r="E27" s="195"/>
      <c r="F27" s="196"/>
      <c r="G27" s="196"/>
      <c r="H27" s="196"/>
      <c r="I27" s="197"/>
      <c r="J27" s="196"/>
      <c r="K27" s="196"/>
      <c r="L27" s="196"/>
      <c r="M27" s="196"/>
      <c r="N27" s="196"/>
      <c r="O27" s="196"/>
      <c r="P27" s="196"/>
      <c r="Q27" s="196"/>
      <c r="R27" s="195"/>
      <c r="S27" s="196"/>
      <c r="T27" s="196"/>
      <c r="U27" s="196"/>
      <c r="V27" s="196"/>
      <c r="W27" s="196"/>
      <c r="X27" s="198"/>
    </row>
  </sheetData>
  <mergeCells count="3">
    <mergeCell ref="K1:P1"/>
    <mergeCell ref="Q1:V1"/>
    <mergeCell ref="C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X28"/>
  <sheetViews>
    <sheetView tabSelected="1" topLeftCell="N1" zoomScale="85" zoomScaleNormal="85" workbookViewId="0">
      <selection activeCell="W2" sqref="W2"/>
    </sheetView>
  </sheetViews>
  <sheetFormatPr defaultRowHeight="15" x14ac:dyDescent="0.25"/>
  <cols>
    <col min="2" max="2" width="12.42578125" customWidth="1"/>
    <col min="3" max="3" width="13.28515625" customWidth="1"/>
    <col min="4" max="4" width="6.140625" customWidth="1"/>
    <col min="5" max="5" width="17.85546875" customWidth="1"/>
    <col min="6" max="6" width="23" customWidth="1"/>
    <col min="9" max="9" width="26.85546875" customWidth="1"/>
    <col min="10" max="10" width="12.28515625" customWidth="1"/>
    <col min="11" max="11" width="16.42578125" customWidth="1"/>
    <col min="16" max="16" width="11.42578125" customWidth="1"/>
    <col min="17" max="17" width="20.5703125" customWidth="1"/>
    <col min="22" max="23" width="16.42578125" customWidth="1"/>
    <col min="24" max="24" width="99.85546875" customWidth="1"/>
  </cols>
  <sheetData>
    <row r="1" spans="1:24" ht="15.75" thickBot="1" x14ac:dyDescent="0.3">
      <c r="A1" s="85" t="s">
        <v>173</v>
      </c>
      <c r="B1" s="8" t="s">
        <v>2</v>
      </c>
      <c r="C1" s="237" t="s">
        <v>3</v>
      </c>
      <c r="D1" s="239"/>
      <c r="E1" s="8" t="s">
        <v>4</v>
      </c>
      <c r="F1" s="8" t="s">
        <v>5</v>
      </c>
      <c r="G1" s="8" t="s">
        <v>6</v>
      </c>
      <c r="H1" s="8" t="s">
        <v>7</v>
      </c>
      <c r="I1" s="8" t="s">
        <v>57</v>
      </c>
      <c r="J1" s="8" t="s">
        <v>8</v>
      </c>
      <c r="K1" s="237" t="s">
        <v>9</v>
      </c>
      <c r="L1" s="238"/>
      <c r="M1" s="238"/>
      <c r="N1" s="238"/>
      <c r="O1" s="238"/>
      <c r="P1" s="239"/>
      <c r="Q1" s="237" t="s">
        <v>10</v>
      </c>
      <c r="R1" s="238"/>
      <c r="S1" s="238"/>
      <c r="T1" s="238"/>
      <c r="U1" s="238"/>
      <c r="V1" s="239"/>
      <c r="W1" s="180" t="s">
        <v>253</v>
      </c>
      <c r="X1" s="8" t="s">
        <v>11</v>
      </c>
    </row>
    <row r="2" spans="1:24" ht="15.75" thickBot="1" x14ac:dyDescent="0.3">
      <c r="A2" s="14"/>
      <c r="B2" s="13"/>
      <c r="C2" s="65" t="s">
        <v>47</v>
      </c>
      <c r="D2" s="66" t="s">
        <v>48</v>
      </c>
      <c r="E2" s="13"/>
      <c r="F2" s="13"/>
      <c r="G2" s="13"/>
      <c r="H2" s="13"/>
      <c r="I2" s="13"/>
      <c r="J2" s="13"/>
      <c r="K2" s="9" t="s">
        <v>12</v>
      </c>
      <c r="L2" s="9" t="s">
        <v>13</v>
      </c>
      <c r="M2" s="9" t="s">
        <v>14</v>
      </c>
      <c r="N2" s="9" t="s">
        <v>15</v>
      </c>
      <c r="O2" s="9" t="s">
        <v>16</v>
      </c>
      <c r="P2" s="9" t="s">
        <v>17</v>
      </c>
      <c r="Q2" s="10" t="s">
        <v>12</v>
      </c>
      <c r="R2" s="11" t="s">
        <v>13</v>
      </c>
      <c r="S2" s="11" t="s">
        <v>14</v>
      </c>
      <c r="T2" s="11" t="s">
        <v>15</v>
      </c>
      <c r="U2" s="11" t="s">
        <v>16</v>
      </c>
      <c r="V2" s="11" t="s">
        <v>18</v>
      </c>
      <c r="W2" s="200"/>
      <c r="X2" s="13"/>
    </row>
    <row r="3" spans="1:24" ht="109.5" customHeight="1" thickBot="1" x14ac:dyDescent="0.3">
      <c r="A3" s="106" t="s">
        <v>58</v>
      </c>
      <c r="B3" s="107" t="s">
        <v>108</v>
      </c>
      <c r="C3" s="146" t="s">
        <v>28</v>
      </c>
      <c r="D3" s="147">
        <v>16</v>
      </c>
      <c r="E3" s="132">
        <v>0.78194444444444444</v>
      </c>
      <c r="F3" s="111" t="s">
        <v>93</v>
      </c>
      <c r="G3" s="112">
        <v>3</v>
      </c>
      <c r="H3" s="112">
        <v>3</v>
      </c>
      <c r="I3" s="111" t="s">
        <v>171</v>
      </c>
      <c r="J3" s="153" t="s">
        <v>129</v>
      </c>
      <c r="K3" s="112" t="s">
        <v>94</v>
      </c>
      <c r="L3" s="112" t="s">
        <v>38</v>
      </c>
      <c r="M3" s="112" t="s">
        <v>46</v>
      </c>
      <c r="N3" s="112">
        <v>23</v>
      </c>
      <c r="O3" s="112" t="s">
        <v>95</v>
      </c>
      <c r="P3" s="148" t="s">
        <v>62</v>
      </c>
      <c r="Q3" s="112" t="s">
        <v>104</v>
      </c>
      <c r="R3" s="113" t="s">
        <v>38</v>
      </c>
      <c r="S3" s="112" t="s">
        <v>46</v>
      </c>
      <c r="T3" s="112">
        <v>42</v>
      </c>
      <c r="U3" s="112" t="s">
        <v>95</v>
      </c>
      <c r="V3" s="112">
        <v>19</v>
      </c>
      <c r="W3" s="112" t="s">
        <v>95</v>
      </c>
      <c r="X3" s="111" t="s">
        <v>235</v>
      </c>
    </row>
    <row r="4" spans="1:24" ht="135" x14ac:dyDescent="0.25">
      <c r="A4" s="114" t="s">
        <v>100</v>
      </c>
      <c r="B4" s="128" t="s">
        <v>109</v>
      </c>
      <c r="C4" s="149" t="s">
        <v>30</v>
      </c>
      <c r="D4" s="150">
        <v>1</v>
      </c>
      <c r="E4" s="133">
        <v>8.6111111111111124E-2</v>
      </c>
      <c r="F4" s="119" t="s">
        <v>101</v>
      </c>
      <c r="G4" s="120">
        <v>6</v>
      </c>
      <c r="H4" s="120">
        <v>5</v>
      </c>
      <c r="I4" s="175" t="s">
        <v>171</v>
      </c>
      <c r="J4" s="154" t="s">
        <v>129</v>
      </c>
      <c r="K4" s="120" t="s">
        <v>102</v>
      </c>
      <c r="L4" s="120" t="s">
        <v>38</v>
      </c>
      <c r="M4" s="120" t="s">
        <v>45</v>
      </c>
      <c r="N4" s="120">
        <v>39</v>
      </c>
      <c r="O4" s="120" t="s">
        <v>95</v>
      </c>
      <c r="P4" s="139" t="s">
        <v>103</v>
      </c>
      <c r="Q4" s="120" t="s">
        <v>105</v>
      </c>
      <c r="R4" s="121" t="s">
        <v>38</v>
      </c>
      <c r="S4" s="120" t="s">
        <v>46</v>
      </c>
      <c r="T4" s="120">
        <v>30</v>
      </c>
      <c r="U4" s="120" t="s">
        <v>95</v>
      </c>
      <c r="V4" s="120">
        <v>3</v>
      </c>
      <c r="W4" s="120" t="s">
        <v>95</v>
      </c>
      <c r="X4" s="119" t="s">
        <v>239</v>
      </c>
    </row>
    <row r="5" spans="1:24" ht="135" x14ac:dyDescent="0.25">
      <c r="A5" s="130" t="s">
        <v>106</v>
      </c>
      <c r="B5" s="123" t="s">
        <v>110</v>
      </c>
      <c r="C5" s="151" t="s">
        <v>31</v>
      </c>
      <c r="D5" s="152" t="s">
        <v>107</v>
      </c>
      <c r="E5" s="134">
        <v>0.15486111111111112</v>
      </c>
      <c r="F5" s="135" t="s">
        <v>172</v>
      </c>
      <c r="G5" s="126">
        <v>4</v>
      </c>
      <c r="H5" s="126">
        <v>5</v>
      </c>
      <c r="I5" s="135" t="s">
        <v>171</v>
      </c>
      <c r="J5" s="155" t="s">
        <v>129</v>
      </c>
      <c r="K5" s="126" t="s">
        <v>111</v>
      </c>
      <c r="L5" s="126" t="s">
        <v>37</v>
      </c>
      <c r="M5" s="126" t="s">
        <v>46</v>
      </c>
      <c r="N5" s="126">
        <v>18</v>
      </c>
      <c r="O5" s="126" t="s">
        <v>95</v>
      </c>
      <c r="P5" s="143" t="s">
        <v>62</v>
      </c>
      <c r="Q5" s="126" t="s">
        <v>112</v>
      </c>
      <c r="R5" s="127" t="s">
        <v>38</v>
      </c>
      <c r="S5" s="126" t="s">
        <v>46</v>
      </c>
      <c r="T5" s="126">
        <v>25</v>
      </c>
      <c r="U5" s="126" t="s">
        <v>95</v>
      </c>
      <c r="V5" s="126">
        <v>3</v>
      </c>
      <c r="W5" s="126" t="s">
        <v>95</v>
      </c>
      <c r="X5" s="135" t="s">
        <v>240</v>
      </c>
    </row>
    <row r="6" spans="1:24" ht="120" x14ac:dyDescent="0.25">
      <c r="A6" s="114" t="s">
        <v>113</v>
      </c>
      <c r="B6" s="128" t="s">
        <v>114</v>
      </c>
      <c r="C6" s="149" t="s">
        <v>35</v>
      </c>
      <c r="D6" s="150" t="s">
        <v>115</v>
      </c>
      <c r="E6" s="133">
        <v>0.5</v>
      </c>
      <c r="F6" s="119" t="s">
        <v>116</v>
      </c>
      <c r="G6" s="120">
        <v>1</v>
      </c>
      <c r="H6" s="120">
        <v>1</v>
      </c>
      <c r="I6" s="119" t="s">
        <v>85</v>
      </c>
      <c r="J6" s="154" t="s">
        <v>129</v>
      </c>
      <c r="K6" s="120" t="s">
        <v>117</v>
      </c>
      <c r="L6" s="120" t="s">
        <v>37</v>
      </c>
      <c r="M6" s="120" t="s">
        <v>46</v>
      </c>
      <c r="N6" s="120">
        <v>26</v>
      </c>
      <c r="O6" s="120" t="s">
        <v>95</v>
      </c>
      <c r="P6" s="139" t="s">
        <v>118</v>
      </c>
      <c r="Q6" s="120" t="s">
        <v>119</v>
      </c>
      <c r="R6" s="121" t="s">
        <v>37</v>
      </c>
      <c r="S6" s="120" t="s">
        <v>46</v>
      </c>
      <c r="T6" s="120">
        <v>41</v>
      </c>
      <c r="U6" s="120" t="s">
        <v>95</v>
      </c>
      <c r="V6" s="120">
        <v>18</v>
      </c>
      <c r="W6" s="120" t="s">
        <v>252</v>
      </c>
      <c r="X6" s="119" t="s">
        <v>241</v>
      </c>
    </row>
    <row r="7" spans="1:24" x14ac:dyDescent="0.25">
      <c r="A7" s="114" t="s">
        <v>113</v>
      </c>
      <c r="B7" s="138" t="s">
        <v>125</v>
      </c>
      <c r="C7" s="149"/>
      <c r="D7" s="150"/>
      <c r="E7" s="133"/>
      <c r="F7" s="119"/>
      <c r="G7" s="120"/>
      <c r="H7" s="120"/>
      <c r="I7" s="119"/>
      <c r="J7" s="154"/>
      <c r="K7" s="120" t="s">
        <v>117</v>
      </c>
      <c r="L7" s="120" t="s">
        <v>37</v>
      </c>
      <c r="M7" s="120" t="s">
        <v>46</v>
      </c>
      <c r="N7" s="120">
        <v>26</v>
      </c>
      <c r="O7" s="120" t="s">
        <v>95</v>
      </c>
      <c r="P7" s="139" t="s">
        <v>118</v>
      </c>
      <c r="Q7" s="120" t="s">
        <v>120</v>
      </c>
      <c r="R7" s="121" t="s">
        <v>37</v>
      </c>
      <c r="S7" s="120" t="s">
        <v>46</v>
      </c>
      <c r="T7" s="120">
        <v>44</v>
      </c>
      <c r="U7" s="120" t="s">
        <v>95</v>
      </c>
      <c r="V7" s="120">
        <v>20</v>
      </c>
      <c r="W7" s="205" t="s">
        <v>125</v>
      </c>
      <c r="X7" s="119" t="s">
        <v>123</v>
      </c>
    </row>
    <row r="8" spans="1:24" x14ac:dyDescent="0.25">
      <c r="A8" s="114" t="s">
        <v>113</v>
      </c>
      <c r="B8" s="138" t="s">
        <v>125</v>
      </c>
      <c r="C8" s="149"/>
      <c r="D8" s="150"/>
      <c r="E8" s="133"/>
      <c r="F8" s="119"/>
      <c r="G8" s="120"/>
      <c r="H8" s="120"/>
      <c r="I8" s="119"/>
      <c r="J8" s="154"/>
      <c r="K8" s="120" t="s">
        <v>117</v>
      </c>
      <c r="L8" s="120" t="s">
        <v>37</v>
      </c>
      <c r="M8" s="120" t="s">
        <v>46</v>
      </c>
      <c r="N8" s="120">
        <v>26</v>
      </c>
      <c r="O8" s="120" t="s">
        <v>95</v>
      </c>
      <c r="P8" s="139" t="s">
        <v>118</v>
      </c>
      <c r="Q8" s="120" t="s">
        <v>121</v>
      </c>
      <c r="R8" s="121" t="s">
        <v>38</v>
      </c>
      <c r="S8" s="120" t="s">
        <v>46</v>
      </c>
      <c r="T8" s="120">
        <v>35</v>
      </c>
      <c r="U8" s="120" t="s">
        <v>95</v>
      </c>
      <c r="V8" s="120">
        <v>7</v>
      </c>
      <c r="W8" s="205" t="s">
        <v>125</v>
      </c>
      <c r="X8" s="119" t="s">
        <v>123</v>
      </c>
    </row>
    <row r="9" spans="1:24" x14ac:dyDescent="0.25">
      <c r="A9" s="114" t="s">
        <v>113</v>
      </c>
      <c r="B9" s="138" t="s">
        <v>125</v>
      </c>
      <c r="C9" s="149"/>
      <c r="D9" s="150"/>
      <c r="E9" s="133"/>
      <c r="F9" s="119"/>
      <c r="G9" s="120"/>
      <c r="H9" s="120"/>
      <c r="I9" s="119"/>
      <c r="J9" s="154"/>
      <c r="K9" s="120" t="s">
        <v>117</v>
      </c>
      <c r="L9" s="120" t="s">
        <v>37</v>
      </c>
      <c r="M9" s="120" t="s">
        <v>46</v>
      </c>
      <c r="N9" s="120">
        <v>26</v>
      </c>
      <c r="O9" s="120" t="s">
        <v>95</v>
      </c>
      <c r="P9" s="139" t="s">
        <v>118</v>
      </c>
      <c r="Q9" s="120" t="s">
        <v>122</v>
      </c>
      <c r="R9" s="121" t="s">
        <v>37</v>
      </c>
      <c r="S9" s="120" t="s">
        <v>46</v>
      </c>
      <c r="T9" s="120">
        <v>23</v>
      </c>
      <c r="U9" s="120" t="s">
        <v>95</v>
      </c>
      <c r="V9" s="120">
        <v>1</v>
      </c>
      <c r="W9" s="205" t="s">
        <v>125</v>
      </c>
      <c r="X9" s="119" t="s">
        <v>123</v>
      </c>
    </row>
    <row r="10" spans="1:24" x14ac:dyDescent="0.25">
      <c r="A10" s="88"/>
      <c r="B10" s="4"/>
      <c r="C10" s="92"/>
      <c r="D10" s="96"/>
      <c r="E10" s="82"/>
      <c r="F10" s="76"/>
      <c r="G10" s="19"/>
      <c r="H10" s="19"/>
      <c r="I10" s="1"/>
      <c r="J10" s="156"/>
      <c r="K10" s="19"/>
      <c r="L10" s="19"/>
      <c r="M10" s="19"/>
      <c r="N10" s="19"/>
      <c r="O10" s="19"/>
      <c r="P10" s="89"/>
      <c r="Q10" s="19"/>
      <c r="R10" s="82"/>
      <c r="S10" s="19"/>
      <c r="T10" s="19"/>
      <c r="U10" s="19"/>
      <c r="V10" s="19"/>
      <c r="W10" s="19"/>
      <c r="X10" s="76"/>
    </row>
    <row r="11" spans="1:24" x14ac:dyDescent="0.25">
      <c r="A11" s="86"/>
      <c r="B11" s="7"/>
      <c r="C11" s="91"/>
      <c r="D11" s="95"/>
      <c r="E11" s="81"/>
      <c r="F11" s="75"/>
      <c r="G11" s="49"/>
      <c r="H11" s="49"/>
      <c r="I11" s="6"/>
      <c r="J11" s="6"/>
      <c r="K11" s="49"/>
      <c r="L11" s="49"/>
      <c r="M11" s="49"/>
      <c r="N11" s="49"/>
      <c r="O11" s="49"/>
      <c r="P11" s="87"/>
      <c r="Q11" s="49"/>
      <c r="R11" s="81"/>
      <c r="S11" s="49"/>
      <c r="T11" s="49"/>
      <c r="U11" s="49"/>
      <c r="V11" s="49"/>
      <c r="W11" s="49"/>
      <c r="X11" s="75"/>
    </row>
    <row r="12" spans="1:24" x14ac:dyDescent="0.25">
      <c r="A12" s="88"/>
      <c r="B12" s="4"/>
      <c r="C12" s="92"/>
      <c r="D12" s="96"/>
      <c r="E12" s="82"/>
      <c r="F12" s="76"/>
      <c r="G12" s="19"/>
      <c r="H12" s="19"/>
      <c r="I12" s="1"/>
      <c r="J12" s="1"/>
      <c r="K12" s="19"/>
      <c r="L12" s="19"/>
      <c r="M12" s="19"/>
      <c r="N12" s="19"/>
      <c r="O12" s="19"/>
      <c r="P12" s="89"/>
      <c r="Q12" s="19"/>
      <c r="R12" s="82"/>
      <c r="S12" s="19"/>
      <c r="T12" s="19"/>
      <c r="U12" s="19"/>
      <c r="V12" s="19"/>
      <c r="W12" s="19"/>
      <c r="X12" s="76"/>
    </row>
    <row r="13" spans="1:24" x14ac:dyDescent="0.25">
      <c r="A13" s="86"/>
      <c r="B13" s="7"/>
      <c r="C13" s="91"/>
      <c r="D13" s="95"/>
      <c r="E13" s="81"/>
      <c r="F13" s="75"/>
      <c r="G13" s="49"/>
      <c r="H13" s="49"/>
      <c r="I13" s="6"/>
      <c r="J13" s="6"/>
      <c r="K13" s="49"/>
      <c r="L13" s="49"/>
      <c r="M13" s="49"/>
      <c r="N13" s="49"/>
      <c r="O13" s="49"/>
      <c r="P13" s="87"/>
      <c r="Q13" s="49"/>
      <c r="R13" s="81"/>
      <c r="S13" s="49"/>
      <c r="T13" s="49"/>
      <c r="U13" s="49"/>
      <c r="V13" s="49"/>
      <c r="W13" s="49"/>
      <c r="X13" s="75"/>
    </row>
    <row r="14" spans="1:24" x14ac:dyDescent="0.25">
      <c r="A14" s="88"/>
      <c r="B14" s="4"/>
      <c r="C14" s="92"/>
      <c r="D14" s="96"/>
      <c r="E14" s="82"/>
      <c r="F14" s="76"/>
      <c r="G14" s="19"/>
      <c r="H14" s="19"/>
      <c r="I14" s="1"/>
      <c r="J14" s="1"/>
      <c r="K14" s="19"/>
      <c r="L14" s="19"/>
      <c r="M14" s="19"/>
      <c r="N14" s="19"/>
      <c r="O14" s="19"/>
      <c r="P14" s="89"/>
      <c r="Q14" s="19"/>
      <c r="R14" s="82"/>
      <c r="S14" s="19"/>
      <c r="T14" s="19"/>
      <c r="U14" s="19"/>
      <c r="V14" s="19"/>
      <c r="W14" s="19"/>
      <c r="X14" s="76"/>
    </row>
    <row r="15" spans="1:24" x14ac:dyDescent="0.25">
      <c r="A15" s="86"/>
      <c r="B15" s="7"/>
      <c r="C15" s="91"/>
      <c r="D15" s="95"/>
      <c r="E15" s="81"/>
      <c r="F15" s="75"/>
      <c r="G15" s="49"/>
      <c r="H15" s="49"/>
      <c r="I15" s="6"/>
      <c r="J15" s="6"/>
      <c r="K15" s="49"/>
      <c r="L15" s="49"/>
      <c r="M15" s="49"/>
      <c r="N15" s="49"/>
      <c r="O15" s="49"/>
      <c r="P15" s="87"/>
      <c r="Q15" s="49"/>
      <c r="R15" s="81"/>
      <c r="S15" s="49"/>
      <c r="T15" s="49"/>
      <c r="U15" s="49"/>
      <c r="V15" s="49"/>
      <c r="W15" s="49"/>
      <c r="X15" s="75"/>
    </row>
    <row r="16" spans="1:24" x14ac:dyDescent="0.25">
      <c r="A16" s="88"/>
      <c r="B16" s="4"/>
      <c r="C16" s="92"/>
      <c r="D16" s="96"/>
      <c r="E16" s="82"/>
      <c r="F16" s="76"/>
      <c r="G16" s="19"/>
      <c r="H16" s="19"/>
      <c r="I16" s="1"/>
      <c r="J16" s="1"/>
      <c r="K16" s="19"/>
      <c r="L16" s="19"/>
      <c r="M16" s="19"/>
      <c r="N16" s="19"/>
      <c r="O16" s="19"/>
      <c r="P16" s="89"/>
      <c r="Q16" s="19"/>
      <c r="R16" s="82"/>
      <c r="S16" s="19"/>
      <c r="T16" s="19"/>
      <c r="U16" s="19"/>
      <c r="V16" s="19"/>
      <c r="W16" s="19"/>
      <c r="X16" s="76"/>
    </row>
    <row r="17" spans="1:24" x14ac:dyDescent="0.25">
      <c r="A17" s="86"/>
      <c r="B17" s="7"/>
      <c r="C17" s="91"/>
      <c r="D17" s="95"/>
      <c r="E17" s="81"/>
      <c r="F17" s="75"/>
      <c r="G17" s="49"/>
      <c r="H17" s="49"/>
      <c r="I17" s="6"/>
      <c r="J17" s="6"/>
      <c r="K17" s="49"/>
      <c r="L17" s="49"/>
      <c r="M17" s="49"/>
      <c r="N17" s="49"/>
      <c r="O17" s="49"/>
      <c r="P17" s="87"/>
      <c r="Q17" s="49"/>
      <c r="R17" s="81"/>
      <c r="S17" s="49"/>
      <c r="T17" s="49"/>
      <c r="U17" s="49"/>
      <c r="V17" s="49"/>
      <c r="W17" s="49"/>
      <c r="X17" s="75"/>
    </row>
    <row r="18" spans="1:24" x14ac:dyDescent="0.25">
      <c r="A18" s="88"/>
      <c r="B18" s="4"/>
      <c r="C18" s="92"/>
      <c r="D18" s="96"/>
      <c r="E18" s="82"/>
      <c r="F18" s="76"/>
      <c r="G18" s="19"/>
      <c r="H18" s="19"/>
      <c r="I18" s="1"/>
      <c r="J18" s="1"/>
      <c r="K18" s="19"/>
      <c r="L18" s="19"/>
      <c r="M18" s="19"/>
      <c r="N18" s="19"/>
      <c r="O18" s="19"/>
      <c r="P18" s="89"/>
      <c r="Q18" s="19"/>
      <c r="R18" s="82"/>
      <c r="S18" s="19"/>
      <c r="T18" s="19"/>
      <c r="U18" s="19"/>
      <c r="V18" s="19"/>
      <c r="W18" s="19"/>
      <c r="X18" s="76"/>
    </row>
    <row r="19" spans="1:24" x14ac:dyDescent="0.25">
      <c r="A19" s="86"/>
      <c r="B19" s="7"/>
      <c r="C19" s="91"/>
      <c r="D19" s="95"/>
      <c r="E19" s="81"/>
      <c r="F19" s="75"/>
      <c r="G19" s="49"/>
      <c r="H19" s="49"/>
      <c r="I19" s="6"/>
      <c r="J19" s="6"/>
      <c r="K19" s="49"/>
      <c r="L19" s="49"/>
      <c r="M19" s="49"/>
      <c r="N19" s="49"/>
      <c r="O19" s="49"/>
      <c r="P19" s="87"/>
      <c r="Q19" s="49"/>
      <c r="R19" s="81"/>
      <c r="S19" s="49"/>
      <c r="T19" s="49"/>
      <c r="U19" s="49"/>
      <c r="V19" s="49"/>
      <c r="W19" s="49"/>
      <c r="X19" s="75"/>
    </row>
    <row r="20" spans="1:24" x14ac:dyDescent="0.25">
      <c r="A20" s="88"/>
      <c r="B20" s="4"/>
      <c r="C20" s="92"/>
      <c r="D20" s="96"/>
      <c r="E20" s="82"/>
      <c r="F20" s="76"/>
      <c r="G20" s="19"/>
      <c r="H20" s="19"/>
      <c r="I20" s="1"/>
      <c r="J20" s="1"/>
      <c r="K20" s="19"/>
      <c r="L20" s="19"/>
      <c r="M20" s="19"/>
      <c r="N20" s="19"/>
      <c r="O20" s="19"/>
      <c r="P20" s="89"/>
      <c r="Q20" s="19"/>
      <c r="R20" s="82"/>
      <c r="S20" s="19"/>
      <c r="T20" s="19"/>
      <c r="U20" s="19"/>
      <c r="V20" s="19"/>
      <c r="W20" s="19"/>
      <c r="X20" s="76"/>
    </row>
    <row r="21" spans="1:24" x14ac:dyDescent="0.25">
      <c r="A21" s="86"/>
      <c r="B21" s="7"/>
      <c r="C21" s="91"/>
      <c r="D21" s="95"/>
      <c r="E21" s="81"/>
      <c r="F21" s="75"/>
      <c r="G21" s="49"/>
      <c r="H21" s="49"/>
      <c r="I21" s="6"/>
      <c r="J21" s="6"/>
      <c r="K21" s="49"/>
      <c r="L21" s="49"/>
      <c r="M21" s="49"/>
      <c r="N21" s="49"/>
      <c r="O21" s="49"/>
      <c r="P21" s="87"/>
      <c r="Q21" s="49"/>
      <c r="R21" s="81"/>
      <c r="S21" s="49"/>
      <c r="T21" s="49"/>
      <c r="U21" s="49"/>
      <c r="V21" s="49"/>
      <c r="W21" s="49"/>
      <c r="X21" s="75"/>
    </row>
    <row r="22" spans="1:24" x14ac:dyDescent="0.25">
      <c r="A22" s="88"/>
      <c r="B22" s="4"/>
      <c r="C22" s="92"/>
      <c r="D22" s="96"/>
      <c r="E22" s="82"/>
      <c r="F22" s="76"/>
      <c r="G22" s="19"/>
      <c r="H22" s="19"/>
      <c r="I22" s="1"/>
      <c r="J22" s="1"/>
      <c r="K22" s="19"/>
      <c r="L22" s="19"/>
      <c r="M22" s="19"/>
      <c r="N22" s="19"/>
      <c r="O22" s="19"/>
      <c r="P22" s="89"/>
      <c r="Q22" s="19"/>
      <c r="R22" s="82"/>
      <c r="S22" s="19"/>
      <c r="T22" s="19"/>
      <c r="U22" s="19"/>
      <c r="V22" s="19"/>
      <c r="W22" s="19"/>
      <c r="X22" s="76"/>
    </row>
    <row r="23" spans="1:24" x14ac:dyDescent="0.25">
      <c r="A23" s="86"/>
      <c r="B23" s="7"/>
      <c r="C23" s="91"/>
      <c r="D23" s="95"/>
      <c r="E23" s="81"/>
      <c r="F23" s="75"/>
      <c r="G23" s="49"/>
      <c r="H23" s="49"/>
      <c r="I23" s="6"/>
      <c r="J23" s="6"/>
      <c r="K23" s="49"/>
      <c r="L23" s="49"/>
      <c r="M23" s="49"/>
      <c r="N23" s="49"/>
      <c r="O23" s="49"/>
      <c r="P23" s="87"/>
      <c r="Q23" s="49"/>
      <c r="R23" s="81"/>
      <c r="S23" s="49"/>
      <c r="T23" s="49"/>
      <c r="U23" s="49"/>
      <c r="V23" s="49"/>
      <c r="W23" s="49"/>
      <c r="X23" s="75"/>
    </row>
    <row r="24" spans="1:24" x14ac:dyDescent="0.25">
      <c r="A24" s="88"/>
      <c r="B24" s="4"/>
      <c r="C24" s="92"/>
      <c r="D24" s="96"/>
      <c r="E24" s="82"/>
      <c r="F24" s="76"/>
      <c r="G24" s="19"/>
      <c r="H24" s="19"/>
      <c r="I24" s="1"/>
      <c r="J24" s="1"/>
      <c r="K24" s="19"/>
      <c r="L24" s="19"/>
      <c r="M24" s="19"/>
      <c r="N24" s="19"/>
      <c r="O24" s="19"/>
      <c r="P24" s="89"/>
      <c r="Q24" s="19"/>
      <c r="R24" s="82"/>
      <c r="S24" s="19"/>
      <c r="T24" s="19"/>
      <c r="U24" s="19"/>
      <c r="V24" s="19"/>
      <c r="W24" s="19"/>
      <c r="X24" s="76"/>
    </row>
    <row r="25" spans="1:24" x14ac:dyDescent="0.25">
      <c r="A25" s="86"/>
      <c r="B25" s="7"/>
      <c r="C25" s="91"/>
      <c r="D25" s="95"/>
      <c r="E25" s="81"/>
      <c r="F25" s="75"/>
      <c r="G25" s="49"/>
      <c r="H25" s="49"/>
      <c r="I25" s="6"/>
      <c r="J25" s="6"/>
      <c r="K25" s="49"/>
      <c r="L25" s="49"/>
      <c r="M25" s="49"/>
      <c r="N25" s="49"/>
      <c r="O25" s="49"/>
      <c r="P25" s="87"/>
      <c r="Q25" s="49"/>
      <c r="R25" s="81"/>
      <c r="S25" s="49"/>
      <c r="T25" s="49"/>
      <c r="U25" s="49"/>
      <c r="V25" s="49"/>
      <c r="W25" s="49"/>
      <c r="X25" s="75"/>
    </row>
    <row r="26" spans="1:24" x14ac:dyDescent="0.25">
      <c r="A26" s="88"/>
      <c r="B26" s="4"/>
      <c r="C26" s="92"/>
      <c r="D26" s="96"/>
      <c r="E26" s="82"/>
      <c r="F26" s="76"/>
      <c r="G26" s="19"/>
      <c r="H26" s="19"/>
      <c r="I26" s="1"/>
      <c r="J26" s="1"/>
      <c r="K26" s="19"/>
      <c r="L26" s="19"/>
      <c r="M26" s="19"/>
      <c r="N26" s="19"/>
      <c r="O26" s="19"/>
      <c r="P26" s="89"/>
      <c r="Q26" s="19"/>
      <c r="R26" s="82"/>
      <c r="S26" s="19"/>
      <c r="T26" s="19"/>
      <c r="U26" s="19"/>
      <c r="V26" s="19"/>
      <c r="W26" s="19"/>
      <c r="X26" s="76"/>
    </row>
    <row r="27" spans="1:24" x14ac:dyDescent="0.25">
      <c r="A27" s="86"/>
      <c r="B27" s="7"/>
      <c r="C27" s="91"/>
      <c r="D27" s="95"/>
      <c r="E27" s="81"/>
      <c r="F27" s="75"/>
      <c r="G27" s="49"/>
      <c r="H27" s="49"/>
      <c r="I27" s="6"/>
      <c r="J27" s="6"/>
      <c r="K27" s="49"/>
      <c r="L27" s="49"/>
      <c r="M27" s="49"/>
      <c r="N27" s="49"/>
      <c r="O27" s="49"/>
      <c r="P27" s="87"/>
      <c r="Q27" s="49"/>
      <c r="R27" s="81"/>
      <c r="S27" s="49"/>
      <c r="T27" s="49"/>
      <c r="U27" s="49"/>
      <c r="V27" s="49"/>
      <c r="W27" s="49"/>
      <c r="X27" s="75"/>
    </row>
    <row r="28" spans="1:24" ht="15.75" thickBot="1" x14ac:dyDescent="0.3">
      <c r="A28" s="90"/>
      <c r="B28" s="5"/>
      <c r="C28" s="93"/>
      <c r="D28" s="97"/>
      <c r="E28" s="84"/>
      <c r="F28" s="77"/>
      <c r="G28" s="83"/>
      <c r="H28" s="83"/>
      <c r="I28" s="2"/>
      <c r="J28" s="2"/>
      <c r="K28" s="83"/>
      <c r="L28" s="83"/>
      <c r="M28" s="83"/>
      <c r="N28" s="83"/>
      <c r="O28" s="83"/>
      <c r="P28" s="94"/>
      <c r="Q28" s="83"/>
      <c r="R28" s="84"/>
      <c r="S28" s="83"/>
      <c r="T28" s="83"/>
      <c r="U28" s="83"/>
      <c r="V28" s="83"/>
      <c r="W28" s="83"/>
      <c r="X28" s="77"/>
    </row>
  </sheetData>
  <mergeCells count="3">
    <mergeCell ref="K1:P1"/>
    <mergeCell ref="Q1:V1"/>
    <mergeCell ref="C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Year End Totals</vt:lpstr>
      <vt:lpstr>2015</vt:lpstr>
      <vt:lpstr>2014</vt:lpstr>
      <vt:lpstr>2013</vt:lpstr>
      <vt:lpstr>2012</vt:lpstr>
      <vt:lpstr>2011</vt:lpstr>
    </vt:vector>
  </TitlesOfParts>
  <Company>Louisville Metro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Hagedorn, Jon M</dc:creator>
  <cp:lastModifiedBy>Schroeder, Robert J</cp:lastModifiedBy>
  <dcterms:created xsi:type="dcterms:W3CDTF">2015-09-18T16:59:49Z</dcterms:created>
  <dcterms:modified xsi:type="dcterms:W3CDTF">2016-08-15T22:21:58Z</dcterms:modified>
</cp:coreProperties>
</file>